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Windows="1"/>
  <bookViews>
    <workbookView xWindow="0" yWindow="0" windowWidth="28800" windowHeight="12210" firstSheet="1" activeTab="1"/>
  </bookViews>
  <sheets>
    <sheet name="IMESI" sheetId="1" state="veryHidden" r:id="rId1"/>
    <sheet name="Recaudación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Recaudación!$F$15:$G$520</definedName>
    <definedName name="_xlnm.Print_Area" localSheetId="1">Recaudación!$A$1:$I$525</definedName>
    <definedName name="_xlnm.Criteria" localSheetId="1">Recaudación!$F$16:$F$27</definedName>
    <definedName name="impuestos">[1]Series!$C$1:$AL$1</definedName>
    <definedName name="lista" localSheetId="1">'[2]Hoja1 (2)'!$C$8:$AJ$8</definedName>
    <definedName name="lista">'[3]Hoja1 (2)'!$C$8:$AJ$8</definedName>
    <definedName name="RUBRO_IMESI">IMESI!$A$1:$Q$1</definedName>
  </definedNames>
  <calcPr calcId="125725"/>
</workbook>
</file>

<file path=xl/calcChain.xml><?xml version="1.0" encoding="utf-8"?>
<calcChain xmlns="http://schemas.openxmlformats.org/spreadsheetml/2006/main">
  <c r="G520" i="3"/>
  <c r="F520"/>
  <c r="S508" i="1"/>
  <c r="G519" i="3" l="1"/>
  <c r="F519"/>
  <c r="S507" i="1"/>
  <c r="G518" i="3" l="1"/>
  <c r="F518"/>
  <c r="S506" i="1"/>
  <c r="G517" i="3" l="1"/>
  <c r="F517"/>
  <c r="S505" i="1"/>
  <c r="G516" i="3" l="1"/>
  <c r="F516"/>
  <c r="S504" i="1"/>
  <c r="G515" i="3" l="1"/>
  <c r="F515"/>
  <c r="S503" i="1"/>
  <c r="G514" i="3" l="1"/>
  <c r="F514"/>
  <c r="S502" i="1"/>
  <c r="G513" i="3"/>
  <c r="F513"/>
  <c r="S501" i="1" l="1"/>
  <c r="G512" i="3"/>
  <c r="G511"/>
  <c r="G510"/>
  <c r="G509"/>
  <c r="G508"/>
  <c r="F508"/>
  <c r="F509"/>
  <c r="F510"/>
  <c r="F511"/>
  <c r="F512"/>
  <c r="S500" i="1"/>
  <c r="S499"/>
  <c r="S498"/>
  <c r="S497"/>
  <c r="S496"/>
  <c r="S495"/>
  <c r="G507" i="3"/>
  <c r="G506"/>
  <c r="G505"/>
  <c r="G504"/>
  <c r="G503"/>
  <c r="G502"/>
  <c r="F507"/>
  <c r="F506"/>
  <c r="F505"/>
  <c r="F504"/>
  <c r="F503"/>
  <c r="F502"/>
  <c r="S494" i="1"/>
  <c r="S493"/>
  <c r="S492"/>
  <c r="S491"/>
  <c r="S490"/>
  <c r="S489"/>
  <c r="G501" i="3"/>
  <c r="G500"/>
  <c r="G499"/>
  <c r="G498"/>
  <c r="G497"/>
  <c r="G496"/>
  <c r="F501"/>
  <c r="F496"/>
  <c r="F497"/>
  <c r="F498"/>
  <c r="F499"/>
  <c r="F500"/>
  <c r="S484" i="1"/>
  <c r="S485"/>
  <c r="S486"/>
  <c r="S487"/>
  <c r="S488"/>
  <c r="G495" i="3"/>
  <c r="G494"/>
  <c r="G493"/>
  <c r="G492"/>
  <c r="F495"/>
  <c r="F492"/>
  <c r="F493"/>
  <c r="F494"/>
  <c r="S480" i="1"/>
  <c r="S481"/>
  <c r="S482"/>
  <c r="S483"/>
  <c r="G491" i="3"/>
  <c r="G490"/>
  <c r="G489"/>
  <c r="G488"/>
  <c r="F488"/>
  <c r="F489"/>
  <c r="F490"/>
  <c r="F491"/>
  <c r="S476" i="1"/>
  <c r="S477"/>
  <c r="S478"/>
  <c r="S479"/>
  <c r="G487" i="3"/>
  <c r="G486"/>
  <c r="G485"/>
  <c r="G484"/>
  <c r="F487"/>
  <c r="F484"/>
  <c r="F485"/>
  <c r="F486"/>
  <c r="S472" i="1"/>
  <c r="S473"/>
  <c r="S474"/>
  <c r="S475"/>
  <c r="G483" i="3"/>
  <c r="G482"/>
  <c r="F482"/>
  <c r="F483"/>
  <c r="S470" i="1"/>
  <c r="S471"/>
  <c r="G481" i="3"/>
  <c r="G480"/>
  <c r="G479"/>
  <c r="G478"/>
  <c r="G477"/>
  <c r="G476"/>
  <c r="F481"/>
  <c r="F476"/>
  <c r="F477"/>
  <c r="F478"/>
  <c r="F479"/>
  <c r="F480"/>
  <c r="S464" i="1"/>
  <c r="S465"/>
  <c r="S466"/>
  <c r="S467"/>
  <c r="S468"/>
  <c r="S469"/>
  <c r="G475" i="3"/>
  <c r="F475"/>
  <c r="S463" i="1"/>
  <c r="G474" i="3"/>
  <c r="G473"/>
  <c r="G472"/>
  <c r="F472"/>
  <c r="F473"/>
  <c r="F474"/>
  <c r="S460" i="1"/>
  <c r="S461"/>
  <c r="S462"/>
  <c r="G471" i="3"/>
  <c r="F471"/>
  <c r="S459" i="1"/>
  <c r="G470" i="3" l="1"/>
  <c r="G469"/>
  <c r="G468"/>
  <c r="F468"/>
  <c r="F469"/>
  <c r="F470"/>
  <c r="S458" i="1"/>
  <c r="S457"/>
  <c r="S456"/>
  <c r="G467" i="3"/>
  <c r="F467"/>
  <c r="S455" i="1"/>
  <c r="G466" i="3"/>
  <c r="G465"/>
  <c r="F465"/>
  <c r="F466"/>
  <c r="S453" i="1"/>
  <c r="S454"/>
  <c r="G464" i="3"/>
  <c r="F464"/>
  <c r="S452" i="1"/>
  <c r="G463" i="3"/>
  <c r="F463"/>
  <c r="S451" i="1"/>
  <c r="G462" i="3"/>
  <c r="F462"/>
  <c r="S450" i="1"/>
  <c r="G461" i="3"/>
  <c r="G460"/>
  <c r="F460"/>
  <c r="F461"/>
  <c r="S448" i="1"/>
  <c r="S449"/>
  <c r="G459" i="3"/>
  <c r="F459"/>
  <c r="S447" i="1"/>
  <c r="G458" i="3"/>
  <c r="F458"/>
  <c r="S446" i="1"/>
  <c r="G457" i="3"/>
  <c r="F457"/>
  <c r="S445" i="1"/>
  <c r="G456" i="3"/>
  <c r="F456"/>
  <c r="S444" i="1"/>
  <c r="G455" i="3"/>
  <c r="F455"/>
  <c r="S443" i="1"/>
  <c r="G454" i="3"/>
  <c r="F454"/>
  <c r="S442" i="1"/>
  <c r="G453" i="3"/>
  <c r="F453"/>
  <c r="S441" i="1"/>
  <c r="G452" i="3"/>
  <c r="F452"/>
  <c r="S440" i="1"/>
  <c r="G451" i="3"/>
  <c r="F451"/>
  <c r="S439" i="1"/>
  <c r="G450" i="3"/>
  <c r="F450"/>
  <c r="S438" i="1"/>
  <c r="G449" i="3"/>
  <c r="F449"/>
  <c r="S437" i="1"/>
  <c r="G448" i="3"/>
  <c r="F448"/>
  <c r="S436" i="1"/>
  <c r="S435"/>
  <c r="S434"/>
  <c r="S433"/>
  <c r="S432"/>
  <c r="S431"/>
  <c r="S430"/>
  <c r="D11" i="3"/>
  <c r="G447"/>
  <c r="F447"/>
  <c r="G446"/>
  <c r="F446"/>
  <c r="G445"/>
  <c r="F445"/>
  <c r="G444"/>
  <c r="F444"/>
  <c r="G443"/>
  <c r="F443"/>
  <c r="G442"/>
  <c r="F442"/>
  <c r="G441"/>
  <c r="F441"/>
  <c r="G440"/>
  <c r="F440"/>
  <c r="G439"/>
  <c r="F439"/>
  <c r="G438"/>
  <c r="F438"/>
  <c r="G437"/>
  <c r="F437"/>
  <c r="G436"/>
  <c r="F436"/>
  <c r="G435"/>
  <c r="F435"/>
  <c r="G434"/>
  <c r="F434"/>
  <c r="G433"/>
  <c r="F433"/>
  <c r="G432"/>
  <c r="F43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421"/>
  <c r="F421"/>
  <c r="G420"/>
  <c r="F420"/>
  <c r="G419"/>
  <c r="F419"/>
  <c r="G418"/>
  <c r="F418"/>
  <c r="G417"/>
  <c r="F417"/>
  <c r="G416"/>
  <c r="F416"/>
  <c r="G415"/>
  <c r="F415"/>
  <c r="G414"/>
  <c r="F414"/>
  <c r="G413"/>
  <c r="F413"/>
  <c r="G412"/>
  <c r="F412"/>
  <c r="G411"/>
  <c r="F411"/>
  <c r="G410"/>
  <c r="F410"/>
  <c r="G409"/>
  <c r="F409"/>
  <c r="G408"/>
  <c r="F408"/>
  <c r="G407"/>
  <c r="F407"/>
  <c r="G406"/>
  <c r="F406"/>
  <c r="G405"/>
  <c r="F405"/>
  <c r="G404"/>
  <c r="F404"/>
  <c r="G403"/>
  <c r="F403"/>
  <c r="G402"/>
  <c r="F402"/>
  <c r="G401"/>
  <c r="F401"/>
  <c r="G400"/>
  <c r="F400"/>
  <c r="G399"/>
  <c r="F399"/>
  <c r="G398"/>
  <c r="F398"/>
  <c r="G397"/>
  <c r="F397"/>
  <c r="G396"/>
  <c r="F396"/>
  <c r="G395"/>
  <c r="F395"/>
  <c r="G394"/>
  <c r="F394"/>
  <c r="G393"/>
  <c r="F393"/>
  <c r="G392"/>
  <c r="F392"/>
  <c r="G391"/>
  <c r="F391"/>
  <c r="G390"/>
  <c r="F390"/>
  <c r="G389"/>
  <c r="F389"/>
  <c r="G388"/>
  <c r="F388"/>
  <c r="G387"/>
  <c r="F387"/>
  <c r="G386"/>
  <c r="F386"/>
  <c r="G385"/>
  <c r="F385"/>
  <c r="G384"/>
  <c r="F384"/>
  <c r="G383"/>
  <c r="F383"/>
  <c r="G382"/>
  <c r="F382"/>
  <c r="G381"/>
  <c r="F381"/>
  <c r="G380"/>
  <c r="F380"/>
  <c r="G379"/>
  <c r="F379"/>
  <c r="G378"/>
  <c r="F378"/>
  <c r="G377"/>
  <c r="F377"/>
  <c r="G376"/>
  <c r="F376"/>
  <c r="G375"/>
  <c r="F375"/>
  <c r="G374"/>
  <c r="F374"/>
  <c r="G373"/>
  <c r="F373"/>
  <c r="G372"/>
  <c r="F372"/>
  <c r="G371"/>
  <c r="F371"/>
  <c r="G370"/>
  <c r="F370"/>
  <c r="G369"/>
  <c r="F369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F13"/>
  <c r="K378" i="1"/>
</calcChain>
</file>

<file path=xl/sharedStrings.xml><?xml version="1.0" encoding="utf-8"?>
<sst xmlns="http://schemas.openxmlformats.org/spreadsheetml/2006/main" count="42" uniqueCount="30">
  <si>
    <t>Combustibles</t>
  </si>
  <si>
    <t>Grasas y lubricantes</t>
  </si>
  <si>
    <t>Comb. Gras. y Lub. Av. Civil</t>
  </si>
  <si>
    <t>Tabacos y cigarrillos</t>
  </si>
  <si>
    <t>Bebidas alcohólicas y alcohol potable</t>
  </si>
  <si>
    <t>Bebidas sin alcohol</t>
  </si>
  <si>
    <t>Cerveza</t>
  </si>
  <si>
    <t>Vermouth, vinos finos y licorosos</t>
  </si>
  <si>
    <t>Energia eléctrica</t>
  </si>
  <si>
    <t>Anticipos de IMESI a la Importación</t>
  </si>
  <si>
    <t>Vehículos automotores</t>
  </si>
  <si>
    <t>Perfumería y cosmética</t>
  </si>
  <si>
    <t>Azúcar refinado</t>
  </si>
  <si>
    <t>Inicio serie</t>
  </si>
  <si>
    <t>Enero 1982 hasta el último dato disponible</t>
  </si>
  <si>
    <t>Enero 1983 hasta el último dato disponible</t>
  </si>
  <si>
    <t>Setiembre 1996 hasta el último dato disponible</t>
  </si>
  <si>
    <t>Marzo 2002 hasta el último dato disponible</t>
  </si>
  <si>
    <t>(*) Incluye, para el año 1982, la recaudación correspondiente a los rubros: bebidas alcohólicas, bebidas sin alcohol, cerveza, perfumería, cosméticos, alcoholes, grasas y lubricantes.</t>
  </si>
  <si>
    <t>Notas</t>
  </si>
  <si>
    <t xml:space="preserve">Recaudación mensual </t>
  </si>
  <si>
    <t>(en pesos corrientes)</t>
  </si>
  <si>
    <t>Mes</t>
  </si>
  <si>
    <t>Importe</t>
  </si>
  <si>
    <t>Resto IMESI</t>
  </si>
  <si>
    <t>SELECCIONE RUBRO</t>
  </si>
  <si>
    <t>IMPUESTO ESPECÍFICO INTERNO - IMESI</t>
  </si>
  <si>
    <t>RECAUDACIÓN TOTAL</t>
  </si>
  <si>
    <r>
      <t>Emisiones CO</t>
    </r>
    <r>
      <rPr>
        <b/>
        <vertAlign val="subscript"/>
        <sz val="8"/>
        <rFont val="Verdana"/>
        <family val="2"/>
      </rPr>
      <t>2</t>
    </r>
  </si>
  <si>
    <t>Enero 2022 hasta el último dato disponible</t>
  </si>
</sst>
</file>

<file path=xl/styles.xml><?xml version="1.0" encoding="utf-8"?>
<styleSheet xmlns="http://schemas.openxmlformats.org/spreadsheetml/2006/main">
  <numFmts count="1">
    <numFmt numFmtId="164" formatCode="mmm\-yyyy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10"/>
      <color indexed="54"/>
      <name val="Arial"/>
      <family val="2"/>
    </font>
    <font>
      <sz val="8"/>
      <color indexed="9"/>
      <name val="Verdana"/>
      <family val="2"/>
    </font>
    <font>
      <b/>
      <vertAlign val="subscript"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2">
    <xf numFmtId="0" fontId="0" fillId="0" borderId="0"/>
    <xf numFmtId="37" fontId="1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6" fillId="0" borderId="0" xfId="0" applyNumberFormat="1" applyFont="1" applyFill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0" fillId="0" borderId="0" xfId="0" applyFill="1"/>
    <xf numFmtId="3" fontId="6" fillId="0" borderId="0" xfId="1" applyNumberFormat="1" applyFont="1" applyFill="1" applyProtection="1"/>
    <xf numFmtId="17" fontId="6" fillId="3" borderId="0" xfId="0" applyNumberFormat="1" applyFont="1" applyFill="1"/>
    <xf numFmtId="3" fontId="6" fillId="3" borderId="0" xfId="0" applyNumberFormat="1" applyFont="1" applyFill="1" applyAlignment="1">
      <alignment horizontal="right"/>
    </xf>
    <xf numFmtId="0" fontId="0" fillId="3" borderId="0" xfId="0" applyFill="1"/>
    <xf numFmtId="0" fontId="0" fillId="0" borderId="0" xfId="0" applyProtection="1">
      <protection locked="0" hidden="1"/>
    </xf>
    <xf numFmtId="0" fontId="0" fillId="0" borderId="0" xfId="0" applyFill="1" applyProtection="1">
      <protection locked="0" hidden="1"/>
    </xf>
    <xf numFmtId="0" fontId="0" fillId="4" borderId="0" xfId="0" applyFill="1" applyProtection="1">
      <protection locked="0" hidden="1"/>
    </xf>
    <xf numFmtId="0" fontId="7" fillId="0" borderId="0" xfId="0" applyFont="1" applyBorder="1" applyAlignment="1" applyProtection="1">
      <alignment vertical="center" wrapText="1"/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9" fillId="4" borderId="0" xfId="0" applyFont="1" applyFill="1" applyBorder="1" applyAlignment="1" applyProtection="1">
      <alignment horizontal="center"/>
      <protection locked="0" hidden="1"/>
    </xf>
    <xf numFmtId="0" fontId="9" fillId="4" borderId="0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NumberFormat="1" applyFont="1" applyProtection="1">
      <protection locked="0" hidden="1"/>
    </xf>
    <xf numFmtId="3" fontId="8" fillId="0" borderId="0" xfId="0" applyNumberFormat="1" applyFont="1" applyAlignment="1" applyProtection="1">
      <alignment horizontal="right"/>
      <protection locked="0" hidden="1"/>
    </xf>
    <xf numFmtId="3" fontId="8" fillId="0" borderId="0" xfId="0" applyNumberFormat="1" applyFont="1" applyFill="1" applyProtection="1">
      <protection locked="0" hidden="1"/>
    </xf>
    <xf numFmtId="3" fontId="8" fillId="0" borderId="0" xfId="0" applyNumberFormat="1" applyFont="1" applyProtection="1"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vertical="center" wrapText="1"/>
      <protection locked="0" hidden="1"/>
    </xf>
    <xf numFmtId="0" fontId="8" fillId="0" borderId="0" xfId="0" applyFont="1" applyProtection="1">
      <protection locked="0" hidden="1"/>
    </xf>
    <xf numFmtId="0" fontId="11" fillId="0" borderId="0" xfId="0" applyFont="1" applyProtection="1">
      <protection locked="0" hidden="1"/>
    </xf>
    <xf numFmtId="0" fontId="10" fillId="0" borderId="0" xfId="0" applyFont="1" applyFill="1" applyAlignment="1" applyProtection="1">
      <alignment horizontal="left"/>
      <protection locked="0" hidden="1"/>
    </xf>
    <xf numFmtId="164" fontId="8" fillId="0" borderId="0" xfId="0" applyNumberFormat="1" applyFont="1" applyAlignment="1" applyProtection="1">
      <alignment horizontal="center"/>
      <protection locked="0" hidden="1"/>
    </xf>
    <xf numFmtId="3" fontId="2" fillId="0" borderId="0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4" xfId="0" applyBorder="1"/>
    <xf numFmtId="0" fontId="0" fillId="0" borderId="5" xfId="0" applyBorder="1"/>
    <xf numFmtId="0" fontId="7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locked="0" hidden="1"/>
    </xf>
  </cellXfs>
  <cellStyles count="2">
    <cellStyle name="Normal" xfId="0" builtinId="0"/>
    <cellStyle name="Normal_Hoja1" xfId="1"/>
  </cellStyles>
  <dxfs count="2">
    <dxf>
      <font>
        <condense val="0"/>
        <extend val="0"/>
        <color indexed="10"/>
      </font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15240</xdr:rowOff>
    </xdr:from>
    <xdr:to>
      <xdr:col>7</xdr:col>
      <xdr:colOff>155078</xdr:colOff>
      <xdr:row>4</xdr:row>
      <xdr:rowOff>52320</xdr:rowOff>
    </xdr:to>
    <xdr:pic>
      <xdr:nvPicPr>
        <xdr:cNvPr id="3" name="2 Imagen" descr="Logo_DGI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9420" y="182880"/>
          <a:ext cx="2547758" cy="54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102\Asesoria%20Economica\Archivos%20Excel\PUBLICACION%20WEB\Series\Series%20Mensuales\Series%20mensuales%20para%20publi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102\Asesoria%20Economica\Archivos%20Excel\PUBLICACION%20WEB\Series\Series%20Mensuales\nuevo%20dise&#241;o%20todos%20los%20impues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117\Asesoria_Economica\Mis%20Documentos\publicacion%20web\nuevo%20dise&#241;o%20todos%20los%20impuest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ies"/>
      <sheetName val="Recaudación"/>
    </sheetNames>
    <sheetDataSet>
      <sheetData sheetId="0">
        <row r="1">
          <cell r="C1" t="str">
            <v>SELECCIONE IMPUESTO</v>
          </cell>
          <cell r="D1" t="str">
            <v>IMPUESTO AL VALOR AGREGADO - IVA</v>
          </cell>
          <cell r="E1" t="str">
            <v>IMPUESTO A LOS INGRESOS DE LAS COMPAÑÍAS DE SEGUROS</v>
          </cell>
          <cell r="F1" t="str">
            <v>IMPUESTO A LA COMPRA-VENTA DE BIENES EN REMATE PÚBLICO</v>
          </cell>
          <cell r="G1" t="str">
            <v>IMPUESTO A LAS VENTAS FORZADAS</v>
          </cell>
          <cell r="H1" t="str">
            <v>IMPUESTO A LAS TRASMISIONES PATRIMONIALES - ITP</v>
          </cell>
          <cell r="I1" t="str">
            <v>IMPUESTO A LAS TRASMISIONES PATRIMONIALES - Adicional</v>
          </cell>
          <cell r="J1" t="str">
            <v>IMPUESTO A LAS TELECOMUNICACIONES - ITEL</v>
          </cell>
          <cell r="K1" t="str">
            <v>IMPUESTO A LAS SOCIEDAES FINANCIERAS DE INVERSIÓN - ISAFI</v>
          </cell>
          <cell r="L1" t="str">
            <v>IMPUESTO A LA RENTA DE LAS PERSONAS FÍSICAS  CATEGORÍA II - IRPF Cat II</v>
          </cell>
          <cell r="M1" t="str">
            <v>IMPUESTO A LA RENTA DE LAS PERSONAS FÍSICAS  CATEGORÍA I - IRPF Cat I</v>
          </cell>
          <cell r="N1" t="str">
            <v>IMPUESTO A LAS RENTAS DE LOS NO RESIDENTES - IRNR</v>
          </cell>
          <cell r="O1" t="str">
            <v>IMPUESTO A LAS RENTAS DE INDUSTRIA Y COMERCIO - IRIC</v>
          </cell>
          <cell r="P1" t="str">
            <v>IMPUESTO A LAS RENTAS DE LAS ACTIVIDADES ECONÓMICAS - IRAE</v>
          </cell>
          <cell r="Q1" t="str">
            <v>IMPUESTO A LAS RENTAS AGROPECUARIAS - IRA</v>
          </cell>
          <cell r="R1" t="str">
            <v>IMPUESTO A LA PEQUEÑA EMPRESA (IVA Mínimo)</v>
          </cell>
          <cell r="S1" t="str">
            <v>IMPUESTO AL PATRIMONIO PERSONAS JURÍDICAS</v>
          </cell>
          <cell r="T1" t="str">
            <v>IMPUESTO AL PATRIMONIO PERSONAS FÍSICAS</v>
          </cell>
          <cell r="U1" t="str">
            <v>IMPUESTO AL PATRIMONIO DE LAS EXPLOTACIONES AGROPECUARIAS</v>
          </cell>
          <cell r="V1" t="str">
            <v>IMPUESTO A LAS COMISIONES</v>
          </cell>
          <cell r="W1" t="str">
            <v>IMPUESTO A LAS TARJETAS DE CREDITO</v>
          </cell>
          <cell r="X1" t="str">
            <v>IMPUESTO ESPECÍFICO A LOS SERVICIOS DE SALUD - IMESSA</v>
          </cell>
          <cell r="Y1" t="str">
            <v>IMPUESTO ESPECÍFICO INTERNO - IMESI</v>
          </cell>
          <cell r="Z1" t="str">
            <v>IMPUESTO A LA ENAJENACIÓN DE LOS BIENES AGROPECUARIOS - IMEBA</v>
          </cell>
          <cell r="AA1" t="str">
            <v>IMPUESTO A LA ENAJENACIÓN DE LOS BIENES AGROPECUARIOS - Adicional MEVIR</v>
          </cell>
          <cell r="AB1" t="str">
            <v>IMPUESTO A LA ENAJENACIÓN DE LOS BIENES AGROPECUARIOS - Adicional INIA</v>
          </cell>
          <cell r="AC1" t="str">
            <v>IMPUESTO A LAS ACTIVIDADES AGROPECUARIAS - IMAGRO</v>
          </cell>
          <cell r="AD1" t="str">
            <v>IMPUESTO A LOS ACTIVOS DE LAS EMPRESAS BANCARIAS - IMABA</v>
          </cell>
          <cell r="AE1" t="str">
            <v>IMPUESTO DE CONTROL DEL SISTEMA FINANCIERO - ICOSIFI</v>
          </cell>
          <cell r="AF1" t="str">
            <v>IMPUESTO DE CONTROL DE SOCIEDADES ANÓNIMAS - ICOSA</v>
          </cell>
          <cell r="AG1" t="str">
            <v>IMPUESTO A LA COMPRA DE MONEDA EXTRANJERA - ICOME</v>
          </cell>
          <cell r="AH1" t="str">
            <v>IMPUESTO PARA EL FONDO DE INSPECCIÓN SANITARIA - FIS</v>
          </cell>
          <cell r="AI1" t="str">
            <v>IMPUESTO A LAS CESIONES DE DERECHOS SOBRE DEPORTISTAS</v>
          </cell>
          <cell r="AJ1" t="str">
            <v>IMPUESTO DE CONTRIBUCION AL FINANCIAMIENTO DE LA SEGURIDAD SOCIAL - COFIS</v>
          </cell>
          <cell r="AK1" t="str">
            <v>IMPUESTO A LOS INGRESOS DE LOS ORGANIZADORES DE SORTEOS</v>
          </cell>
          <cell r="AL1" t="str">
            <v>RECAUDACIÓN TOTAL DE LA DGI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3"/>
    </sheetNames>
    <sheetDataSet>
      <sheetData sheetId="0" refreshError="1"/>
      <sheetData sheetId="1">
        <row r="8">
          <cell r="C8" t="str">
            <v>Seleccione impuesto</v>
          </cell>
          <cell r="D8" t="str">
            <v>Cesiones o permutas derechos deportistas</v>
          </cell>
          <cell r="E8" t="str">
            <v>Ingresos de los organizadores de sorteos</v>
          </cell>
          <cell r="F8" t="str">
            <v>Contribución de financiamiento a la Seguridad Social - COFIS</v>
          </cell>
          <cell r="G8" t="str">
            <v>Comisiones</v>
          </cell>
          <cell r="H8" t="str">
            <v>Fondo de Inspección Sanitaria - FIS</v>
          </cell>
          <cell r="I8" t="str">
            <v>Compra de Moneda Extranjera- ICOME</v>
          </cell>
          <cell r="J8" t="str">
            <v>Control de  Sociedades Anónimas - ICOSA</v>
          </cell>
          <cell r="K8" t="str">
            <v>Control del Sistema Financiero - ICOSIFI</v>
          </cell>
          <cell r="L8" t="str">
            <v>Activos Bancarios - IMABA</v>
          </cell>
          <cell r="M8" t="str">
            <v>Actividades Agropecuarias - IMAGRO</v>
          </cell>
          <cell r="N8" t="str">
            <v>Enajenación de Bienes Agropecuarios - IMEBA</v>
          </cell>
          <cell r="O8" t="str">
            <v>Adicional MEVIR  - IMEBA</v>
          </cell>
          <cell r="P8" t="str">
            <v>Adicional INIA - IMEBA</v>
          </cell>
          <cell r="Q8" t="str">
            <v>Específico Interno - IMESI</v>
          </cell>
          <cell r="R8" t="str">
            <v>Específico a los Servicios de Salud - IMESSA</v>
          </cell>
          <cell r="S8" t="str">
            <v>Pequeñas Empresas - IPEQUE</v>
          </cell>
          <cell r="T8" t="str">
            <v>Rentas Agropecuarias - IRA</v>
          </cell>
          <cell r="U8" t="str">
            <v>Renta de Industria y Comercio - IRIC</v>
          </cell>
          <cell r="V8" t="str">
            <v>Telecomunicaciones - ITEL</v>
          </cell>
          <cell r="W8" t="str">
            <v>Transmisiones Patrimoniales - ITP</v>
          </cell>
          <cell r="X8" t="str">
            <v>Transmisiones Patrimoniales Adicional - Adicional ITP</v>
          </cell>
          <cell r="Y8" t="str">
            <v>Valor Agregado - IVA</v>
          </cell>
          <cell r="Z8" t="str">
            <v>Ventas Forzadas - IVF</v>
          </cell>
          <cell r="AA8" t="str">
            <v>Patrimonio Persona Física - IP Persona Física</v>
          </cell>
          <cell r="AB8" t="str">
            <v>Patrimonio Persona Jurídica - IP Persona Jurídica</v>
          </cell>
          <cell r="AC8" t="str">
            <v>Compra Venta de Bienes en Remate Público</v>
          </cell>
          <cell r="AD8" t="str">
            <v>Sociedades Financieras de Inversión -  ISAFI</v>
          </cell>
          <cell r="AE8" t="str">
            <v>Ingresos de las Compañías Aseguradoras</v>
          </cell>
          <cell r="AF8" t="str">
            <v>Tarjetas de Crédito</v>
          </cell>
          <cell r="AG8" t="str">
            <v>IRAE</v>
          </cell>
          <cell r="AH8" t="str">
            <v>IRPF - Categoría I</v>
          </cell>
          <cell r="AI8" t="str">
            <v>IRPF - Categoría II</v>
          </cell>
          <cell r="AJ8" t="str">
            <v>IRNR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3"/>
    </sheetNames>
    <sheetDataSet>
      <sheetData sheetId="0" refreshError="1"/>
      <sheetData sheetId="1">
        <row r="8">
          <cell r="C8" t="str">
            <v>Seleccione impuesto</v>
          </cell>
          <cell r="D8" t="str">
            <v>Cesiones o permutas derechos deportistas</v>
          </cell>
          <cell r="E8" t="str">
            <v>Ingresos de los organizadores de sorteos</v>
          </cell>
          <cell r="F8" t="str">
            <v>Contribución de financiamiento a la Seguridad Social - COFIS</v>
          </cell>
          <cell r="G8" t="str">
            <v>Comisiones</v>
          </cell>
          <cell r="H8" t="str">
            <v>Fondo de Inspección Sanitaria - FIS</v>
          </cell>
          <cell r="I8" t="str">
            <v>Compra de Moneda Extranjera- ICOME</v>
          </cell>
          <cell r="J8" t="str">
            <v>Control de  Sociedades Anónimas - ICOSA</v>
          </cell>
          <cell r="K8" t="str">
            <v>Control del Sistema Financiero - ICOSIFI</v>
          </cell>
          <cell r="L8" t="str">
            <v>Activos Bancarios - IMABA</v>
          </cell>
          <cell r="M8" t="str">
            <v>Actividades Agropecuarias - IMAGRO</v>
          </cell>
          <cell r="N8" t="str">
            <v>Enajenación de Bienes Agropecuarios - IMEBA</v>
          </cell>
          <cell r="O8" t="str">
            <v>Adicional MEVIR  - IMEBA</v>
          </cell>
          <cell r="P8" t="str">
            <v>Adicional INIA - IMEBA</v>
          </cell>
          <cell r="Q8" t="str">
            <v>Específico Interno - IMESI</v>
          </cell>
          <cell r="R8" t="str">
            <v>Específico a los Servicios de Salud - IMESSA</v>
          </cell>
          <cell r="S8" t="str">
            <v>Pequeñas Empresas - IPEQUE</v>
          </cell>
          <cell r="T8" t="str">
            <v>Rentas Agropecuarias - IRA</v>
          </cell>
          <cell r="U8" t="str">
            <v>Renta de Industria y Comercio - IRIC</v>
          </cell>
          <cell r="V8" t="str">
            <v>Telecomunicaciones - ITEL</v>
          </cell>
          <cell r="W8" t="str">
            <v>Transmisiones Patrimoniales - ITP</v>
          </cell>
          <cell r="X8" t="str">
            <v>Transmisiones Patrimoniales Adicional - Adicional ITP</v>
          </cell>
          <cell r="Y8" t="str">
            <v>Valor Agregado - IVA</v>
          </cell>
          <cell r="Z8" t="str">
            <v>Ventas Forzadas - IVF</v>
          </cell>
          <cell r="AA8" t="str">
            <v>Patrimonio Persona Física - IP Persona Física</v>
          </cell>
          <cell r="AB8" t="str">
            <v>Patrimonio Persona Jurídica - IP Persona Jurídica</v>
          </cell>
          <cell r="AC8" t="str">
            <v>Compra Venta de Bienes en Remate Público</v>
          </cell>
          <cell r="AD8" t="str">
            <v>Sociedades Financieras de Inversión -  ISAFI</v>
          </cell>
          <cell r="AE8" t="str">
            <v>Ingresos de las Compañías Aseguradoras</v>
          </cell>
          <cell r="AF8" t="str">
            <v>Tarjetas de Crédito</v>
          </cell>
          <cell r="AG8" t="str">
            <v>IRAE</v>
          </cell>
          <cell r="AH8" t="str">
            <v>IRPF - Categoría I</v>
          </cell>
          <cell r="AI8" t="str">
            <v>IRPF - Categoría II</v>
          </cell>
          <cell r="AJ8" t="str">
            <v>IRNR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S520"/>
  <sheetViews>
    <sheetView windowProtection="1" workbookViewId="0">
      <pane xSplit="1" ySplit="3" topLeftCell="B482" activePane="bottomRight" state="frozen"/>
      <selection pane="topRight" activeCell="B1" sqref="B1"/>
      <selection pane="bottomLeft" activeCell="A4" sqref="A4"/>
      <selection pane="bottomRight" activeCell="A508" sqref="A508"/>
    </sheetView>
  </sheetViews>
  <sheetFormatPr baseColWidth="10" defaultColWidth="11.28515625" defaultRowHeight="12.75"/>
  <cols>
    <col min="1" max="1" width="9.85546875" style="11" customWidth="1"/>
    <col min="2" max="2" width="13.28515625" style="11" bestFit="1" customWidth="1"/>
    <col min="3" max="4" width="11.28515625" style="11"/>
    <col min="5" max="5" width="12.7109375" style="11" customWidth="1"/>
    <col min="6" max="6" width="11.28515625" style="11"/>
    <col min="7" max="7" width="12.28515625" style="11" customWidth="1"/>
    <col min="8" max="10" width="11.28515625" style="11"/>
    <col min="11" max="11" width="11.85546875" style="11" customWidth="1"/>
    <col min="12" max="12" width="12.28515625" style="11" customWidth="1"/>
    <col min="13" max="14" width="11.28515625" style="11"/>
    <col min="15" max="15" width="12.5703125" style="11" customWidth="1"/>
    <col min="16" max="16" width="11.28515625" style="11"/>
    <col min="17" max="17" width="14" style="11" customWidth="1"/>
    <col min="18" max="18" width="11.28515625" style="11"/>
    <col min="19" max="19" width="12.7109375" style="11" bestFit="1" customWidth="1"/>
    <col min="20" max="16384" width="11.28515625" style="11"/>
  </cols>
  <sheetData>
    <row r="1" spans="1:17" s="3" customFormat="1" ht="52.5">
      <c r="A1" s="1" t="s">
        <v>25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28</v>
      </c>
      <c r="P1" s="2" t="s">
        <v>24</v>
      </c>
      <c r="Q1" s="2" t="s">
        <v>27</v>
      </c>
    </row>
    <row r="2" spans="1:17" s="3" customFormat="1" ht="52.5">
      <c r="A2" s="4" t="s">
        <v>13</v>
      </c>
      <c r="B2" s="5" t="s">
        <v>14</v>
      </c>
      <c r="C2" s="5" t="s">
        <v>14</v>
      </c>
      <c r="D2" s="5" t="s">
        <v>14</v>
      </c>
      <c r="E2" s="5" t="s">
        <v>14</v>
      </c>
      <c r="F2" s="5" t="s">
        <v>15</v>
      </c>
      <c r="G2" s="5" t="s">
        <v>15</v>
      </c>
      <c r="H2" s="5" t="s">
        <v>15</v>
      </c>
      <c r="I2" s="5" t="s">
        <v>15</v>
      </c>
      <c r="J2" s="5" t="s">
        <v>14</v>
      </c>
      <c r="K2" s="5" t="s">
        <v>16</v>
      </c>
      <c r="L2" s="5" t="s">
        <v>14</v>
      </c>
      <c r="M2" s="5" t="s">
        <v>15</v>
      </c>
      <c r="N2" s="5" t="s">
        <v>17</v>
      </c>
      <c r="O2" s="5" t="s">
        <v>29</v>
      </c>
      <c r="P2" s="5" t="s">
        <v>14</v>
      </c>
      <c r="Q2" s="5" t="s">
        <v>14</v>
      </c>
    </row>
    <row r="3" spans="1:17" s="3" customFormat="1" ht="38.25" customHeight="1">
      <c r="A3" s="6" t="s">
        <v>19</v>
      </c>
      <c r="P3" s="3" t="s">
        <v>18</v>
      </c>
      <c r="Q3" s="7"/>
    </row>
    <row r="4" spans="1:17" ht="10.5" customHeight="1">
      <c r="A4" s="8">
        <v>29952</v>
      </c>
      <c r="B4" s="10">
        <v>85953</v>
      </c>
      <c r="C4" s="10">
        <v>6146</v>
      </c>
      <c r="D4" s="10">
        <v>614</v>
      </c>
      <c r="E4" s="10">
        <v>111250</v>
      </c>
      <c r="F4" s="10"/>
      <c r="G4" s="10"/>
      <c r="H4" s="10"/>
      <c r="I4" s="10"/>
      <c r="J4" s="10">
        <v>16414</v>
      </c>
      <c r="K4" s="10"/>
      <c r="L4" s="10">
        <v>27013</v>
      </c>
      <c r="M4" s="10"/>
      <c r="N4" s="10"/>
      <c r="O4" s="10">
        <v>0</v>
      </c>
      <c r="P4" s="10">
        <v>78448</v>
      </c>
      <c r="Q4" s="9">
        <v>325838</v>
      </c>
    </row>
    <row r="5" spans="1:17" ht="10.5" customHeight="1">
      <c r="A5" s="8">
        <v>29983</v>
      </c>
      <c r="B5" s="10">
        <v>193599</v>
      </c>
      <c r="C5" s="10">
        <v>6514</v>
      </c>
      <c r="D5" s="10">
        <v>616</v>
      </c>
      <c r="E5" s="10">
        <v>155047</v>
      </c>
      <c r="F5" s="10"/>
      <c r="G5" s="10"/>
      <c r="H5" s="10"/>
      <c r="I5" s="10"/>
      <c r="J5" s="10">
        <v>0</v>
      </c>
      <c r="K5" s="10"/>
      <c r="L5" s="10">
        <v>24110</v>
      </c>
      <c r="M5" s="10"/>
      <c r="N5" s="10"/>
      <c r="O5" s="10">
        <v>0</v>
      </c>
      <c r="P5" s="10">
        <v>103065</v>
      </c>
      <c r="Q5" s="9">
        <v>482951</v>
      </c>
    </row>
    <row r="6" spans="1:17" ht="10.5" customHeight="1">
      <c r="A6" s="8">
        <v>30011</v>
      </c>
      <c r="B6" s="10">
        <v>182601</v>
      </c>
      <c r="C6" s="10">
        <v>6857</v>
      </c>
      <c r="D6" s="10">
        <v>422</v>
      </c>
      <c r="E6" s="10">
        <v>121131</v>
      </c>
      <c r="F6" s="10"/>
      <c r="G6" s="10"/>
      <c r="H6" s="10"/>
      <c r="I6" s="10"/>
      <c r="J6" s="10">
        <v>19109</v>
      </c>
      <c r="K6" s="10"/>
      <c r="L6" s="10">
        <v>26127</v>
      </c>
      <c r="M6" s="10"/>
      <c r="N6" s="10"/>
      <c r="O6" s="10">
        <v>0</v>
      </c>
      <c r="P6" s="10">
        <v>69076</v>
      </c>
      <c r="Q6" s="9">
        <v>425323</v>
      </c>
    </row>
    <row r="7" spans="1:17" ht="10.5" customHeight="1">
      <c r="A7" s="8">
        <v>30042</v>
      </c>
      <c r="B7" s="10">
        <v>144147</v>
      </c>
      <c r="C7" s="10">
        <v>5475</v>
      </c>
      <c r="D7" s="10">
        <v>450</v>
      </c>
      <c r="E7" s="10">
        <v>113910</v>
      </c>
      <c r="F7" s="10"/>
      <c r="G7" s="10"/>
      <c r="H7" s="10"/>
      <c r="I7" s="10"/>
      <c r="J7" s="10">
        <v>0</v>
      </c>
      <c r="K7" s="10"/>
      <c r="L7" s="10">
        <v>27808</v>
      </c>
      <c r="M7" s="10"/>
      <c r="N7" s="10"/>
      <c r="O7" s="10">
        <v>0</v>
      </c>
      <c r="P7" s="10">
        <v>65518</v>
      </c>
      <c r="Q7" s="9">
        <v>357308</v>
      </c>
    </row>
    <row r="8" spans="1:17" ht="10.5" customHeight="1">
      <c r="A8" s="8">
        <v>30072</v>
      </c>
      <c r="B8" s="10">
        <v>172697</v>
      </c>
      <c r="C8" s="10">
        <v>8180</v>
      </c>
      <c r="D8" s="10">
        <v>545</v>
      </c>
      <c r="E8" s="10">
        <v>137436</v>
      </c>
      <c r="F8" s="10"/>
      <c r="G8" s="10"/>
      <c r="H8" s="10"/>
      <c r="I8" s="10"/>
      <c r="J8" s="10">
        <v>0</v>
      </c>
      <c r="K8" s="10"/>
      <c r="L8" s="10">
        <v>27876</v>
      </c>
      <c r="M8" s="10"/>
      <c r="N8" s="10"/>
      <c r="O8" s="10">
        <v>0</v>
      </c>
      <c r="P8" s="10">
        <v>76261</v>
      </c>
      <c r="Q8" s="9">
        <v>422995</v>
      </c>
    </row>
    <row r="9" spans="1:17" ht="10.5" customHeight="1">
      <c r="A9" s="8">
        <v>30103</v>
      </c>
      <c r="B9" s="10">
        <v>205179</v>
      </c>
      <c r="C9" s="10">
        <v>7210</v>
      </c>
      <c r="D9" s="10">
        <v>569</v>
      </c>
      <c r="E9" s="10">
        <v>108144</v>
      </c>
      <c r="F9" s="10"/>
      <c r="G9" s="10"/>
      <c r="H9" s="10"/>
      <c r="I9" s="10"/>
      <c r="J9" s="10">
        <v>0</v>
      </c>
      <c r="K9" s="10"/>
      <c r="L9" s="10">
        <v>17980</v>
      </c>
      <c r="M9" s="10"/>
      <c r="N9" s="10"/>
      <c r="O9" s="10">
        <v>0</v>
      </c>
      <c r="P9" s="10">
        <v>64063</v>
      </c>
      <c r="Q9" s="9">
        <v>403145</v>
      </c>
    </row>
    <row r="10" spans="1:17" ht="10.5" customHeight="1">
      <c r="A10" s="8">
        <v>30133</v>
      </c>
      <c r="B10" s="10">
        <v>173230</v>
      </c>
      <c r="C10" s="10">
        <v>6610</v>
      </c>
      <c r="D10" s="10">
        <v>454</v>
      </c>
      <c r="E10" s="10">
        <v>122284</v>
      </c>
      <c r="F10" s="10"/>
      <c r="G10" s="10"/>
      <c r="H10" s="10"/>
      <c r="I10" s="10"/>
      <c r="J10" s="10">
        <v>0</v>
      </c>
      <c r="K10" s="10"/>
      <c r="L10" s="10">
        <v>16168</v>
      </c>
      <c r="M10" s="10"/>
      <c r="N10" s="10"/>
      <c r="O10" s="10">
        <v>0</v>
      </c>
      <c r="P10" s="10">
        <v>67188</v>
      </c>
      <c r="Q10" s="9">
        <v>385934</v>
      </c>
    </row>
    <row r="11" spans="1:17" ht="10.5" customHeight="1">
      <c r="A11" s="8">
        <v>30164</v>
      </c>
      <c r="B11" s="10">
        <v>161521</v>
      </c>
      <c r="C11" s="10">
        <v>8363</v>
      </c>
      <c r="D11" s="10">
        <v>450</v>
      </c>
      <c r="E11" s="10">
        <v>134461</v>
      </c>
      <c r="F11" s="10"/>
      <c r="G11" s="10"/>
      <c r="H11" s="10"/>
      <c r="I11" s="10"/>
      <c r="J11" s="10">
        <v>0</v>
      </c>
      <c r="K11" s="10"/>
      <c r="L11" s="10">
        <v>21803</v>
      </c>
      <c r="M11" s="10"/>
      <c r="N11" s="10"/>
      <c r="O11" s="10">
        <v>0</v>
      </c>
      <c r="P11" s="10">
        <v>69937</v>
      </c>
      <c r="Q11" s="9">
        <v>396535</v>
      </c>
    </row>
    <row r="12" spans="1:17" ht="10.5" customHeight="1">
      <c r="A12" s="8">
        <v>30195</v>
      </c>
      <c r="B12" s="10">
        <v>183194</v>
      </c>
      <c r="C12" s="10">
        <v>4471</v>
      </c>
      <c r="D12" s="10">
        <v>2421</v>
      </c>
      <c r="E12" s="10">
        <v>120839</v>
      </c>
      <c r="F12" s="10"/>
      <c r="G12" s="10"/>
      <c r="H12" s="10"/>
      <c r="I12" s="10"/>
      <c r="J12" s="10">
        <v>0</v>
      </c>
      <c r="K12" s="10"/>
      <c r="L12" s="10">
        <v>14605</v>
      </c>
      <c r="M12" s="10"/>
      <c r="N12" s="10"/>
      <c r="O12" s="10">
        <v>0</v>
      </c>
      <c r="P12" s="10">
        <v>73126</v>
      </c>
      <c r="Q12" s="9">
        <v>398656</v>
      </c>
    </row>
    <row r="13" spans="1:17" ht="10.5" customHeight="1">
      <c r="A13" s="8">
        <v>30225</v>
      </c>
      <c r="B13" s="10">
        <v>170646</v>
      </c>
      <c r="C13" s="10">
        <v>4422</v>
      </c>
      <c r="D13" s="10">
        <v>2421</v>
      </c>
      <c r="E13" s="10">
        <v>130728</v>
      </c>
      <c r="F13" s="10"/>
      <c r="G13" s="10"/>
      <c r="H13" s="10"/>
      <c r="I13" s="10"/>
      <c r="J13" s="10">
        <v>0</v>
      </c>
      <c r="K13" s="10"/>
      <c r="L13" s="10">
        <v>9836</v>
      </c>
      <c r="M13" s="10"/>
      <c r="N13" s="10"/>
      <c r="O13" s="10">
        <v>0</v>
      </c>
      <c r="P13" s="10">
        <v>59763</v>
      </c>
      <c r="Q13" s="9">
        <v>377816</v>
      </c>
    </row>
    <row r="14" spans="1:17" ht="10.5" customHeight="1">
      <c r="A14" s="8">
        <v>30256</v>
      </c>
      <c r="B14" s="10">
        <v>160133</v>
      </c>
      <c r="C14" s="10">
        <v>3768</v>
      </c>
      <c r="D14" s="10">
        <v>301</v>
      </c>
      <c r="E14" s="10">
        <v>141376</v>
      </c>
      <c r="F14" s="10"/>
      <c r="G14" s="10"/>
      <c r="H14" s="10"/>
      <c r="I14" s="10"/>
      <c r="J14" s="10">
        <v>0</v>
      </c>
      <c r="K14" s="10"/>
      <c r="L14" s="10">
        <v>6835</v>
      </c>
      <c r="M14" s="10"/>
      <c r="N14" s="10"/>
      <c r="O14" s="10">
        <v>0</v>
      </c>
      <c r="P14" s="10">
        <v>64205</v>
      </c>
      <c r="Q14" s="9">
        <v>376618</v>
      </c>
    </row>
    <row r="15" spans="1:17" ht="10.5" customHeight="1">
      <c r="A15" s="8">
        <v>30286</v>
      </c>
      <c r="B15" s="10">
        <v>163903</v>
      </c>
      <c r="C15" s="10">
        <v>4963</v>
      </c>
      <c r="D15" s="10">
        <v>2570</v>
      </c>
      <c r="E15" s="10">
        <v>137889</v>
      </c>
      <c r="F15" s="10"/>
      <c r="G15" s="10"/>
      <c r="H15" s="10"/>
      <c r="I15" s="10"/>
      <c r="J15" s="10">
        <v>0</v>
      </c>
      <c r="K15" s="10"/>
      <c r="L15" s="10">
        <v>5169</v>
      </c>
      <c r="M15" s="10"/>
      <c r="N15" s="10"/>
      <c r="O15" s="10">
        <v>0</v>
      </c>
      <c r="P15" s="10">
        <v>73796</v>
      </c>
      <c r="Q15" s="9">
        <v>388290</v>
      </c>
    </row>
    <row r="16" spans="1:17" ht="10.5" customHeight="1">
      <c r="A16" s="8">
        <v>30317</v>
      </c>
      <c r="B16" s="10">
        <v>263758</v>
      </c>
      <c r="C16" s="10">
        <v>9461</v>
      </c>
      <c r="D16" s="10">
        <v>844</v>
      </c>
      <c r="E16" s="10">
        <v>155827</v>
      </c>
      <c r="F16" s="10">
        <v>24187</v>
      </c>
      <c r="G16" s="10">
        <v>32433</v>
      </c>
      <c r="H16" s="10">
        <v>11202</v>
      </c>
      <c r="I16" s="10">
        <v>2375</v>
      </c>
      <c r="J16" s="10">
        <v>0</v>
      </c>
      <c r="K16" s="10"/>
      <c r="L16" s="10">
        <v>5459</v>
      </c>
      <c r="M16" s="10">
        <v>1844</v>
      </c>
      <c r="N16" s="10"/>
      <c r="O16" s="10">
        <v>0</v>
      </c>
      <c r="P16" s="10">
        <v>0</v>
      </c>
      <c r="Q16" s="9">
        <v>507390</v>
      </c>
    </row>
    <row r="17" spans="1:17" ht="10.5" customHeight="1">
      <c r="A17" s="8">
        <v>30348</v>
      </c>
      <c r="B17" s="10">
        <v>285400</v>
      </c>
      <c r="C17" s="10">
        <v>9566</v>
      </c>
      <c r="D17" s="10">
        <v>1758</v>
      </c>
      <c r="E17" s="10">
        <v>226037</v>
      </c>
      <c r="F17" s="10">
        <v>67793</v>
      </c>
      <c r="G17" s="10">
        <v>52873</v>
      </c>
      <c r="H17" s="10">
        <v>10055</v>
      </c>
      <c r="I17" s="10">
        <v>21104</v>
      </c>
      <c r="J17" s="10">
        <v>0</v>
      </c>
      <c r="K17" s="10"/>
      <c r="L17" s="10">
        <v>9491</v>
      </c>
      <c r="M17" s="10">
        <v>3118</v>
      </c>
      <c r="N17" s="10"/>
      <c r="O17" s="10">
        <v>0</v>
      </c>
      <c r="P17" s="10">
        <v>12</v>
      </c>
      <c r="Q17" s="9">
        <v>687207</v>
      </c>
    </row>
    <row r="18" spans="1:17" ht="10.5" customHeight="1">
      <c r="A18" s="8">
        <v>30376</v>
      </c>
      <c r="B18" s="10">
        <v>202057</v>
      </c>
      <c r="C18" s="10">
        <v>11076</v>
      </c>
      <c r="D18" s="10">
        <v>900</v>
      </c>
      <c r="E18" s="10">
        <v>127109</v>
      </c>
      <c r="F18" s="10">
        <v>21679</v>
      </c>
      <c r="G18" s="10">
        <v>8582</v>
      </c>
      <c r="H18" s="10">
        <v>13356</v>
      </c>
      <c r="I18" s="10">
        <v>29376</v>
      </c>
      <c r="J18" s="10">
        <v>0</v>
      </c>
      <c r="K18" s="10"/>
      <c r="L18" s="10">
        <v>4205</v>
      </c>
      <c r="M18" s="10">
        <v>1910</v>
      </c>
      <c r="N18" s="10"/>
      <c r="O18" s="10">
        <v>0</v>
      </c>
      <c r="P18" s="10">
        <v>12</v>
      </c>
      <c r="Q18" s="9">
        <v>420262</v>
      </c>
    </row>
    <row r="19" spans="1:17" ht="10.5" customHeight="1">
      <c r="A19" s="8">
        <v>30407</v>
      </c>
      <c r="B19" s="10">
        <v>226297</v>
      </c>
      <c r="C19" s="10">
        <v>8933</v>
      </c>
      <c r="D19" s="10">
        <v>900</v>
      </c>
      <c r="E19" s="10">
        <v>156519</v>
      </c>
      <c r="F19" s="10">
        <v>33519</v>
      </c>
      <c r="G19" s="10">
        <v>29486</v>
      </c>
      <c r="H19" s="10">
        <v>9209</v>
      </c>
      <c r="I19" s="10">
        <v>2419</v>
      </c>
      <c r="J19" s="10">
        <v>0</v>
      </c>
      <c r="K19" s="10"/>
      <c r="L19" s="10">
        <v>2281</v>
      </c>
      <c r="M19" s="10">
        <v>1713</v>
      </c>
      <c r="N19" s="10"/>
      <c r="O19" s="10">
        <v>0</v>
      </c>
      <c r="P19" s="10">
        <v>12</v>
      </c>
      <c r="Q19" s="9">
        <v>471288</v>
      </c>
    </row>
    <row r="20" spans="1:17" ht="10.5" customHeight="1">
      <c r="A20" s="8">
        <v>30437</v>
      </c>
      <c r="B20" s="10">
        <v>322200</v>
      </c>
      <c r="C20" s="10">
        <v>12419</v>
      </c>
      <c r="D20" s="10">
        <v>1548</v>
      </c>
      <c r="E20" s="10">
        <v>171072</v>
      </c>
      <c r="F20" s="10">
        <v>29893</v>
      </c>
      <c r="G20" s="10">
        <v>38060</v>
      </c>
      <c r="H20" s="10">
        <v>11366</v>
      </c>
      <c r="I20" s="10">
        <v>962</v>
      </c>
      <c r="J20" s="10">
        <v>0</v>
      </c>
      <c r="K20" s="10"/>
      <c r="L20" s="10">
        <v>3777</v>
      </c>
      <c r="M20" s="10">
        <v>1845</v>
      </c>
      <c r="N20" s="10"/>
      <c r="O20" s="10">
        <v>0</v>
      </c>
      <c r="P20" s="10">
        <v>0</v>
      </c>
      <c r="Q20" s="9">
        <v>593142</v>
      </c>
    </row>
    <row r="21" spans="1:17" ht="10.5" customHeight="1">
      <c r="A21" s="8">
        <v>30468</v>
      </c>
      <c r="B21" s="10">
        <v>446497</v>
      </c>
      <c r="C21" s="10">
        <v>13029</v>
      </c>
      <c r="D21" s="10">
        <v>1632</v>
      </c>
      <c r="E21" s="10">
        <v>210865</v>
      </c>
      <c r="F21" s="10">
        <v>34126</v>
      </c>
      <c r="G21" s="10">
        <v>27778</v>
      </c>
      <c r="H21" s="10">
        <v>5612</v>
      </c>
      <c r="I21" s="10">
        <v>1227</v>
      </c>
      <c r="J21" s="10">
        <v>0</v>
      </c>
      <c r="K21" s="10"/>
      <c r="L21" s="10">
        <v>2118</v>
      </c>
      <c r="M21" s="10">
        <v>1905</v>
      </c>
      <c r="N21" s="10"/>
      <c r="O21" s="10">
        <v>0</v>
      </c>
      <c r="P21" s="10">
        <v>0</v>
      </c>
      <c r="Q21" s="9">
        <v>744789</v>
      </c>
    </row>
    <row r="22" spans="1:17" ht="10.5" customHeight="1">
      <c r="A22" s="8">
        <v>30498</v>
      </c>
      <c r="B22" s="10">
        <v>102946</v>
      </c>
      <c r="C22" s="10">
        <v>6219</v>
      </c>
      <c r="D22" s="10">
        <v>0</v>
      </c>
      <c r="E22" s="10">
        <v>138467</v>
      </c>
      <c r="F22" s="10">
        <v>23845</v>
      </c>
      <c r="G22" s="10">
        <v>27051</v>
      </c>
      <c r="H22" s="10">
        <v>3236</v>
      </c>
      <c r="I22" s="10">
        <v>1862</v>
      </c>
      <c r="J22" s="10">
        <v>0</v>
      </c>
      <c r="K22" s="10"/>
      <c r="L22" s="10">
        <v>4619</v>
      </c>
      <c r="M22" s="10">
        <v>3044</v>
      </c>
      <c r="N22" s="10"/>
      <c r="O22" s="10">
        <v>0</v>
      </c>
      <c r="P22" s="10">
        <v>0</v>
      </c>
      <c r="Q22" s="9">
        <v>311289</v>
      </c>
    </row>
    <row r="23" spans="1:17" ht="10.5" customHeight="1">
      <c r="A23" s="8">
        <v>30529</v>
      </c>
      <c r="B23" s="10">
        <v>256021</v>
      </c>
      <c r="C23" s="10">
        <v>8826</v>
      </c>
      <c r="D23" s="10">
        <v>753</v>
      </c>
      <c r="E23" s="10">
        <v>180979</v>
      </c>
      <c r="F23" s="10">
        <v>50872</v>
      </c>
      <c r="G23" s="10">
        <v>21023</v>
      </c>
      <c r="H23" s="10">
        <v>2258</v>
      </c>
      <c r="I23" s="10">
        <v>2488</v>
      </c>
      <c r="J23" s="10">
        <v>0</v>
      </c>
      <c r="K23" s="10"/>
      <c r="L23" s="10">
        <v>3476</v>
      </c>
      <c r="M23" s="10">
        <v>1774</v>
      </c>
      <c r="N23" s="10"/>
      <c r="O23" s="10">
        <v>0</v>
      </c>
      <c r="P23" s="10">
        <v>0</v>
      </c>
      <c r="Q23" s="9">
        <v>528470</v>
      </c>
    </row>
    <row r="24" spans="1:17" ht="10.5" customHeight="1">
      <c r="A24" s="8">
        <v>30560</v>
      </c>
      <c r="B24" s="10">
        <v>915685</v>
      </c>
      <c r="C24" s="10">
        <v>14612</v>
      </c>
      <c r="D24" s="10">
        <v>2741</v>
      </c>
      <c r="E24" s="10">
        <v>337787</v>
      </c>
      <c r="F24" s="10">
        <v>58071</v>
      </c>
      <c r="G24" s="10">
        <v>24229</v>
      </c>
      <c r="H24" s="10">
        <v>2908</v>
      </c>
      <c r="I24" s="10">
        <v>1279</v>
      </c>
      <c r="J24" s="10">
        <v>0</v>
      </c>
      <c r="K24" s="10"/>
      <c r="L24" s="10">
        <v>3254</v>
      </c>
      <c r="M24" s="10">
        <v>2381</v>
      </c>
      <c r="N24" s="10"/>
      <c r="O24" s="10">
        <v>0</v>
      </c>
      <c r="P24" s="10">
        <v>0</v>
      </c>
      <c r="Q24" s="9">
        <v>1362947</v>
      </c>
    </row>
    <row r="25" spans="1:17" ht="10.5" customHeight="1">
      <c r="A25" s="8">
        <v>30590</v>
      </c>
      <c r="B25" s="10">
        <v>125229</v>
      </c>
      <c r="C25" s="10">
        <v>8969</v>
      </c>
      <c r="D25" s="10">
        <v>2</v>
      </c>
      <c r="E25" s="10">
        <v>647</v>
      </c>
      <c r="F25" s="10">
        <v>23932</v>
      </c>
      <c r="G25" s="10">
        <v>25536</v>
      </c>
      <c r="H25" s="10">
        <v>4697</v>
      </c>
      <c r="I25" s="10">
        <v>2570</v>
      </c>
      <c r="J25" s="10">
        <v>0</v>
      </c>
      <c r="K25" s="10"/>
      <c r="L25" s="10">
        <v>4455</v>
      </c>
      <c r="M25" s="10">
        <v>2311</v>
      </c>
      <c r="N25" s="10"/>
      <c r="O25" s="10">
        <v>0</v>
      </c>
      <c r="P25" s="10">
        <v>0</v>
      </c>
      <c r="Q25" s="9">
        <v>198348</v>
      </c>
    </row>
    <row r="26" spans="1:17" ht="10.5" customHeight="1">
      <c r="A26" s="8">
        <v>30621</v>
      </c>
      <c r="B26" s="10">
        <v>180022</v>
      </c>
      <c r="C26" s="10">
        <v>7982</v>
      </c>
      <c r="D26" s="10">
        <v>601</v>
      </c>
      <c r="E26" s="10">
        <v>176913</v>
      </c>
      <c r="F26" s="10">
        <v>35156</v>
      </c>
      <c r="G26" s="10">
        <v>27720</v>
      </c>
      <c r="H26" s="10">
        <v>9894</v>
      </c>
      <c r="I26" s="10">
        <v>1982</v>
      </c>
      <c r="J26" s="10">
        <v>0</v>
      </c>
      <c r="K26" s="10"/>
      <c r="L26" s="10">
        <v>3626</v>
      </c>
      <c r="M26" s="10">
        <v>2832</v>
      </c>
      <c r="N26" s="10"/>
      <c r="O26" s="10">
        <v>0</v>
      </c>
      <c r="P26" s="10">
        <v>0</v>
      </c>
      <c r="Q26" s="9">
        <v>446728</v>
      </c>
    </row>
    <row r="27" spans="1:17" ht="10.5" customHeight="1">
      <c r="A27" s="8">
        <v>30651</v>
      </c>
      <c r="B27" s="10">
        <v>283281</v>
      </c>
      <c r="C27" s="10">
        <v>10486</v>
      </c>
      <c r="D27" s="10">
        <v>1301</v>
      </c>
      <c r="E27" s="10">
        <v>163449</v>
      </c>
      <c r="F27" s="10">
        <v>40987</v>
      </c>
      <c r="G27" s="10">
        <v>31615</v>
      </c>
      <c r="H27" s="10">
        <v>7742</v>
      </c>
      <c r="I27" s="10">
        <v>3592</v>
      </c>
      <c r="J27" s="10">
        <v>119622</v>
      </c>
      <c r="K27" s="10"/>
      <c r="L27" s="10">
        <v>5093</v>
      </c>
      <c r="M27" s="10">
        <v>2401</v>
      </c>
      <c r="N27" s="10"/>
      <c r="O27" s="10">
        <v>0</v>
      </c>
      <c r="P27" s="10">
        <v>0</v>
      </c>
      <c r="Q27" s="9">
        <v>669569</v>
      </c>
    </row>
    <row r="28" spans="1:17" ht="10.5" customHeight="1">
      <c r="A28" s="8">
        <v>30682</v>
      </c>
      <c r="B28" s="10">
        <v>401918</v>
      </c>
      <c r="C28" s="10">
        <v>14159</v>
      </c>
      <c r="D28" s="10">
        <v>1512</v>
      </c>
      <c r="E28" s="10">
        <v>175238</v>
      </c>
      <c r="F28" s="10">
        <v>45191</v>
      </c>
      <c r="G28" s="10">
        <v>29760</v>
      </c>
      <c r="H28" s="10">
        <v>21715</v>
      </c>
      <c r="I28" s="10">
        <v>2782</v>
      </c>
      <c r="J28" s="10">
        <v>0</v>
      </c>
      <c r="K28" s="10"/>
      <c r="L28" s="10">
        <v>7966</v>
      </c>
      <c r="M28" s="10">
        <v>3278</v>
      </c>
      <c r="N28" s="10"/>
      <c r="O28" s="10">
        <v>0</v>
      </c>
      <c r="P28" s="10"/>
      <c r="Q28" s="9">
        <v>703519</v>
      </c>
    </row>
    <row r="29" spans="1:17" ht="10.5" customHeight="1">
      <c r="A29" s="8">
        <v>30713</v>
      </c>
      <c r="B29" s="10">
        <v>484063</v>
      </c>
      <c r="C29" s="10">
        <v>18401</v>
      </c>
      <c r="D29" s="10">
        <v>2442</v>
      </c>
      <c r="E29" s="10">
        <v>218836</v>
      </c>
      <c r="F29" s="10">
        <v>62133</v>
      </c>
      <c r="G29" s="10">
        <v>60741</v>
      </c>
      <c r="H29" s="10">
        <v>27844</v>
      </c>
      <c r="I29" s="10">
        <v>3457</v>
      </c>
      <c r="J29" s="10">
        <v>0</v>
      </c>
      <c r="K29" s="10"/>
      <c r="L29" s="10">
        <v>8949</v>
      </c>
      <c r="M29" s="10">
        <v>4061</v>
      </c>
      <c r="N29" s="10"/>
      <c r="O29" s="10">
        <v>0</v>
      </c>
      <c r="P29" s="10"/>
      <c r="Q29" s="9">
        <v>890927</v>
      </c>
    </row>
    <row r="30" spans="1:17" ht="10.5" customHeight="1">
      <c r="A30" s="8">
        <v>30742</v>
      </c>
      <c r="B30" s="10">
        <v>326607</v>
      </c>
      <c r="C30" s="10">
        <v>13901</v>
      </c>
      <c r="D30" s="10">
        <v>1903</v>
      </c>
      <c r="E30" s="10">
        <v>219130</v>
      </c>
      <c r="F30" s="10">
        <v>29712</v>
      </c>
      <c r="G30" s="10">
        <v>46836</v>
      </c>
      <c r="H30" s="10">
        <v>17086</v>
      </c>
      <c r="I30" s="10">
        <v>2333</v>
      </c>
      <c r="J30" s="10">
        <v>0</v>
      </c>
      <c r="K30" s="10"/>
      <c r="L30" s="10">
        <v>4877</v>
      </c>
      <c r="M30" s="10">
        <v>2732</v>
      </c>
      <c r="N30" s="10"/>
      <c r="O30" s="10">
        <v>0</v>
      </c>
      <c r="P30" s="10"/>
      <c r="Q30" s="9">
        <v>665117</v>
      </c>
    </row>
    <row r="31" spans="1:17" ht="10.5" customHeight="1">
      <c r="A31" s="8">
        <v>30773</v>
      </c>
      <c r="B31" s="10">
        <v>356802</v>
      </c>
      <c r="C31" s="10">
        <v>13264</v>
      </c>
      <c r="D31" s="10">
        <v>1601</v>
      </c>
      <c r="E31" s="10">
        <v>191436</v>
      </c>
      <c r="F31" s="10">
        <v>66592</v>
      </c>
      <c r="G31" s="10">
        <v>39447</v>
      </c>
      <c r="H31" s="10">
        <v>12351</v>
      </c>
      <c r="I31" s="10">
        <v>1186</v>
      </c>
      <c r="J31" s="10">
        <v>0</v>
      </c>
      <c r="K31" s="10"/>
      <c r="L31" s="10">
        <v>6855</v>
      </c>
      <c r="M31" s="10">
        <v>2535</v>
      </c>
      <c r="N31" s="10"/>
      <c r="O31" s="10">
        <v>0</v>
      </c>
      <c r="P31" s="10"/>
      <c r="Q31" s="9">
        <v>692069</v>
      </c>
    </row>
    <row r="32" spans="1:17" ht="10.5" customHeight="1">
      <c r="A32" s="8">
        <v>30803</v>
      </c>
      <c r="B32" s="10">
        <v>457529</v>
      </c>
      <c r="C32" s="10">
        <v>14692</v>
      </c>
      <c r="D32" s="10">
        <v>1252</v>
      </c>
      <c r="E32" s="10">
        <v>208245</v>
      </c>
      <c r="F32" s="10">
        <v>41769</v>
      </c>
      <c r="G32" s="10">
        <v>47505</v>
      </c>
      <c r="H32" s="10">
        <v>14097</v>
      </c>
      <c r="I32" s="10">
        <v>1409</v>
      </c>
      <c r="J32" s="10">
        <v>0</v>
      </c>
      <c r="K32" s="10"/>
      <c r="L32" s="10">
        <v>6322</v>
      </c>
      <c r="M32" s="10">
        <v>2880</v>
      </c>
      <c r="N32" s="10"/>
      <c r="O32" s="10">
        <v>0</v>
      </c>
      <c r="P32" s="10"/>
      <c r="Q32" s="9">
        <v>795700</v>
      </c>
    </row>
    <row r="33" spans="1:17" ht="10.5" customHeight="1">
      <c r="A33" s="8">
        <v>30834</v>
      </c>
      <c r="B33" s="10">
        <v>471447</v>
      </c>
      <c r="C33" s="10">
        <v>16357</v>
      </c>
      <c r="D33" s="10">
        <v>1679</v>
      </c>
      <c r="E33" s="10">
        <v>210990</v>
      </c>
      <c r="F33" s="10">
        <v>65732</v>
      </c>
      <c r="G33" s="10">
        <v>35447</v>
      </c>
      <c r="H33" s="10">
        <v>6830</v>
      </c>
      <c r="I33" s="10">
        <v>4684</v>
      </c>
      <c r="J33" s="10">
        <v>0</v>
      </c>
      <c r="K33" s="10"/>
      <c r="L33" s="10">
        <v>7050</v>
      </c>
      <c r="M33" s="10">
        <v>2393</v>
      </c>
      <c r="N33" s="10"/>
      <c r="O33" s="10">
        <v>0</v>
      </c>
      <c r="P33" s="10"/>
      <c r="Q33" s="9">
        <v>822609</v>
      </c>
    </row>
    <row r="34" spans="1:17" ht="10.5" customHeight="1">
      <c r="A34" s="8">
        <v>30864</v>
      </c>
      <c r="B34" s="10">
        <v>474426</v>
      </c>
      <c r="C34" s="10">
        <v>19687</v>
      </c>
      <c r="D34" s="10">
        <v>1176</v>
      </c>
      <c r="E34" s="10">
        <v>210585</v>
      </c>
      <c r="F34" s="10">
        <v>57791</v>
      </c>
      <c r="G34" s="10">
        <v>32462</v>
      </c>
      <c r="H34" s="10">
        <v>7531</v>
      </c>
      <c r="I34" s="10">
        <v>1648</v>
      </c>
      <c r="J34" s="10">
        <v>0</v>
      </c>
      <c r="K34" s="10"/>
      <c r="L34" s="10">
        <v>7164</v>
      </c>
      <c r="M34" s="10">
        <v>3498</v>
      </c>
      <c r="N34" s="10"/>
      <c r="O34" s="10">
        <v>0</v>
      </c>
      <c r="P34" s="10"/>
      <c r="Q34" s="9">
        <v>815968</v>
      </c>
    </row>
    <row r="35" spans="1:17" ht="10.5" customHeight="1">
      <c r="A35" s="8">
        <v>30895</v>
      </c>
      <c r="B35" s="10">
        <v>475487</v>
      </c>
      <c r="C35" s="10">
        <v>12049</v>
      </c>
      <c r="D35" s="10">
        <v>903</v>
      </c>
      <c r="E35" s="10">
        <v>211411</v>
      </c>
      <c r="F35" s="10">
        <v>72350</v>
      </c>
      <c r="G35" s="10">
        <v>26054</v>
      </c>
      <c r="H35" s="10">
        <v>2309</v>
      </c>
      <c r="I35" s="10">
        <v>1856</v>
      </c>
      <c r="J35" s="10">
        <v>131313</v>
      </c>
      <c r="K35" s="10"/>
      <c r="L35" s="10">
        <v>7622</v>
      </c>
      <c r="M35" s="10">
        <v>2861</v>
      </c>
      <c r="N35" s="10"/>
      <c r="O35" s="10">
        <v>0</v>
      </c>
      <c r="P35" s="10"/>
      <c r="Q35" s="9">
        <v>944215</v>
      </c>
    </row>
    <row r="36" spans="1:17" ht="10.5" customHeight="1">
      <c r="A36" s="8">
        <v>30926</v>
      </c>
      <c r="B36" s="10">
        <v>1146890</v>
      </c>
      <c r="C36" s="10">
        <v>16314</v>
      </c>
      <c r="D36" s="10">
        <v>8677</v>
      </c>
      <c r="E36" s="10">
        <v>239299</v>
      </c>
      <c r="F36" s="10">
        <v>63655</v>
      </c>
      <c r="G36" s="10">
        <v>32206</v>
      </c>
      <c r="H36" s="10">
        <v>2413</v>
      </c>
      <c r="I36" s="10">
        <v>1659</v>
      </c>
      <c r="J36" s="10">
        <v>0</v>
      </c>
      <c r="K36" s="10"/>
      <c r="L36" s="10">
        <v>6214</v>
      </c>
      <c r="M36" s="10">
        <v>3238</v>
      </c>
      <c r="N36" s="10"/>
      <c r="O36" s="10">
        <v>0</v>
      </c>
      <c r="P36" s="10"/>
      <c r="Q36" s="9">
        <v>1520565</v>
      </c>
    </row>
    <row r="37" spans="1:17" ht="10.5" customHeight="1">
      <c r="A37" s="8">
        <v>30956</v>
      </c>
      <c r="B37" s="10">
        <v>159362</v>
      </c>
      <c r="C37" s="10">
        <v>13229</v>
      </c>
      <c r="D37" s="10">
        <v>2</v>
      </c>
      <c r="E37" s="10">
        <v>281876</v>
      </c>
      <c r="F37" s="10">
        <v>37600</v>
      </c>
      <c r="G37" s="10">
        <v>36507</v>
      </c>
      <c r="H37" s="10">
        <v>15886</v>
      </c>
      <c r="I37" s="10">
        <v>2039</v>
      </c>
      <c r="J37" s="10">
        <v>0</v>
      </c>
      <c r="K37" s="10"/>
      <c r="L37" s="10">
        <v>7741</v>
      </c>
      <c r="M37" s="10">
        <v>3442</v>
      </c>
      <c r="N37" s="10"/>
      <c r="O37" s="10">
        <v>0</v>
      </c>
      <c r="P37" s="10"/>
      <c r="Q37" s="9">
        <v>557684</v>
      </c>
    </row>
    <row r="38" spans="1:17" ht="10.5" customHeight="1">
      <c r="A38" s="8">
        <v>30987</v>
      </c>
      <c r="B38" s="10">
        <v>504486</v>
      </c>
      <c r="C38" s="10">
        <v>11849</v>
      </c>
      <c r="D38" s="10">
        <v>4101</v>
      </c>
      <c r="E38" s="10">
        <v>208106</v>
      </c>
      <c r="F38" s="10">
        <v>50509</v>
      </c>
      <c r="G38" s="10">
        <v>34422</v>
      </c>
      <c r="H38" s="10">
        <v>7535</v>
      </c>
      <c r="I38" s="10">
        <v>2901</v>
      </c>
      <c r="J38" s="10">
        <v>0</v>
      </c>
      <c r="K38" s="10"/>
      <c r="L38" s="10">
        <v>9092</v>
      </c>
      <c r="M38" s="10">
        <v>4117</v>
      </c>
      <c r="N38" s="10"/>
      <c r="O38" s="10">
        <v>0</v>
      </c>
      <c r="P38" s="10"/>
      <c r="Q38" s="9">
        <v>837118</v>
      </c>
    </row>
    <row r="39" spans="1:17" ht="10.5" customHeight="1">
      <c r="A39" s="8">
        <v>31017</v>
      </c>
      <c r="B39" s="10">
        <v>649804</v>
      </c>
      <c r="C39" s="10">
        <v>25239</v>
      </c>
      <c r="D39" s="10">
        <v>1868</v>
      </c>
      <c r="E39" s="10">
        <v>296385</v>
      </c>
      <c r="F39" s="10">
        <v>102827</v>
      </c>
      <c r="G39" s="10">
        <v>42207</v>
      </c>
      <c r="H39" s="10">
        <v>27445</v>
      </c>
      <c r="I39" s="10">
        <v>3930</v>
      </c>
      <c r="J39" s="10">
        <v>0</v>
      </c>
      <c r="K39" s="10"/>
      <c r="L39" s="10">
        <v>7969</v>
      </c>
      <c r="M39" s="10">
        <v>5317</v>
      </c>
      <c r="N39" s="10"/>
      <c r="O39" s="10">
        <v>0</v>
      </c>
      <c r="P39" s="10"/>
      <c r="Q39" s="9">
        <v>1162991</v>
      </c>
    </row>
    <row r="40" spans="1:17" ht="10.5" customHeight="1">
      <c r="A40" s="8">
        <v>31048</v>
      </c>
      <c r="B40" s="10">
        <v>762340</v>
      </c>
      <c r="C40" s="10">
        <v>21292</v>
      </c>
      <c r="D40" s="10">
        <v>1645</v>
      </c>
      <c r="E40" s="10">
        <v>348438</v>
      </c>
      <c r="F40" s="10">
        <v>53149</v>
      </c>
      <c r="G40" s="10">
        <v>55648</v>
      </c>
      <c r="H40" s="10">
        <v>15732</v>
      </c>
      <c r="I40" s="10">
        <v>4659</v>
      </c>
      <c r="J40" s="10">
        <v>0</v>
      </c>
      <c r="K40" s="10"/>
      <c r="L40" s="10">
        <v>11327</v>
      </c>
      <c r="M40" s="10">
        <v>6016</v>
      </c>
      <c r="N40" s="10"/>
      <c r="O40" s="10">
        <v>0</v>
      </c>
      <c r="P40" s="10"/>
      <c r="Q40" s="9">
        <v>1280246</v>
      </c>
    </row>
    <row r="41" spans="1:17" ht="10.5" customHeight="1">
      <c r="A41" s="8">
        <v>31079</v>
      </c>
      <c r="B41" s="10">
        <v>492030</v>
      </c>
      <c r="C41" s="10">
        <v>15462</v>
      </c>
      <c r="D41" s="10">
        <v>1256</v>
      </c>
      <c r="E41" s="10">
        <v>326319</v>
      </c>
      <c r="F41" s="10">
        <v>18667</v>
      </c>
      <c r="G41" s="10">
        <v>17931</v>
      </c>
      <c r="H41" s="10">
        <v>14</v>
      </c>
      <c r="I41" s="10">
        <v>832</v>
      </c>
      <c r="J41" s="10">
        <v>0</v>
      </c>
      <c r="K41" s="10"/>
      <c r="L41" s="10">
        <v>8000</v>
      </c>
      <c r="M41" s="10">
        <v>6215</v>
      </c>
      <c r="N41" s="10"/>
      <c r="O41" s="10">
        <v>0</v>
      </c>
      <c r="P41" s="10"/>
      <c r="Q41" s="9">
        <v>886726</v>
      </c>
    </row>
    <row r="42" spans="1:17" ht="10.5" customHeight="1">
      <c r="A42" s="8">
        <v>31107</v>
      </c>
      <c r="B42" s="10">
        <v>1010415</v>
      </c>
      <c r="C42" s="10">
        <v>29040</v>
      </c>
      <c r="D42" s="10">
        <v>2786</v>
      </c>
      <c r="E42" s="10">
        <v>392908</v>
      </c>
      <c r="F42" s="10">
        <v>161520</v>
      </c>
      <c r="G42" s="10">
        <v>121664</v>
      </c>
      <c r="H42" s="10">
        <v>64325</v>
      </c>
      <c r="I42" s="10">
        <v>7190</v>
      </c>
      <c r="J42" s="10">
        <v>0</v>
      </c>
      <c r="K42" s="10"/>
      <c r="L42" s="10">
        <v>16881</v>
      </c>
      <c r="M42" s="10">
        <v>8442</v>
      </c>
      <c r="N42" s="10"/>
      <c r="O42" s="10">
        <v>0</v>
      </c>
      <c r="P42" s="10"/>
      <c r="Q42" s="9">
        <v>1815171</v>
      </c>
    </row>
    <row r="43" spans="1:17" ht="10.5" customHeight="1">
      <c r="A43" s="8">
        <v>31138</v>
      </c>
      <c r="B43" s="10">
        <v>723325</v>
      </c>
      <c r="C43" s="10">
        <v>26237</v>
      </c>
      <c r="D43" s="10">
        <v>2673</v>
      </c>
      <c r="E43" s="10">
        <v>286199</v>
      </c>
      <c r="F43" s="10">
        <v>81730</v>
      </c>
      <c r="G43" s="10">
        <v>68878</v>
      </c>
      <c r="H43" s="10">
        <v>23566</v>
      </c>
      <c r="I43" s="10">
        <v>9946</v>
      </c>
      <c r="J43" s="10">
        <v>0</v>
      </c>
      <c r="K43" s="10"/>
      <c r="L43" s="10">
        <v>10290</v>
      </c>
      <c r="M43" s="10">
        <v>3835</v>
      </c>
      <c r="N43" s="10"/>
      <c r="O43" s="10">
        <v>0</v>
      </c>
      <c r="P43" s="10"/>
      <c r="Q43" s="9">
        <v>1236679</v>
      </c>
    </row>
    <row r="44" spans="1:17" ht="10.5" customHeight="1">
      <c r="A44" s="8">
        <v>31168</v>
      </c>
      <c r="B44" s="10">
        <v>882268</v>
      </c>
      <c r="C44" s="10">
        <v>26252</v>
      </c>
      <c r="D44" s="10">
        <v>2884</v>
      </c>
      <c r="E44" s="10">
        <v>448931</v>
      </c>
      <c r="F44" s="10">
        <v>100662</v>
      </c>
      <c r="G44" s="10">
        <v>55855</v>
      </c>
      <c r="H44" s="10">
        <v>25454</v>
      </c>
      <c r="I44" s="10">
        <v>8820</v>
      </c>
      <c r="J44" s="10">
        <v>0</v>
      </c>
      <c r="K44" s="10"/>
      <c r="L44" s="10">
        <v>14444</v>
      </c>
      <c r="M44" s="10">
        <v>6284</v>
      </c>
      <c r="N44" s="10"/>
      <c r="O44" s="10">
        <v>0</v>
      </c>
      <c r="P44" s="10"/>
      <c r="Q44" s="9">
        <v>1571854</v>
      </c>
    </row>
    <row r="45" spans="1:17" ht="10.5" customHeight="1">
      <c r="A45" s="8">
        <v>31199</v>
      </c>
      <c r="B45" s="10">
        <v>965602</v>
      </c>
      <c r="C45" s="10">
        <v>15028</v>
      </c>
      <c r="D45" s="10">
        <v>2064</v>
      </c>
      <c r="E45" s="10">
        <v>265317</v>
      </c>
      <c r="F45" s="10">
        <v>126784</v>
      </c>
      <c r="G45" s="10">
        <v>52022</v>
      </c>
      <c r="H45" s="10">
        <v>17341</v>
      </c>
      <c r="I45" s="10">
        <v>10609</v>
      </c>
      <c r="J45" s="10">
        <v>0</v>
      </c>
      <c r="K45" s="10"/>
      <c r="L45" s="10">
        <v>7075</v>
      </c>
      <c r="M45" s="10">
        <v>5447</v>
      </c>
      <c r="N45" s="10"/>
      <c r="O45" s="10">
        <v>0</v>
      </c>
      <c r="P45" s="10"/>
      <c r="Q45" s="9">
        <v>1467289</v>
      </c>
    </row>
    <row r="46" spans="1:17" ht="10.5" customHeight="1">
      <c r="A46" s="8">
        <v>31229</v>
      </c>
      <c r="B46" s="10">
        <v>1155122</v>
      </c>
      <c r="C46" s="10">
        <v>28389</v>
      </c>
      <c r="D46" s="10">
        <v>1904</v>
      </c>
      <c r="E46" s="10">
        <v>437468</v>
      </c>
      <c r="F46" s="10">
        <v>78852</v>
      </c>
      <c r="G46" s="10">
        <v>47835</v>
      </c>
      <c r="H46" s="10">
        <v>8412</v>
      </c>
      <c r="I46" s="10">
        <v>3305</v>
      </c>
      <c r="J46" s="10">
        <v>0</v>
      </c>
      <c r="K46" s="10"/>
      <c r="L46" s="10">
        <v>11644</v>
      </c>
      <c r="M46" s="10">
        <v>11297</v>
      </c>
      <c r="N46" s="10"/>
      <c r="O46" s="10">
        <v>0</v>
      </c>
      <c r="P46" s="10"/>
      <c r="Q46" s="9">
        <v>1784228</v>
      </c>
    </row>
    <row r="47" spans="1:17" ht="10.5" customHeight="1">
      <c r="A47" s="8">
        <v>31260</v>
      </c>
      <c r="B47" s="10">
        <v>964219</v>
      </c>
      <c r="C47" s="10">
        <v>26744</v>
      </c>
      <c r="D47" s="10">
        <v>1903</v>
      </c>
      <c r="E47" s="10">
        <v>496230</v>
      </c>
      <c r="F47" s="10">
        <v>149088</v>
      </c>
      <c r="G47" s="10">
        <v>46004</v>
      </c>
      <c r="H47" s="10">
        <v>7032</v>
      </c>
      <c r="I47" s="10">
        <v>2348</v>
      </c>
      <c r="J47" s="10">
        <v>0</v>
      </c>
      <c r="K47" s="10"/>
      <c r="L47" s="10">
        <v>9161</v>
      </c>
      <c r="M47" s="10">
        <v>6003</v>
      </c>
      <c r="N47" s="10"/>
      <c r="O47" s="10">
        <v>0</v>
      </c>
      <c r="P47" s="10"/>
      <c r="Q47" s="9">
        <v>1708732</v>
      </c>
    </row>
    <row r="48" spans="1:17" ht="10.5" customHeight="1">
      <c r="A48" s="8">
        <v>31291</v>
      </c>
      <c r="B48" s="10">
        <v>1142944</v>
      </c>
      <c r="C48" s="10">
        <v>29008</v>
      </c>
      <c r="D48" s="10">
        <v>2491</v>
      </c>
      <c r="E48" s="10">
        <v>486667</v>
      </c>
      <c r="F48" s="10">
        <v>102880</v>
      </c>
      <c r="G48" s="10">
        <v>49320</v>
      </c>
      <c r="H48" s="10">
        <v>8505</v>
      </c>
      <c r="I48" s="10">
        <v>3872</v>
      </c>
      <c r="J48" s="10">
        <v>159</v>
      </c>
      <c r="K48" s="10"/>
      <c r="L48" s="10">
        <v>6486</v>
      </c>
      <c r="M48" s="10">
        <v>6497</v>
      </c>
      <c r="N48" s="10"/>
      <c r="O48" s="10">
        <v>0</v>
      </c>
      <c r="P48" s="10"/>
      <c r="Q48" s="9">
        <v>1838829</v>
      </c>
    </row>
    <row r="49" spans="1:17" ht="10.5" customHeight="1">
      <c r="A49" s="8">
        <v>31321</v>
      </c>
      <c r="B49" s="10">
        <v>1195583</v>
      </c>
      <c r="C49" s="10">
        <v>24496</v>
      </c>
      <c r="D49" s="10">
        <v>2966</v>
      </c>
      <c r="E49" s="10">
        <v>540163</v>
      </c>
      <c r="F49" s="10">
        <v>132719</v>
      </c>
      <c r="G49" s="10">
        <v>49297</v>
      </c>
      <c r="H49" s="10">
        <v>11815</v>
      </c>
      <c r="I49" s="10">
        <v>5789</v>
      </c>
      <c r="J49" s="10">
        <v>0</v>
      </c>
      <c r="K49" s="10"/>
      <c r="L49" s="10">
        <v>10767</v>
      </c>
      <c r="M49" s="10">
        <v>8465</v>
      </c>
      <c r="N49" s="10"/>
      <c r="O49" s="10">
        <v>0</v>
      </c>
      <c r="P49" s="10"/>
      <c r="Q49" s="9">
        <v>1982060</v>
      </c>
    </row>
    <row r="50" spans="1:17" ht="10.5" customHeight="1">
      <c r="A50" s="8">
        <v>31352</v>
      </c>
      <c r="B50" s="10">
        <v>1186809</v>
      </c>
      <c r="C50" s="10">
        <v>24394</v>
      </c>
      <c r="D50" s="10">
        <v>2910</v>
      </c>
      <c r="E50" s="10">
        <v>440135</v>
      </c>
      <c r="F50" s="10">
        <v>86267</v>
      </c>
      <c r="G50" s="10">
        <v>74714</v>
      </c>
      <c r="H50" s="10">
        <v>50608</v>
      </c>
      <c r="I50" s="10">
        <v>5708</v>
      </c>
      <c r="J50" s="10">
        <v>0</v>
      </c>
      <c r="K50" s="10"/>
      <c r="L50" s="10">
        <v>8635</v>
      </c>
      <c r="M50" s="10">
        <v>9211</v>
      </c>
      <c r="N50" s="10"/>
      <c r="O50" s="10">
        <v>0</v>
      </c>
      <c r="P50" s="10"/>
      <c r="Q50" s="9">
        <v>1889391</v>
      </c>
    </row>
    <row r="51" spans="1:17" ht="10.5" customHeight="1">
      <c r="A51" s="8">
        <v>31382</v>
      </c>
      <c r="B51" s="10">
        <v>1620063</v>
      </c>
      <c r="C51" s="10">
        <v>44037</v>
      </c>
      <c r="D51" s="10">
        <v>3967</v>
      </c>
      <c r="E51" s="10">
        <v>428724</v>
      </c>
      <c r="F51" s="10">
        <v>198835</v>
      </c>
      <c r="G51" s="10">
        <v>74880</v>
      </c>
      <c r="H51" s="10">
        <v>54892</v>
      </c>
      <c r="I51" s="10">
        <v>9483</v>
      </c>
      <c r="J51" s="10">
        <v>0</v>
      </c>
      <c r="K51" s="10"/>
      <c r="L51" s="10">
        <v>17476</v>
      </c>
      <c r="M51" s="10">
        <v>15735</v>
      </c>
      <c r="N51" s="10"/>
      <c r="O51" s="10">
        <v>0</v>
      </c>
      <c r="Q51" s="9">
        <v>2468092</v>
      </c>
    </row>
    <row r="52" spans="1:17" ht="10.5" customHeight="1">
      <c r="A52" s="8">
        <v>31413</v>
      </c>
      <c r="B52" s="10">
        <v>1195937</v>
      </c>
      <c r="C52" s="10">
        <v>43722</v>
      </c>
      <c r="D52" s="10">
        <v>2300</v>
      </c>
      <c r="E52" s="10">
        <v>533169</v>
      </c>
      <c r="F52" s="10">
        <v>106886</v>
      </c>
      <c r="G52" s="10">
        <v>108797</v>
      </c>
      <c r="H52" s="10">
        <v>59392</v>
      </c>
      <c r="I52" s="10">
        <v>12471</v>
      </c>
      <c r="J52" s="10">
        <v>0</v>
      </c>
      <c r="K52" s="10"/>
      <c r="L52" s="10">
        <v>11097</v>
      </c>
      <c r="M52" s="10">
        <v>16390</v>
      </c>
      <c r="N52" s="10"/>
      <c r="O52" s="10">
        <v>0</v>
      </c>
      <c r="Q52" s="9">
        <v>2090161</v>
      </c>
    </row>
    <row r="53" spans="1:17" ht="10.5" customHeight="1">
      <c r="A53" s="8">
        <v>31444</v>
      </c>
      <c r="B53" s="10">
        <v>1365193</v>
      </c>
      <c r="C53" s="10">
        <v>34660</v>
      </c>
      <c r="D53" s="10">
        <v>3985</v>
      </c>
      <c r="E53" s="10">
        <v>767371</v>
      </c>
      <c r="F53" s="10">
        <v>242188</v>
      </c>
      <c r="G53" s="10">
        <v>151619</v>
      </c>
      <c r="H53" s="10">
        <v>75110</v>
      </c>
      <c r="I53" s="10">
        <v>17958</v>
      </c>
      <c r="J53" s="10">
        <v>0</v>
      </c>
      <c r="K53" s="10"/>
      <c r="L53" s="10">
        <v>15532</v>
      </c>
      <c r="M53" s="10">
        <v>15124</v>
      </c>
      <c r="N53" s="10"/>
      <c r="O53" s="10">
        <v>0</v>
      </c>
      <c r="Q53" s="9">
        <v>2688740</v>
      </c>
    </row>
    <row r="54" spans="1:17" ht="10.5" customHeight="1">
      <c r="A54" s="8">
        <v>31472</v>
      </c>
      <c r="B54" s="10">
        <v>1584673</v>
      </c>
      <c r="C54" s="10">
        <v>36238</v>
      </c>
      <c r="D54" s="10">
        <v>4681</v>
      </c>
      <c r="E54" s="10">
        <v>554981</v>
      </c>
      <c r="F54" s="10">
        <v>134681</v>
      </c>
      <c r="G54" s="10">
        <v>155407</v>
      </c>
      <c r="H54" s="10">
        <v>88991</v>
      </c>
      <c r="I54" s="10">
        <v>11605</v>
      </c>
      <c r="J54" s="10">
        <v>0</v>
      </c>
      <c r="K54" s="10"/>
      <c r="L54" s="10">
        <v>23353</v>
      </c>
      <c r="M54" s="10">
        <v>10477</v>
      </c>
      <c r="N54" s="10"/>
      <c r="O54" s="10">
        <v>0</v>
      </c>
      <c r="Q54" s="9">
        <v>2605087</v>
      </c>
    </row>
    <row r="55" spans="1:17" ht="10.5" customHeight="1">
      <c r="A55" s="8">
        <v>31503</v>
      </c>
      <c r="B55" s="10">
        <v>1525458</v>
      </c>
      <c r="C55" s="10">
        <v>42619</v>
      </c>
      <c r="D55" s="10">
        <v>3628</v>
      </c>
      <c r="E55" s="10">
        <v>786241</v>
      </c>
      <c r="F55" s="10">
        <v>232598</v>
      </c>
      <c r="G55" s="10">
        <v>135513</v>
      </c>
      <c r="H55" s="10">
        <v>81406</v>
      </c>
      <c r="I55" s="10">
        <v>6301</v>
      </c>
      <c r="J55" s="10">
        <v>0</v>
      </c>
      <c r="K55" s="10"/>
      <c r="L55" s="10">
        <v>9801</v>
      </c>
      <c r="M55" s="10">
        <v>10862</v>
      </c>
      <c r="N55" s="10"/>
      <c r="O55" s="10">
        <v>0</v>
      </c>
      <c r="Q55" s="9">
        <v>2834427</v>
      </c>
    </row>
    <row r="56" spans="1:17" ht="10.5" customHeight="1">
      <c r="A56" s="8">
        <v>31533</v>
      </c>
      <c r="B56" s="10">
        <v>1397572</v>
      </c>
      <c r="C56" s="10">
        <v>37140</v>
      </c>
      <c r="D56" s="10">
        <v>2716</v>
      </c>
      <c r="E56" s="10">
        <v>726883</v>
      </c>
      <c r="F56" s="10">
        <v>122383</v>
      </c>
      <c r="G56" s="10">
        <v>107115</v>
      </c>
      <c r="H56" s="10">
        <v>41719</v>
      </c>
      <c r="I56" s="10">
        <v>4908</v>
      </c>
      <c r="J56" s="10">
        <v>0</v>
      </c>
      <c r="K56" s="10"/>
      <c r="L56" s="10">
        <v>18136</v>
      </c>
      <c r="M56" s="10">
        <v>9665</v>
      </c>
      <c r="N56" s="10"/>
      <c r="O56" s="10">
        <v>0</v>
      </c>
      <c r="Q56" s="9">
        <v>2468237</v>
      </c>
    </row>
    <row r="57" spans="1:17" ht="10.5" customHeight="1">
      <c r="A57" s="8">
        <v>31564</v>
      </c>
      <c r="B57" s="10">
        <v>1447468</v>
      </c>
      <c r="C57" s="10">
        <v>41887</v>
      </c>
      <c r="D57" s="10">
        <v>3407</v>
      </c>
      <c r="E57" s="10">
        <v>841526</v>
      </c>
      <c r="F57" s="10">
        <v>258035</v>
      </c>
      <c r="G57" s="10">
        <v>107007</v>
      </c>
      <c r="H57" s="10">
        <v>36914</v>
      </c>
      <c r="I57" s="10">
        <v>8593</v>
      </c>
      <c r="J57" s="10">
        <v>0</v>
      </c>
      <c r="K57" s="10"/>
      <c r="L57" s="10">
        <v>24870</v>
      </c>
      <c r="M57" s="10">
        <v>13337</v>
      </c>
      <c r="N57" s="10"/>
      <c r="O57" s="10">
        <v>0</v>
      </c>
      <c r="Q57" s="9">
        <v>2783044</v>
      </c>
    </row>
    <row r="58" spans="1:17" ht="10.5" customHeight="1">
      <c r="A58" s="8">
        <v>31594</v>
      </c>
      <c r="B58" s="10">
        <v>1644323</v>
      </c>
      <c r="C58" s="10">
        <v>36195</v>
      </c>
      <c r="D58" s="10">
        <v>2315</v>
      </c>
      <c r="E58" s="10">
        <v>587628</v>
      </c>
      <c r="F58" s="10">
        <v>169574</v>
      </c>
      <c r="G58" s="10">
        <v>109941</v>
      </c>
      <c r="H58" s="10">
        <v>22892</v>
      </c>
      <c r="I58" s="10">
        <v>10036</v>
      </c>
      <c r="J58" s="10">
        <v>0</v>
      </c>
      <c r="K58" s="10"/>
      <c r="L58" s="10">
        <v>26244</v>
      </c>
      <c r="M58" s="10">
        <v>15372</v>
      </c>
      <c r="N58" s="10"/>
      <c r="O58" s="10">
        <v>0</v>
      </c>
      <c r="Q58" s="9">
        <v>2624520</v>
      </c>
    </row>
    <row r="59" spans="1:17" ht="10.5" customHeight="1">
      <c r="A59" s="8">
        <v>31625</v>
      </c>
      <c r="B59" s="10">
        <v>1736091</v>
      </c>
      <c r="C59" s="10">
        <v>35055</v>
      </c>
      <c r="D59" s="10">
        <v>2205</v>
      </c>
      <c r="E59" s="10">
        <v>654290</v>
      </c>
      <c r="F59" s="10">
        <v>185322</v>
      </c>
      <c r="G59" s="10">
        <v>108081</v>
      </c>
      <c r="H59" s="10">
        <v>28065</v>
      </c>
      <c r="I59" s="10">
        <v>8535</v>
      </c>
      <c r="J59" s="10">
        <v>0</v>
      </c>
      <c r="K59" s="10"/>
      <c r="L59" s="10">
        <v>26457</v>
      </c>
      <c r="M59" s="10">
        <v>12379</v>
      </c>
      <c r="N59" s="10"/>
      <c r="O59" s="10">
        <v>0</v>
      </c>
      <c r="Q59" s="9">
        <v>2796480</v>
      </c>
    </row>
    <row r="60" spans="1:17" ht="10.5" customHeight="1">
      <c r="A60" s="8">
        <v>31656</v>
      </c>
      <c r="B60" s="10">
        <v>1713349</v>
      </c>
      <c r="C60" s="10">
        <v>44496</v>
      </c>
      <c r="D60" s="10">
        <v>5392</v>
      </c>
      <c r="E60" s="10">
        <v>606139</v>
      </c>
      <c r="F60" s="10">
        <v>223186</v>
      </c>
      <c r="G60" s="10">
        <v>102817</v>
      </c>
      <c r="H60" s="10">
        <v>8466</v>
      </c>
      <c r="I60" s="10">
        <v>11543</v>
      </c>
      <c r="J60" s="10">
        <v>0</v>
      </c>
      <c r="K60" s="10"/>
      <c r="L60" s="10">
        <v>27526</v>
      </c>
      <c r="M60" s="10">
        <v>14515</v>
      </c>
      <c r="N60" s="10"/>
      <c r="O60" s="10">
        <v>0</v>
      </c>
      <c r="Q60" s="9">
        <v>2757429</v>
      </c>
    </row>
    <row r="61" spans="1:17" ht="10.5" customHeight="1">
      <c r="A61" s="8">
        <v>31686</v>
      </c>
      <c r="B61" s="10">
        <v>1570733</v>
      </c>
      <c r="C61" s="10">
        <v>51937</v>
      </c>
      <c r="D61" s="10">
        <v>4365</v>
      </c>
      <c r="E61" s="10">
        <v>468745</v>
      </c>
      <c r="F61" s="10">
        <v>274750</v>
      </c>
      <c r="G61" s="10">
        <v>109531</v>
      </c>
      <c r="H61" s="10">
        <v>33691</v>
      </c>
      <c r="I61" s="10">
        <v>11338</v>
      </c>
      <c r="J61" s="10">
        <v>0</v>
      </c>
      <c r="K61" s="10"/>
      <c r="L61" s="10">
        <v>35547</v>
      </c>
      <c r="M61" s="10">
        <v>13973</v>
      </c>
      <c r="N61" s="10"/>
      <c r="O61" s="10">
        <v>0</v>
      </c>
      <c r="Q61" s="9">
        <v>2574610</v>
      </c>
    </row>
    <row r="62" spans="1:17" ht="10.5" customHeight="1">
      <c r="A62" s="8">
        <v>31717</v>
      </c>
      <c r="B62" s="10">
        <v>1926577</v>
      </c>
      <c r="C62" s="10">
        <v>44717</v>
      </c>
      <c r="D62" s="10">
        <v>4497</v>
      </c>
      <c r="E62" s="10">
        <v>607428</v>
      </c>
      <c r="F62" s="10">
        <v>202352</v>
      </c>
      <c r="G62" s="10">
        <v>151707</v>
      </c>
      <c r="H62" s="10">
        <v>101181</v>
      </c>
      <c r="I62" s="10">
        <v>14078</v>
      </c>
      <c r="J62" s="10">
        <v>1289538</v>
      </c>
      <c r="K62" s="10"/>
      <c r="L62" s="10">
        <v>37271</v>
      </c>
      <c r="M62" s="10">
        <v>19459</v>
      </c>
      <c r="N62" s="10"/>
      <c r="O62" s="10">
        <v>0</v>
      </c>
      <c r="Q62" s="9">
        <v>4398805</v>
      </c>
    </row>
    <row r="63" spans="1:17" ht="10.5" customHeight="1">
      <c r="A63" s="8">
        <v>31747</v>
      </c>
      <c r="B63" s="10">
        <v>2414330</v>
      </c>
      <c r="C63" s="10">
        <v>67851</v>
      </c>
      <c r="D63" s="10">
        <v>6459</v>
      </c>
      <c r="E63" s="10">
        <v>631657</v>
      </c>
      <c r="F63" s="10">
        <v>326458</v>
      </c>
      <c r="G63" s="10">
        <v>176695</v>
      </c>
      <c r="H63" s="10">
        <v>164147</v>
      </c>
      <c r="I63" s="10">
        <v>24651</v>
      </c>
      <c r="J63" s="10">
        <v>850939</v>
      </c>
      <c r="K63" s="10"/>
      <c r="L63" s="10">
        <v>56781</v>
      </c>
      <c r="M63" s="10">
        <v>20817</v>
      </c>
      <c r="N63" s="10"/>
      <c r="O63" s="10">
        <v>0</v>
      </c>
      <c r="Q63" s="9">
        <v>4740785</v>
      </c>
    </row>
    <row r="64" spans="1:17" ht="10.5" customHeight="1">
      <c r="A64" s="8">
        <v>31778</v>
      </c>
      <c r="B64" s="10">
        <v>1641088</v>
      </c>
      <c r="C64" s="10">
        <v>54317</v>
      </c>
      <c r="D64" s="10">
        <v>3202</v>
      </c>
      <c r="E64" s="10">
        <v>1097351</v>
      </c>
      <c r="F64" s="10">
        <v>206520</v>
      </c>
      <c r="G64" s="10">
        <v>199688</v>
      </c>
      <c r="H64" s="10">
        <v>75090</v>
      </c>
      <c r="I64" s="10">
        <v>22991</v>
      </c>
      <c r="J64" s="10">
        <v>324543</v>
      </c>
      <c r="K64" s="10"/>
      <c r="L64" s="10">
        <v>48121</v>
      </c>
      <c r="M64" s="10">
        <v>25910</v>
      </c>
      <c r="N64" s="10"/>
      <c r="O64" s="10">
        <v>0</v>
      </c>
      <c r="Q64" s="9">
        <v>3698821</v>
      </c>
    </row>
    <row r="65" spans="1:17" ht="10.5" customHeight="1">
      <c r="A65" s="8">
        <v>31809</v>
      </c>
      <c r="B65" s="10">
        <v>2530853</v>
      </c>
      <c r="C65" s="10">
        <v>38788</v>
      </c>
      <c r="D65" s="10">
        <v>3500</v>
      </c>
      <c r="E65" s="10">
        <v>715444</v>
      </c>
      <c r="F65" s="10">
        <v>357670</v>
      </c>
      <c r="G65" s="10">
        <v>300225</v>
      </c>
      <c r="H65" s="10">
        <v>137251</v>
      </c>
      <c r="I65" s="10">
        <v>30583</v>
      </c>
      <c r="J65" s="10">
        <v>299277</v>
      </c>
      <c r="K65" s="10"/>
      <c r="L65" s="10">
        <v>78874</v>
      </c>
      <c r="M65" s="10">
        <v>30050</v>
      </c>
      <c r="N65" s="10"/>
      <c r="O65" s="10">
        <v>0</v>
      </c>
      <c r="Q65" s="9">
        <v>4522515</v>
      </c>
    </row>
    <row r="66" spans="1:17" ht="10.5" customHeight="1">
      <c r="A66" s="8">
        <v>31837</v>
      </c>
      <c r="B66" s="10">
        <v>3062265</v>
      </c>
      <c r="C66" s="10">
        <v>67853</v>
      </c>
      <c r="D66" s="10">
        <v>5610</v>
      </c>
      <c r="E66" s="10">
        <v>1060513</v>
      </c>
      <c r="F66" s="10">
        <v>211558</v>
      </c>
      <c r="G66" s="10">
        <v>295066</v>
      </c>
      <c r="H66" s="10">
        <v>141274</v>
      </c>
      <c r="I66" s="10">
        <v>16185</v>
      </c>
      <c r="J66" s="10">
        <v>3603593</v>
      </c>
      <c r="K66" s="10"/>
      <c r="L66" s="10">
        <v>66385</v>
      </c>
      <c r="M66" s="10">
        <v>17098</v>
      </c>
      <c r="N66" s="10"/>
      <c r="O66" s="10">
        <v>0</v>
      </c>
      <c r="Q66" s="12">
        <v>8547400</v>
      </c>
    </row>
    <row r="67" spans="1:17" ht="10.5" customHeight="1">
      <c r="A67" s="8">
        <v>31868</v>
      </c>
      <c r="B67" s="10">
        <v>3025762</v>
      </c>
      <c r="C67" s="10">
        <v>63304</v>
      </c>
      <c r="D67" s="10">
        <v>6175</v>
      </c>
      <c r="E67" s="10">
        <v>988927</v>
      </c>
      <c r="F67" s="10">
        <v>332662</v>
      </c>
      <c r="G67" s="10">
        <v>247567</v>
      </c>
      <c r="H67" s="10">
        <v>139404</v>
      </c>
      <c r="I67" s="10">
        <v>13627</v>
      </c>
      <c r="J67" s="10">
        <v>323348</v>
      </c>
      <c r="K67" s="10"/>
      <c r="L67" s="10">
        <v>320711</v>
      </c>
      <c r="M67" s="10">
        <v>18148</v>
      </c>
      <c r="N67" s="10"/>
      <c r="O67" s="10">
        <v>0</v>
      </c>
      <c r="Q67" s="9">
        <v>5479635</v>
      </c>
    </row>
    <row r="68" spans="1:17" ht="10.5" customHeight="1">
      <c r="A68" s="8">
        <v>31898</v>
      </c>
      <c r="B68" s="10">
        <v>1971146</v>
      </c>
      <c r="C68" s="10">
        <v>56685</v>
      </c>
      <c r="D68" s="10">
        <v>4406</v>
      </c>
      <c r="E68" s="10">
        <v>839992</v>
      </c>
      <c r="F68" s="10">
        <v>264667</v>
      </c>
      <c r="G68" s="10">
        <v>289975</v>
      </c>
      <c r="H68" s="10">
        <v>124717</v>
      </c>
      <c r="I68" s="10">
        <v>14532</v>
      </c>
      <c r="J68" s="10">
        <v>367529</v>
      </c>
      <c r="K68" s="10"/>
      <c r="L68" s="10">
        <v>507009</v>
      </c>
      <c r="M68" s="10">
        <v>20554</v>
      </c>
      <c r="N68" s="10"/>
      <c r="O68" s="10">
        <v>0</v>
      </c>
      <c r="Q68" s="12">
        <v>4461212</v>
      </c>
    </row>
    <row r="69" spans="1:17" ht="10.5" customHeight="1">
      <c r="A69" s="8">
        <v>31929</v>
      </c>
      <c r="B69" s="10">
        <v>2247975</v>
      </c>
      <c r="C69" s="10">
        <v>65939</v>
      </c>
      <c r="D69" s="10">
        <v>4514</v>
      </c>
      <c r="E69" s="10">
        <v>936677</v>
      </c>
      <c r="F69" s="10">
        <v>246414</v>
      </c>
      <c r="G69" s="10">
        <v>103411</v>
      </c>
      <c r="H69" s="10">
        <v>76669</v>
      </c>
      <c r="I69" s="10">
        <v>15433</v>
      </c>
      <c r="J69" s="10">
        <v>318515</v>
      </c>
      <c r="K69" s="10"/>
      <c r="L69" s="10">
        <v>56283</v>
      </c>
      <c r="M69" s="10">
        <v>16967</v>
      </c>
      <c r="N69" s="10"/>
      <c r="O69" s="10">
        <v>0</v>
      </c>
      <c r="Q69" s="12">
        <v>4088797</v>
      </c>
    </row>
    <row r="70" spans="1:17" ht="10.5" customHeight="1">
      <c r="A70" s="8">
        <v>31959</v>
      </c>
      <c r="B70" s="10">
        <v>4096837</v>
      </c>
      <c r="C70" s="10">
        <v>49999</v>
      </c>
      <c r="D70" s="10">
        <v>4914</v>
      </c>
      <c r="E70" s="10">
        <v>1028107</v>
      </c>
      <c r="F70" s="10">
        <v>323127</v>
      </c>
      <c r="G70" s="10">
        <v>442287</v>
      </c>
      <c r="H70" s="10">
        <v>48883</v>
      </c>
      <c r="I70" s="10">
        <v>11303</v>
      </c>
      <c r="J70" s="10">
        <v>391001</v>
      </c>
      <c r="K70" s="10"/>
      <c r="L70" s="10">
        <v>607268</v>
      </c>
      <c r="M70" s="10">
        <v>24518</v>
      </c>
      <c r="N70" s="10"/>
      <c r="O70" s="10">
        <v>0</v>
      </c>
      <c r="Q70" s="12">
        <v>7028244</v>
      </c>
    </row>
    <row r="71" spans="1:17" ht="10.5" customHeight="1">
      <c r="A71" s="8">
        <v>31990</v>
      </c>
      <c r="B71" s="10">
        <v>2978578</v>
      </c>
      <c r="C71" s="10">
        <v>72678</v>
      </c>
      <c r="D71" s="10">
        <v>4809</v>
      </c>
      <c r="E71" s="10">
        <v>1024524</v>
      </c>
      <c r="F71" s="10">
        <v>497694</v>
      </c>
      <c r="G71" s="10">
        <v>105306</v>
      </c>
      <c r="H71" s="10">
        <v>41184</v>
      </c>
      <c r="I71" s="10">
        <v>16124</v>
      </c>
      <c r="J71" s="10">
        <v>392487</v>
      </c>
      <c r="K71" s="10"/>
      <c r="L71" s="10">
        <v>260920</v>
      </c>
      <c r="M71" s="10">
        <v>23408</v>
      </c>
      <c r="N71" s="10"/>
      <c r="O71" s="10">
        <v>0</v>
      </c>
      <c r="Q71" s="12">
        <v>5417712</v>
      </c>
    </row>
    <row r="72" spans="1:17" ht="10.5" customHeight="1">
      <c r="A72" s="8">
        <v>32021</v>
      </c>
      <c r="B72" s="10">
        <v>2745768</v>
      </c>
      <c r="C72" s="10">
        <v>71543</v>
      </c>
      <c r="D72" s="10">
        <v>5200</v>
      </c>
      <c r="E72" s="10">
        <v>1044462</v>
      </c>
      <c r="F72" s="10">
        <v>380660</v>
      </c>
      <c r="G72" s="10">
        <v>246740</v>
      </c>
      <c r="H72" s="10">
        <v>50650</v>
      </c>
      <c r="I72" s="10">
        <v>23972</v>
      </c>
      <c r="J72" s="10">
        <v>396052</v>
      </c>
      <c r="K72" s="10"/>
      <c r="L72" s="10">
        <v>275864</v>
      </c>
      <c r="M72" s="10">
        <v>24879</v>
      </c>
      <c r="N72" s="10"/>
      <c r="O72" s="10">
        <v>0</v>
      </c>
      <c r="Q72" s="12">
        <v>5265790</v>
      </c>
    </row>
    <row r="73" spans="1:17" ht="10.5" customHeight="1">
      <c r="A73" s="8">
        <v>32051</v>
      </c>
      <c r="B73" s="10">
        <v>2678560</v>
      </c>
      <c r="C73" s="10">
        <v>44817</v>
      </c>
      <c r="D73" s="10">
        <v>2962</v>
      </c>
      <c r="E73" s="10">
        <v>1223544</v>
      </c>
      <c r="F73" s="10">
        <v>378360</v>
      </c>
      <c r="G73" s="10">
        <v>319239</v>
      </c>
      <c r="H73" s="10">
        <v>116577</v>
      </c>
      <c r="I73" s="10">
        <v>24210</v>
      </c>
      <c r="J73" s="10">
        <v>377906</v>
      </c>
      <c r="K73" s="10"/>
      <c r="L73" s="10">
        <v>299270</v>
      </c>
      <c r="M73" s="10">
        <v>20060</v>
      </c>
      <c r="N73" s="10"/>
      <c r="O73" s="10">
        <v>0</v>
      </c>
      <c r="Q73" s="12">
        <v>5485505</v>
      </c>
    </row>
    <row r="74" spans="1:17" ht="10.5" customHeight="1">
      <c r="A74" s="8">
        <v>32082</v>
      </c>
      <c r="B74" s="10">
        <v>3817171</v>
      </c>
      <c r="C74" s="10">
        <v>68320</v>
      </c>
      <c r="D74" s="10">
        <v>8011</v>
      </c>
      <c r="E74" s="10">
        <v>1282409</v>
      </c>
      <c r="F74" s="10">
        <v>528981</v>
      </c>
      <c r="G74" s="10">
        <v>381119</v>
      </c>
      <c r="H74" s="10">
        <v>196960</v>
      </c>
      <c r="I74" s="10">
        <v>12493</v>
      </c>
      <c r="J74" s="10">
        <v>454038</v>
      </c>
      <c r="K74" s="10"/>
      <c r="L74" s="10">
        <v>373102</v>
      </c>
      <c r="M74" s="10">
        <v>29940</v>
      </c>
      <c r="N74" s="10"/>
      <c r="O74" s="10">
        <v>0</v>
      </c>
      <c r="Q74" s="12">
        <v>7152544</v>
      </c>
    </row>
    <row r="75" spans="1:17" ht="10.5" customHeight="1">
      <c r="A75" s="8">
        <v>32112</v>
      </c>
      <c r="B75" s="10">
        <v>4449461</v>
      </c>
      <c r="C75" s="10">
        <v>84073</v>
      </c>
      <c r="D75" s="10">
        <v>16334</v>
      </c>
      <c r="E75" s="10">
        <v>1163654</v>
      </c>
      <c r="F75" s="10">
        <v>379203</v>
      </c>
      <c r="G75" s="10">
        <v>395274</v>
      </c>
      <c r="H75" s="10">
        <v>200267</v>
      </c>
      <c r="I75" s="10">
        <v>41721</v>
      </c>
      <c r="J75" s="10">
        <v>427152</v>
      </c>
      <c r="K75" s="10"/>
      <c r="L75" s="10">
        <v>409791</v>
      </c>
      <c r="M75" s="10">
        <v>35890</v>
      </c>
      <c r="N75" s="10"/>
      <c r="O75" s="10">
        <v>0</v>
      </c>
      <c r="Q75" s="12">
        <v>7602820</v>
      </c>
    </row>
    <row r="76" spans="1:17" ht="10.5" customHeight="1">
      <c r="A76" s="8">
        <v>32143</v>
      </c>
      <c r="B76" s="10">
        <v>2239902</v>
      </c>
      <c r="C76" s="10">
        <v>56366</v>
      </c>
      <c r="D76" s="10">
        <v>2637</v>
      </c>
      <c r="E76" s="10">
        <v>1702861</v>
      </c>
      <c r="F76" s="10">
        <v>629893</v>
      </c>
      <c r="G76" s="10">
        <v>525021</v>
      </c>
      <c r="H76" s="10">
        <v>281494</v>
      </c>
      <c r="I76" s="10">
        <v>69699</v>
      </c>
      <c r="J76" s="10">
        <v>458753</v>
      </c>
      <c r="K76" s="10"/>
      <c r="L76" s="10">
        <v>354367</v>
      </c>
      <c r="M76" s="10">
        <v>36253</v>
      </c>
      <c r="N76" s="10"/>
      <c r="O76" s="10">
        <v>0</v>
      </c>
      <c r="Q76" s="9">
        <v>6357246</v>
      </c>
    </row>
    <row r="77" spans="1:17" ht="10.5" customHeight="1">
      <c r="A77" s="8">
        <v>32174</v>
      </c>
      <c r="B77" s="10">
        <v>4812767</v>
      </c>
      <c r="C77" s="10">
        <v>123017</v>
      </c>
      <c r="D77" s="10">
        <v>8714</v>
      </c>
      <c r="E77" s="10">
        <v>1662444</v>
      </c>
      <c r="F77" s="10">
        <v>318090</v>
      </c>
      <c r="G77" s="10">
        <v>496470</v>
      </c>
      <c r="H77" s="10">
        <v>250693</v>
      </c>
      <c r="I77" s="10">
        <v>22183</v>
      </c>
      <c r="J77" s="10">
        <v>426837</v>
      </c>
      <c r="K77" s="10"/>
      <c r="L77" s="10">
        <v>366417</v>
      </c>
      <c r="M77" s="10">
        <v>38838</v>
      </c>
      <c r="N77" s="10"/>
      <c r="O77" s="10">
        <v>0</v>
      </c>
      <c r="Q77" s="9">
        <v>8526470</v>
      </c>
    </row>
    <row r="78" spans="1:17" ht="10.5" customHeight="1">
      <c r="A78" s="8">
        <v>32203</v>
      </c>
      <c r="B78" s="10">
        <v>5145671</v>
      </c>
      <c r="C78" s="10">
        <v>57238</v>
      </c>
      <c r="D78" s="10">
        <v>10072</v>
      </c>
      <c r="E78" s="10">
        <v>1266456</v>
      </c>
      <c r="F78" s="10">
        <v>473786</v>
      </c>
      <c r="G78" s="10">
        <v>392814</v>
      </c>
      <c r="H78" s="10">
        <v>166384</v>
      </c>
      <c r="I78" s="10">
        <v>16946</v>
      </c>
      <c r="J78" s="10">
        <v>468766</v>
      </c>
      <c r="K78" s="10"/>
      <c r="L78" s="10">
        <v>381086</v>
      </c>
      <c r="M78" s="10">
        <v>29865</v>
      </c>
      <c r="N78" s="10"/>
      <c r="O78" s="10">
        <v>0</v>
      </c>
      <c r="Q78" s="9">
        <v>8409084</v>
      </c>
    </row>
    <row r="79" spans="1:17" ht="10.5" customHeight="1">
      <c r="A79" s="8">
        <v>32234</v>
      </c>
      <c r="B79" s="10">
        <v>4524869</v>
      </c>
      <c r="C79" s="10">
        <v>81819</v>
      </c>
      <c r="D79" s="10">
        <v>8997</v>
      </c>
      <c r="E79" s="10">
        <v>1771073</v>
      </c>
      <c r="F79" s="10">
        <v>376870</v>
      </c>
      <c r="G79" s="10">
        <v>441862</v>
      </c>
      <c r="H79" s="10">
        <v>158406</v>
      </c>
      <c r="I79" s="10">
        <v>30694</v>
      </c>
      <c r="J79" s="10">
        <v>477086</v>
      </c>
      <c r="K79" s="10"/>
      <c r="L79" s="10">
        <v>554386</v>
      </c>
      <c r="M79" s="10">
        <v>23106</v>
      </c>
      <c r="N79" s="10"/>
      <c r="O79" s="10">
        <v>0</v>
      </c>
      <c r="Q79" s="9">
        <v>8449168</v>
      </c>
    </row>
    <row r="80" spans="1:17" ht="10.5" customHeight="1">
      <c r="A80" s="8">
        <v>32264</v>
      </c>
      <c r="B80" s="10">
        <v>3372740</v>
      </c>
      <c r="C80" s="10">
        <v>63440</v>
      </c>
      <c r="D80" s="10">
        <v>7734</v>
      </c>
      <c r="E80" s="10">
        <v>1318314</v>
      </c>
      <c r="F80" s="10">
        <v>517476</v>
      </c>
      <c r="G80" s="10">
        <v>353707</v>
      </c>
      <c r="H80" s="10">
        <v>70765</v>
      </c>
      <c r="I80" s="10">
        <v>20040</v>
      </c>
      <c r="J80" s="10">
        <v>528294</v>
      </c>
      <c r="K80" s="10"/>
      <c r="L80" s="10">
        <v>462188</v>
      </c>
      <c r="M80" s="10">
        <v>35810</v>
      </c>
      <c r="N80" s="10"/>
      <c r="O80" s="10">
        <v>0</v>
      </c>
      <c r="Q80" s="9">
        <v>6750508</v>
      </c>
    </row>
    <row r="81" spans="1:17" ht="10.5" customHeight="1">
      <c r="A81" s="8">
        <v>32295</v>
      </c>
      <c r="B81" s="10">
        <v>2795955</v>
      </c>
      <c r="C81" s="10">
        <v>116756</v>
      </c>
      <c r="D81" s="10">
        <v>7000</v>
      </c>
      <c r="E81" s="10">
        <v>1645286</v>
      </c>
      <c r="F81" s="10">
        <v>404254</v>
      </c>
      <c r="G81" s="10">
        <v>376014</v>
      </c>
      <c r="H81" s="10">
        <v>32961</v>
      </c>
      <c r="I81" s="10">
        <v>18533</v>
      </c>
      <c r="J81" s="10">
        <v>600640</v>
      </c>
      <c r="K81" s="10"/>
      <c r="L81" s="10">
        <v>472141</v>
      </c>
      <c r="M81" s="10">
        <v>56911</v>
      </c>
      <c r="N81" s="10"/>
      <c r="O81" s="10">
        <v>0</v>
      </c>
      <c r="Q81" s="9">
        <v>6526451</v>
      </c>
    </row>
    <row r="82" spans="1:17" ht="10.5" customHeight="1">
      <c r="A82" s="8">
        <v>32325</v>
      </c>
      <c r="B82" s="10">
        <v>4146200</v>
      </c>
      <c r="C82" s="10">
        <v>170037</v>
      </c>
      <c r="D82" s="10">
        <v>7061</v>
      </c>
      <c r="E82" s="10">
        <v>1554920</v>
      </c>
      <c r="F82" s="10">
        <v>610757</v>
      </c>
      <c r="G82" s="10">
        <v>324238</v>
      </c>
      <c r="H82" s="10">
        <v>40841</v>
      </c>
      <c r="I82" s="10">
        <v>22745</v>
      </c>
      <c r="J82" s="10">
        <v>607007</v>
      </c>
      <c r="K82" s="10"/>
      <c r="L82" s="10">
        <v>551671</v>
      </c>
      <c r="M82" s="10">
        <v>42100</v>
      </c>
      <c r="N82" s="10"/>
      <c r="O82" s="10">
        <v>0</v>
      </c>
      <c r="Q82" s="9">
        <v>8077577</v>
      </c>
    </row>
    <row r="83" spans="1:17" ht="10.5" customHeight="1">
      <c r="A83" s="8">
        <v>32356</v>
      </c>
      <c r="B83" s="10">
        <v>7336461</v>
      </c>
      <c r="C83" s="10">
        <v>135703</v>
      </c>
      <c r="D83" s="10">
        <v>6009</v>
      </c>
      <c r="E83" s="10">
        <v>1678602</v>
      </c>
      <c r="F83" s="10">
        <v>425193</v>
      </c>
      <c r="G83" s="10">
        <v>371324</v>
      </c>
      <c r="H83" s="10">
        <v>43570</v>
      </c>
      <c r="I83" s="10">
        <v>20071</v>
      </c>
      <c r="J83" s="10">
        <v>711687</v>
      </c>
      <c r="K83" s="10"/>
      <c r="L83" s="10">
        <v>439889</v>
      </c>
      <c r="M83" s="10">
        <v>35653</v>
      </c>
      <c r="N83" s="10"/>
      <c r="O83" s="10">
        <v>0</v>
      </c>
      <c r="Q83" s="9">
        <v>11204162</v>
      </c>
    </row>
    <row r="84" spans="1:17" ht="10.5" customHeight="1">
      <c r="A84" s="8">
        <v>32387</v>
      </c>
      <c r="B84" s="10">
        <v>3671240</v>
      </c>
      <c r="C84" s="10">
        <v>76680</v>
      </c>
      <c r="D84" s="10">
        <v>6015</v>
      </c>
      <c r="E84" s="10">
        <v>1721230</v>
      </c>
      <c r="F84" s="10">
        <v>750595</v>
      </c>
      <c r="G84" s="10">
        <v>407494</v>
      </c>
      <c r="H84" s="10">
        <v>108832</v>
      </c>
      <c r="I84" s="10">
        <v>28128</v>
      </c>
      <c r="J84" s="10">
        <v>716067</v>
      </c>
      <c r="K84" s="10"/>
      <c r="L84" s="10">
        <v>506808</v>
      </c>
      <c r="M84" s="10">
        <v>48232</v>
      </c>
      <c r="N84" s="10"/>
      <c r="O84" s="10">
        <v>0</v>
      </c>
      <c r="Q84" s="9">
        <v>8041321</v>
      </c>
    </row>
    <row r="85" spans="1:17" ht="10.5" customHeight="1">
      <c r="A85" s="8">
        <v>32417</v>
      </c>
      <c r="B85" s="10">
        <v>3194247</v>
      </c>
      <c r="C85" s="10">
        <v>107691</v>
      </c>
      <c r="D85" s="10">
        <v>6401</v>
      </c>
      <c r="E85" s="10">
        <v>2139487</v>
      </c>
      <c r="F85" s="10">
        <v>484682</v>
      </c>
      <c r="G85" s="10">
        <v>455911</v>
      </c>
      <c r="H85" s="10">
        <v>161414</v>
      </c>
      <c r="I85" s="10">
        <v>31735</v>
      </c>
      <c r="J85" s="10">
        <v>727400</v>
      </c>
      <c r="K85" s="10"/>
      <c r="L85" s="10">
        <v>647169</v>
      </c>
      <c r="M85" s="10">
        <v>48800</v>
      </c>
      <c r="N85" s="10"/>
      <c r="O85" s="10">
        <v>0</v>
      </c>
      <c r="Q85" s="9">
        <v>8004937</v>
      </c>
    </row>
    <row r="86" spans="1:17" ht="10.5" customHeight="1">
      <c r="A86" s="8">
        <v>32448</v>
      </c>
      <c r="B86" s="10">
        <v>5327642</v>
      </c>
      <c r="C86" s="10">
        <v>235889</v>
      </c>
      <c r="D86" s="10">
        <v>8262</v>
      </c>
      <c r="E86" s="10">
        <v>1753459</v>
      </c>
      <c r="F86" s="10">
        <v>568081</v>
      </c>
      <c r="G86" s="10">
        <v>506293</v>
      </c>
      <c r="H86" s="10">
        <v>232409</v>
      </c>
      <c r="I86" s="10">
        <v>36145</v>
      </c>
      <c r="J86" s="10">
        <v>706147</v>
      </c>
      <c r="K86" s="10"/>
      <c r="L86" s="10">
        <v>413638</v>
      </c>
      <c r="M86" s="10">
        <v>63284</v>
      </c>
      <c r="N86" s="10"/>
      <c r="O86" s="10">
        <v>0</v>
      </c>
      <c r="Q86" s="9">
        <v>9851249</v>
      </c>
    </row>
    <row r="87" spans="1:17" ht="10.5" customHeight="1">
      <c r="A87" s="8">
        <v>32478</v>
      </c>
      <c r="B87" s="10">
        <v>7087144</v>
      </c>
      <c r="C87" s="10">
        <v>154173</v>
      </c>
      <c r="D87" s="10">
        <v>12501</v>
      </c>
      <c r="E87" s="10">
        <v>2179706</v>
      </c>
      <c r="F87" s="10">
        <v>544510</v>
      </c>
      <c r="G87" s="10">
        <v>594567</v>
      </c>
      <c r="H87" s="10">
        <v>349637</v>
      </c>
      <c r="I87" s="10">
        <v>54468</v>
      </c>
      <c r="J87" s="10">
        <v>720857</v>
      </c>
      <c r="K87" s="10"/>
      <c r="L87" s="10">
        <v>557732</v>
      </c>
      <c r="M87" s="10">
        <v>98673</v>
      </c>
      <c r="N87" s="10"/>
      <c r="O87" s="10">
        <v>0</v>
      </c>
      <c r="Q87" s="9">
        <v>12353968</v>
      </c>
    </row>
    <row r="88" spans="1:17" ht="10.5" customHeight="1">
      <c r="A88" s="8">
        <v>32509</v>
      </c>
      <c r="B88" s="10">
        <v>3988304</v>
      </c>
      <c r="C88" s="10">
        <v>121836</v>
      </c>
      <c r="D88" s="10">
        <v>9911</v>
      </c>
      <c r="E88" s="10">
        <v>2590643</v>
      </c>
      <c r="F88" s="10">
        <v>1135640</v>
      </c>
      <c r="G88" s="10">
        <v>924187</v>
      </c>
      <c r="H88" s="10">
        <v>492025</v>
      </c>
      <c r="I88" s="10">
        <v>89166</v>
      </c>
      <c r="J88" s="10">
        <v>701391</v>
      </c>
      <c r="K88" s="10"/>
      <c r="L88" s="10">
        <v>431673</v>
      </c>
      <c r="M88" s="10">
        <v>62752</v>
      </c>
      <c r="N88" s="10"/>
      <c r="O88" s="10">
        <v>0</v>
      </c>
      <c r="Q88" s="9">
        <v>10547528</v>
      </c>
    </row>
    <row r="89" spans="1:17" ht="10.5" customHeight="1">
      <c r="A89" s="8">
        <v>32540</v>
      </c>
      <c r="B89" s="10">
        <v>5675858</v>
      </c>
      <c r="C89" s="10">
        <v>97070</v>
      </c>
      <c r="D89" s="10">
        <v>9700</v>
      </c>
      <c r="E89" s="10">
        <v>2907263</v>
      </c>
      <c r="F89" s="10">
        <v>357525</v>
      </c>
      <c r="G89" s="10">
        <v>879395</v>
      </c>
      <c r="H89" s="10">
        <v>404605</v>
      </c>
      <c r="I89" s="10">
        <v>26636</v>
      </c>
      <c r="J89" s="10">
        <v>713628</v>
      </c>
      <c r="K89" s="10"/>
      <c r="L89" s="10">
        <v>502502</v>
      </c>
      <c r="M89" s="10">
        <v>62679</v>
      </c>
      <c r="N89" s="10"/>
      <c r="O89" s="10">
        <v>0</v>
      </c>
      <c r="Q89" s="9">
        <v>11636861</v>
      </c>
    </row>
    <row r="90" spans="1:17" ht="10.5" customHeight="1">
      <c r="A90" s="8">
        <v>32568</v>
      </c>
      <c r="B90" s="10">
        <v>9498726</v>
      </c>
      <c r="C90" s="10">
        <v>128484</v>
      </c>
      <c r="D90" s="10">
        <v>12711</v>
      </c>
      <c r="E90" s="10">
        <v>2323311</v>
      </c>
      <c r="F90" s="10">
        <v>837640</v>
      </c>
      <c r="G90" s="10">
        <v>768733</v>
      </c>
      <c r="H90" s="10">
        <v>344475</v>
      </c>
      <c r="I90" s="10">
        <v>24747</v>
      </c>
      <c r="J90" s="10">
        <v>722702</v>
      </c>
      <c r="K90" s="10"/>
      <c r="L90" s="10">
        <v>299762</v>
      </c>
      <c r="M90" s="10">
        <v>38656</v>
      </c>
      <c r="N90" s="10"/>
      <c r="O90" s="10">
        <v>0</v>
      </c>
      <c r="Q90" s="9">
        <v>14999947</v>
      </c>
    </row>
    <row r="91" spans="1:17" ht="10.5" customHeight="1">
      <c r="A91" s="8">
        <v>32599</v>
      </c>
      <c r="B91" s="10">
        <v>7502208</v>
      </c>
      <c r="C91" s="10">
        <v>160896</v>
      </c>
      <c r="D91" s="10">
        <v>11226</v>
      </c>
      <c r="E91" s="10">
        <v>3228714</v>
      </c>
      <c r="F91" s="10">
        <v>441490</v>
      </c>
      <c r="G91" s="10">
        <v>748547</v>
      </c>
      <c r="H91" s="10">
        <v>303903</v>
      </c>
      <c r="I91" s="10">
        <v>24708</v>
      </c>
      <c r="J91" s="10">
        <v>827722</v>
      </c>
      <c r="K91" s="10"/>
      <c r="L91" s="10">
        <v>791153</v>
      </c>
      <c r="M91" s="10">
        <v>53462</v>
      </c>
      <c r="N91" s="10"/>
      <c r="O91" s="10">
        <v>0</v>
      </c>
      <c r="Q91" s="9">
        <v>14094029</v>
      </c>
    </row>
    <row r="92" spans="1:17" ht="10.5" customHeight="1">
      <c r="A92" s="8">
        <v>32629</v>
      </c>
      <c r="B92" s="10">
        <v>6799080</v>
      </c>
      <c r="C92" s="10">
        <v>176869</v>
      </c>
      <c r="D92" s="10">
        <v>11578</v>
      </c>
      <c r="E92" s="10">
        <v>2238276</v>
      </c>
      <c r="F92" s="10">
        <v>1069399</v>
      </c>
      <c r="G92" s="10">
        <v>619755</v>
      </c>
      <c r="H92" s="10">
        <v>113568</v>
      </c>
      <c r="I92" s="10">
        <v>30793</v>
      </c>
      <c r="J92" s="10">
        <v>924933</v>
      </c>
      <c r="K92" s="10"/>
      <c r="L92" s="10">
        <v>671655</v>
      </c>
      <c r="M92" s="10">
        <v>72139</v>
      </c>
      <c r="N92" s="10"/>
      <c r="O92" s="10">
        <v>0</v>
      </c>
      <c r="Q92" s="9">
        <v>12728045</v>
      </c>
    </row>
    <row r="93" spans="1:17" ht="10.5" customHeight="1">
      <c r="A93" s="8">
        <v>32660</v>
      </c>
      <c r="B93" s="10">
        <v>3973536</v>
      </c>
      <c r="C93" s="10">
        <v>154802</v>
      </c>
      <c r="D93" s="10">
        <v>10442</v>
      </c>
      <c r="E93" s="10">
        <v>3018777</v>
      </c>
      <c r="F93" s="10">
        <v>636719</v>
      </c>
      <c r="G93" s="10">
        <v>690754</v>
      </c>
      <c r="H93" s="10">
        <v>122111</v>
      </c>
      <c r="I93" s="10">
        <v>34466</v>
      </c>
      <c r="J93" s="10">
        <v>964016</v>
      </c>
      <c r="K93" s="10"/>
      <c r="L93" s="10">
        <v>694629</v>
      </c>
      <c r="M93" s="10">
        <v>90433</v>
      </c>
      <c r="N93" s="10"/>
      <c r="O93" s="10">
        <v>0</v>
      </c>
      <c r="Q93" s="9">
        <v>10390685</v>
      </c>
    </row>
    <row r="94" spans="1:17" ht="10.5" customHeight="1">
      <c r="A94" s="8">
        <v>32690</v>
      </c>
      <c r="B94" s="10">
        <v>9745538</v>
      </c>
      <c r="C94" s="10">
        <v>173499</v>
      </c>
      <c r="D94" s="10">
        <v>13055</v>
      </c>
      <c r="E94" s="10">
        <v>2454236</v>
      </c>
      <c r="F94" s="10">
        <v>1316918</v>
      </c>
      <c r="G94" s="10">
        <v>598484</v>
      </c>
      <c r="H94" s="10">
        <v>71840</v>
      </c>
      <c r="I94" s="10">
        <v>56731</v>
      </c>
      <c r="J94" s="10">
        <v>1030708</v>
      </c>
      <c r="K94" s="10"/>
      <c r="L94" s="10">
        <v>556937</v>
      </c>
      <c r="M94" s="10">
        <v>76820</v>
      </c>
      <c r="N94" s="10"/>
      <c r="O94" s="10">
        <v>0</v>
      </c>
      <c r="Q94" s="9">
        <v>16094766</v>
      </c>
    </row>
    <row r="95" spans="1:17" ht="10.5" customHeight="1">
      <c r="A95" s="8">
        <v>32721</v>
      </c>
      <c r="B95" s="10">
        <v>11612776</v>
      </c>
      <c r="C95" s="10">
        <v>207234</v>
      </c>
      <c r="D95" s="10">
        <v>20120</v>
      </c>
      <c r="E95" s="10">
        <v>3270553</v>
      </c>
      <c r="F95" s="10">
        <v>606481</v>
      </c>
      <c r="G95" s="10">
        <v>628341</v>
      </c>
      <c r="H95" s="10">
        <v>110510</v>
      </c>
      <c r="I95" s="10">
        <v>48883</v>
      </c>
      <c r="J95" s="10">
        <v>1302667</v>
      </c>
      <c r="K95" s="10"/>
      <c r="L95" s="10">
        <v>504458</v>
      </c>
      <c r="M95" s="10">
        <v>60045</v>
      </c>
      <c r="N95" s="10"/>
      <c r="O95" s="10">
        <v>0</v>
      </c>
      <c r="Q95" s="9">
        <v>18372068</v>
      </c>
    </row>
    <row r="96" spans="1:17" ht="10.5" customHeight="1">
      <c r="A96" s="8">
        <v>32752</v>
      </c>
      <c r="B96" s="10">
        <v>5798360</v>
      </c>
      <c r="C96" s="10">
        <v>190341</v>
      </c>
      <c r="D96" s="10">
        <v>11607</v>
      </c>
      <c r="E96" s="10">
        <v>2794492</v>
      </c>
      <c r="F96" s="10">
        <v>1480763</v>
      </c>
      <c r="G96" s="10">
        <v>730214</v>
      </c>
      <c r="H96" s="10">
        <v>238495</v>
      </c>
      <c r="I96" s="10">
        <v>79428</v>
      </c>
      <c r="J96" s="10">
        <v>1338286</v>
      </c>
      <c r="K96" s="10"/>
      <c r="L96" s="10">
        <v>743819</v>
      </c>
      <c r="M96" s="10">
        <v>70176</v>
      </c>
      <c r="N96" s="10"/>
      <c r="O96" s="10">
        <v>0</v>
      </c>
      <c r="Q96" s="9">
        <v>13475981</v>
      </c>
    </row>
    <row r="97" spans="1:17" ht="10.5" customHeight="1">
      <c r="A97" s="8">
        <v>32782</v>
      </c>
      <c r="B97" s="10">
        <v>7658057</v>
      </c>
      <c r="C97" s="10">
        <v>229129</v>
      </c>
      <c r="D97" s="10">
        <v>12887</v>
      </c>
      <c r="E97" s="10">
        <v>3584573</v>
      </c>
      <c r="F97" s="10">
        <v>367777</v>
      </c>
      <c r="G97" s="10">
        <v>759738</v>
      </c>
      <c r="H97" s="10">
        <v>294307</v>
      </c>
      <c r="I97" s="10">
        <v>61968</v>
      </c>
      <c r="J97" s="10">
        <v>1261751</v>
      </c>
      <c r="K97" s="10"/>
      <c r="L97" s="10">
        <v>987315</v>
      </c>
      <c r="M97" s="10">
        <v>101299</v>
      </c>
      <c r="N97" s="10"/>
      <c r="O97" s="10">
        <v>0</v>
      </c>
      <c r="Q97" s="9">
        <v>15318801</v>
      </c>
    </row>
    <row r="98" spans="1:17" ht="10.5" customHeight="1">
      <c r="A98" s="8">
        <v>32813</v>
      </c>
      <c r="B98" s="10">
        <v>8619333</v>
      </c>
      <c r="C98" s="10">
        <v>199818</v>
      </c>
      <c r="D98" s="10">
        <v>15187</v>
      </c>
      <c r="E98" s="10">
        <v>4176240</v>
      </c>
      <c r="F98" s="10">
        <v>1688631</v>
      </c>
      <c r="G98" s="10">
        <v>453473</v>
      </c>
      <c r="H98" s="10">
        <v>974231</v>
      </c>
      <c r="I98" s="10">
        <v>50112</v>
      </c>
      <c r="J98" s="10">
        <v>1285708</v>
      </c>
      <c r="K98" s="10"/>
      <c r="L98" s="10">
        <v>845145</v>
      </c>
      <c r="M98" s="10">
        <v>110892</v>
      </c>
      <c r="N98" s="10"/>
      <c r="O98" s="10">
        <v>0</v>
      </c>
      <c r="Q98" s="9">
        <v>18418770</v>
      </c>
    </row>
    <row r="99" spans="1:17" ht="10.5" customHeight="1">
      <c r="A99" s="8">
        <v>32843</v>
      </c>
      <c r="B99" s="10">
        <v>14249757</v>
      </c>
      <c r="C99" s="10">
        <v>260084</v>
      </c>
      <c r="D99" s="10">
        <v>21025</v>
      </c>
      <c r="E99" s="10">
        <v>3515442</v>
      </c>
      <c r="F99" s="10">
        <v>839539</v>
      </c>
      <c r="G99" s="10">
        <v>1142690</v>
      </c>
      <c r="H99" s="10">
        <v>675118</v>
      </c>
      <c r="I99" s="10">
        <v>89176</v>
      </c>
      <c r="J99" s="10">
        <v>1367639</v>
      </c>
      <c r="K99" s="10"/>
      <c r="L99" s="10">
        <v>823867</v>
      </c>
      <c r="M99" s="10">
        <v>126474</v>
      </c>
      <c r="N99" s="10"/>
      <c r="O99" s="10">
        <v>0</v>
      </c>
      <c r="Q99" s="9">
        <v>23110811</v>
      </c>
    </row>
    <row r="100" spans="1:17" ht="10.5" customHeight="1">
      <c r="A100" s="8">
        <v>32874</v>
      </c>
      <c r="B100" s="10">
        <v>11940042</v>
      </c>
      <c r="C100" s="10">
        <v>118542</v>
      </c>
      <c r="D100" s="10">
        <v>23839</v>
      </c>
      <c r="E100" s="10">
        <v>4783214</v>
      </c>
      <c r="F100" s="10">
        <v>1571461</v>
      </c>
      <c r="G100" s="10">
        <v>1694651</v>
      </c>
      <c r="H100" s="10">
        <v>867923</v>
      </c>
      <c r="I100" s="10">
        <v>163410</v>
      </c>
      <c r="J100" s="10">
        <v>1458306</v>
      </c>
      <c r="K100" s="10"/>
      <c r="L100" s="10">
        <v>785548</v>
      </c>
      <c r="M100" s="10">
        <v>152958</v>
      </c>
      <c r="N100" s="10"/>
      <c r="O100" s="10">
        <v>0</v>
      </c>
      <c r="Q100" s="9">
        <v>23559894</v>
      </c>
    </row>
    <row r="101" spans="1:17" ht="10.5" customHeight="1">
      <c r="A101" s="8">
        <v>32905</v>
      </c>
      <c r="B101" s="10">
        <v>9302776</v>
      </c>
      <c r="C101" s="10">
        <v>239801</v>
      </c>
      <c r="D101" s="10">
        <v>21471</v>
      </c>
      <c r="E101" s="10">
        <v>4680534</v>
      </c>
      <c r="F101" s="10">
        <v>291008</v>
      </c>
      <c r="G101" s="10">
        <v>1662749</v>
      </c>
      <c r="H101" s="10">
        <v>871606</v>
      </c>
      <c r="I101" s="10">
        <v>114680</v>
      </c>
      <c r="J101" s="10">
        <v>1445525</v>
      </c>
      <c r="K101" s="10"/>
      <c r="L101" s="10">
        <v>991470</v>
      </c>
      <c r="M101" s="10">
        <v>87917</v>
      </c>
      <c r="N101" s="10"/>
      <c r="O101" s="10">
        <v>0</v>
      </c>
      <c r="Q101" s="9">
        <v>19709537</v>
      </c>
    </row>
    <row r="102" spans="1:17" ht="10.5" customHeight="1">
      <c r="A102" s="8">
        <v>32933</v>
      </c>
      <c r="B102" s="10">
        <v>15448565</v>
      </c>
      <c r="C102" s="10">
        <v>288546</v>
      </c>
      <c r="D102" s="10">
        <v>33509</v>
      </c>
      <c r="E102" s="10">
        <v>4395380</v>
      </c>
      <c r="F102" s="10">
        <v>1776827</v>
      </c>
      <c r="G102" s="10">
        <v>1315377</v>
      </c>
      <c r="H102" s="10">
        <v>626535</v>
      </c>
      <c r="I102" s="10">
        <v>110957</v>
      </c>
      <c r="J102" s="10">
        <v>1617028</v>
      </c>
      <c r="K102" s="10"/>
      <c r="L102" s="10">
        <v>751379</v>
      </c>
      <c r="M102" s="10">
        <v>91786</v>
      </c>
      <c r="N102" s="10"/>
      <c r="O102" s="10">
        <v>0</v>
      </c>
      <c r="Q102" s="9">
        <v>26455889</v>
      </c>
    </row>
    <row r="103" spans="1:17" ht="10.5" customHeight="1">
      <c r="A103" s="8">
        <v>32964</v>
      </c>
      <c r="B103" s="10">
        <v>17337895</v>
      </c>
      <c r="C103" s="10">
        <v>308615</v>
      </c>
      <c r="D103" s="10">
        <v>26588</v>
      </c>
      <c r="E103" s="10">
        <v>4887493</v>
      </c>
      <c r="F103" s="10">
        <v>860160</v>
      </c>
      <c r="G103" s="10">
        <v>1365803</v>
      </c>
      <c r="H103" s="10">
        <v>391649</v>
      </c>
      <c r="I103" s="10">
        <v>104265</v>
      </c>
      <c r="J103" s="10">
        <v>1565477</v>
      </c>
      <c r="K103" s="10"/>
      <c r="L103" s="10">
        <v>1224818</v>
      </c>
      <c r="M103" s="10">
        <v>145815</v>
      </c>
      <c r="N103" s="10"/>
      <c r="O103" s="10">
        <v>0</v>
      </c>
      <c r="Q103" s="9">
        <v>28218578</v>
      </c>
    </row>
    <row r="104" spans="1:17" ht="10.5" customHeight="1">
      <c r="A104" s="8">
        <v>32994</v>
      </c>
      <c r="B104" s="10">
        <v>8864483</v>
      </c>
      <c r="C104" s="10">
        <v>344245</v>
      </c>
      <c r="D104" s="10">
        <v>11466</v>
      </c>
      <c r="E104" s="10">
        <v>5202242</v>
      </c>
      <c r="F104" s="10">
        <v>2295859</v>
      </c>
      <c r="G104" s="10">
        <v>1197679</v>
      </c>
      <c r="H104" s="10">
        <v>258249</v>
      </c>
      <c r="I104" s="10">
        <v>121123</v>
      </c>
      <c r="J104" s="10">
        <v>2062137</v>
      </c>
      <c r="K104" s="10"/>
      <c r="L104" s="10">
        <v>1029996</v>
      </c>
      <c r="M104" s="10">
        <v>204629</v>
      </c>
      <c r="N104" s="10"/>
      <c r="O104" s="10">
        <v>0</v>
      </c>
      <c r="Q104" s="9">
        <v>21592108</v>
      </c>
    </row>
    <row r="105" spans="1:17" ht="10.5" customHeight="1">
      <c r="A105" s="8">
        <v>33025</v>
      </c>
      <c r="B105" s="10">
        <v>13088210</v>
      </c>
      <c r="C105" s="10">
        <v>478832</v>
      </c>
      <c r="D105" s="10">
        <v>15326</v>
      </c>
      <c r="E105" s="10">
        <v>8603782</v>
      </c>
      <c r="F105" s="10">
        <v>1404045</v>
      </c>
      <c r="G105" s="10">
        <v>1320993</v>
      </c>
      <c r="H105" s="10">
        <v>202614</v>
      </c>
      <c r="I105" s="10">
        <v>77674</v>
      </c>
      <c r="J105" s="10">
        <v>1873298</v>
      </c>
      <c r="K105" s="10"/>
      <c r="L105" s="10">
        <v>1503074</v>
      </c>
      <c r="M105" s="10">
        <v>275075</v>
      </c>
      <c r="N105" s="10"/>
      <c r="O105" s="10">
        <v>0</v>
      </c>
      <c r="Q105" s="9">
        <v>28842923</v>
      </c>
    </row>
    <row r="106" spans="1:17" ht="10.5" customHeight="1">
      <c r="A106" s="8">
        <v>33055</v>
      </c>
      <c r="B106" s="10">
        <v>25135405</v>
      </c>
      <c r="C106" s="10">
        <v>371925</v>
      </c>
      <c r="D106" s="10">
        <v>26494</v>
      </c>
      <c r="E106" s="10">
        <v>5142123</v>
      </c>
      <c r="F106" s="10">
        <v>2142123</v>
      </c>
      <c r="G106" s="10">
        <v>1176371</v>
      </c>
      <c r="H106" s="10">
        <v>281496</v>
      </c>
      <c r="I106" s="10">
        <v>78563</v>
      </c>
      <c r="J106" s="10">
        <v>2239856</v>
      </c>
      <c r="K106" s="10"/>
      <c r="L106" s="10">
        <v>1624338</v>
      </c>
      <c r="M106" s="10">
        <v>276783</v>
      </c>
      <c r="N106" s="10"/>
      <c r="O106" s="10">
        <v>0</v>
      </c>
      <c r="Q106" s="9">
        <v>38495477</v>
      </c>
    </row>
    <row r="107" spans="1:17" ht="10.5" customHeight="1">
      <c r="A107" s="8">
        <v>33086</v>
      </c>
      <c r="B107" s="10">
        <v>5727768</v>
      </c>
      <c r="C107" s="10">
        <v>230523</v>
      </c>
      <c r="D107" s="10">
        <v>5551</v>
      </c>
      <c r="E107" s="10">
        <v>6958049</v>
      </c>
      <c r="F107" s="10">
        <v>208915</v>
      </c>
      <c r="G107" s="10">
        <v>1355062</v>
      </c>
      <c r="H107" s="10">
        <v>54391</v>
      </c>
      <c r="I107" s="10">
        <v>46498</v>
      </c>
      <c r="J107" s="10">
        <v>2634168</v>
      </c>
      <c r="K107" s="10"/>
      <c r="L107" s="10">
        <v>532653</v>
      </c>
      <c r="M107" s="10">
        <v>253549</v>
      </c>
      <c r="N107" s="10"/>
      <c r="O107" s="10">
        <v>0</v>
      </c>
      <c r="Q107" s="9">
        <v>18007127</v>
      </c>
    </row>
    <row r="108" spans="1:17" ht="10.5" customHeight="1">
      <c r="A108" s="8">
        <v>33117</v>
      </c>
      <c r="B108" s="10">
        <v>24846828</v>
      </c>
      <c r="C108" s="10">
        <v>540423</v>
      </c>
      <c r="D108" s="10">
        <v>40620</v>
      </c>
      <c r="E108" s="10">
        <v>8804092</v>
      </c>
      <c r="F108" s="10">
        <v>4360479</v>
      </c>
      <c r="G108" s="10">
        <v>1641988</v>
      </c>
      <c r="H108" s="10">
        <v>521460</v>
      </c>
      <c r="I108" s="10">
        <v>208971</v>
      </c>
      <c r="J108" s="10">
        <v>3503795</v>
      </c>
      <c r="K108" s="10"/>
      <c r="L108" s="10">
        <v>3457595</v>
      </c>
      <c r="M108" s="10">
        <v>410864</v>
      </c>
      <c r="N108" s="10"/>
      <c r="O108" s="10">
        <v>0</v>
      </c>
      <c r="Q108" s="9">
        <v>48337115</v>
      </c>
    </row>
    <row r="109" spans="1:17" ht="10.5" customHeight="1">
      <c r="A109" s="8">
        <v>33147</v>
      </c>
      <c r="B109" s="10">
        <v>46166273</v>
      </c>
      <c r="C109" s="10">
        <v>615507</v>
      </c>
      <c r="D109" s="10">
        <v>56091</v>
      </c>
      <c r="E109" s="10">
        <v>6297655</v>
      </c>
      <c r="F109" s="10">
        <v>1091534</v>
      </c>
      <c r="G109" s="10">
        <v>1710198</v>
      </c>
      <c r="H109" s="10">
        <v>759557</v>
      </c>
      <c r="I109" s="10">
        <v>81477</v>
      </c>
      <c r="J109" s="10">
        <v>2832966</v>
      </c>
      <c r="K109" s="10"/>
      <c r="L109" s="10">
        <v>2456601</v>
      </c>
      <c r="M109" s="10">
        <v>335005</v>
      </c>
      <c r="N109" s="10"/>
      <c r="O109" s="10">
        <v>0</v>
      </c>
      <c r="Q109" s="9">
        <v>62402864</v>
      </c>
    </row>
    <row r="110" spans="1:17" ht="10.5" customHeight="1">
      <c r="A110" s="8">
        <v>33178</v>
      </c>
      <c r="B110" s="10">
        <v>11735694</v>
      </c>
      <c r="C110" s="10">
        <v>517867</v>
      </c>
      <c r="D110" s="10">
        <v>39436</v>
      </c>
      <c r="E110" s="10">
        <v>9982010</v>
      </c>
      <c r="F110" s="10">
        <v>4973784</v>
      </c>
      <c r="G110" s="10">
        <v>1753484</v>
      </c>
      <c r="H110" s="10">
        <v>1868149</v>
      </c>
      <c r="I110" s="10">
        <v>186793</v>
      </c>
      <c r="J110" s="10">
        <v>2739690</v>
      </c>
      <c r="K110" s="10"/>
      <c r="L110" s="10">
        <v>2755527</v>
      </c>
      <c r="M110" s="10">
        <v>631962</v>
      </c>
      <c r="N110" s="10"/>
      <c r="O110" s="10">
        <v>0</v>
      </c>
      <c r="Q110" s="9">
        <v>37184396</v>
      </c>
    </row>
    <row r="111" spans="1:17" ht="10.5" customHeight="1">
      <c r="A111" s="8">
        <v>33208</v>
      </c>
      <c r="B111" s="10">
        <v>13434114</v>
      </c>
      <c r="C111" s="10">
        <v>528067</v>
      </c>
      <c r="D111" s="10">
        <v>120050</v>
      </c>
      <c r="E111" s="10">
        <v>9902329</v>
      </c>
      <c r="F111" s="10">
        <v>1213610</v>
      </c>
      <c r="G111" s="10">
        <v>2893899</v>
      </c>
      <c r="H111" s="10">
        <v>1484800</v>
      </c>
      <c r="I111" s="10">
        <v>37791</v>
      </c>
      <c r="J111" s="10">
        <v>2915411</v>
      </c>
      <c r="K111" s="10"/>
      <c r="L111" s="10">
        <v>2866651</v>
      </c>
      <c r="M111" s="10">
        <v>581647</v>
      </c>
      <c r="N111" s="10"/>
      <c r="O111" s="10">
        <v>0</v>
      </c>
      <c r="Q111" s="9">
        <v>35978369</v>
      </c>
    </row>
    <row r="112" spans="1:17" ht="10.5" customHeight="1">
      <c r="A112" s="8">
        <v>33239</v>
      </c>
      <c r="B112" s="10">
        <v>28570887</v>
      </c>
      <c r="C112" s="10">
        <v>636351</v>
      </c>
      <c r="D112" s="10">
        <v>75813</v>
      </c>
      <c r="E112" s="10">
        <v>12113645</v>
      </c>
      <c r="F112" s="10">
        <v>5937001</v>
      </c>
      <c r="G112" s="10">
        <v>3884176</v>
      </c>
      <c r="H112" s="10">
        <v>2100017</v>
      </c>
      <c r="I112" s="10">
        <v>461657</v>
      </c>
      <c r="J112" s="10">
        <v>4029157</v>
      </c>
      <c r="K112" s="10"/>
      <c r="L112" s="10">
        <v>3228476</v>
      </c>
      <c r="M112" s="10">
        <v>853138</v>
      </c>
      <c r="N112" s="10"/>
      <c r="O112" s="10">
        <v>0</v>
      </c>
      <c r="Q112" s="9">
        <v>61890318</v>
      </c>
    </row>
    <row r="113" spans="1:17" ht="10.5" customHeight="1">
      <c r="A113" s="8">
        <v>33270</v>
      </c>
      <c r="B113" s="10">
        <v>33456129</v>
      </c>
      <c r="C113" s="10">
        <v>829460</v>
      </c>
      <c r="D113" s="10">
        <v>114927</v>
      </c>
      <c r="E113" s="10">
        <v>13164110</v>
      </c>
      <c r="F113" s="10">
        <v>702866</v>
      </c>
      <c r="G113" s="10">
        <v>3513890</v>
      </c>
      <c r="H113" s="10">
        <v>2034308</v>
      </c>
      <c r="I113" s="10">
        <v>229395</v>
      </c>
      <c r="J113" s="10">
        <v>4080019</v>
      </c>
      <c r="K113" s="10"/>
      <c r="L113" s="10">
        <v>3543999</v>
      </c>
      <c r="M113" s="10">
        <v>556276</v>
      </c>
      <c r="N113" s="10"/>
      <c r="O113" s="10">
        <v>0</v>
      </c>
      <c r="Q113" s="9">
        <v>62225379</v>
      </c>
    </row>
    <row r="114" spans="1:17" ht="10.5" customHeight="1">
      <c r="A114" s="8">
        <v>33298</v>
      </c>
      <c r="B114" s="10">
        <v>34188560</v>
      </c>
      <c r="C114" s="10">
        <v>854108</v>
      </c>
      <c r="D114" s="10">
        <v>62330</v>
      </c>
      <c r="E114" s="10">
        <v>11818338</v>
      </c>
      <c r="F114" s="10">
        <v>2013761</v>
      </c>
      <c r="G114" s="10">
        <v>3152595</v>
      </c>
      <c r="H114" s="10">
        <v>1467691</v>
      </c>
      <c r="I114" s="10">
        <v>89493</v>
      </c>
      <c r="J114" s="10">
        <v>3636364</v>
      </c>
      <c r="K114" s="10"/>
      <c r="L114" s="10">
        <v>2142126</v>
      </c>
      <c r="M114" s="10">
        <v>422725</v>
      </c>
      <c r="N114" s="10"/>
      <c r="O114" s="10">
        <v>0</v>
      </c>
      <c r="Q114" s="9">
        <v>59848091</v>
      </c>
    </row>
    <row r="115" spans="1:17" ht="10.5" customHeight="1">
      <c r="A115" s="8">
        <v>33329</v>
      </c>
      <c r="B115" s="10">
        <v>21652969</v>
      </c>
      <c r="C115" s="10">
        <v>401879</v>
      </c>
      <c r="D115" s="10">
        <v>17406</v>
      </c>
      <c r="E115" s="10">
        <v>13046883</v>
      </c>
      <c r="F115" s="10">
        <v>924012</v>
      </c>
      <c r="G115" s="10">
        <v>3988200</v>
      </c>
      <c r="H115" s="10">
        <v>1241429</v>
      </c>
      <c r="I115" s="10">
        <v>105169</v>
      </c>
      <c r="J115" s="10">
        <v>3700000</v>
      </c>
      <c r="K115" s="10"/>
      <c r="L115" s="10">
        <v>3249685</v>
      </c>
      <c r="M115" s="10">
        <v>499308</v>
      </c>
      <c r="N115" s="10"/>
      <c r="O115" s="10">
        <v>0</v>
      </c>
      <c r="Q115" s="9">
        <v>48826940</v>
      </c>
    </row>
    <row r="116" spans="1:17" ht="10.5" customHeight="1">
      <c r="A116" s="8">
        <v>33359</v>
      </c>
      <c r="B116" s="10">
        <v>29464095</v>
      </c>
      <c r="C116" s="10">
        <v>541533</v>
      </c>
      <c r="D116" s="10">
        <v>33604</v>
      </c>
      <c r="E116" s="10">
        <v>13605275</v>
      </c>
      <c r="F116" s="10">
        <v>5496990</v>
      </c>
      <c r="G116" s="10">
        <v>3617586</v>
      </c>
      <c r="H116" s="10">
        <v>859270</v>
      </c>
      <c r="I116" s="10">
        <v>173535</v>
      </c>
      <c r="J116" s="10">
        <v>4617364</v>
      </c>
      <c r="K116" s="10"/>
      <c r="L116" s="10">
        <v>3767438</v>
      </c>
      <c r="M116" s="10">
        <v>721975</v>
      </c>
      <c r="N116" s="10"/>
      <c r="O116" s="10">
        <v>0</v>
      </c>
      <c r="Q116" s="9">
        <v>62898665</v>
      </c>
    </row>
    <row r="117" spans="1:17" ht="10.5" customHeight="1">
      <c r="A117" s="8">
        <v>33390</v>
      </c>
      <c r="B117" s="10">
        <v>36642893</v>
      </c>
      <c r="C117" s="10">
        <v>898720</v>
      </c>
      <c r="D117" s="10">
        <v>56367</v>
      </c>
      <c r="E117" s="10">
        <v>13980123</v>
      </c>
      <c r="F117" s="10">
        <v>1635281</v>
      </c>
      <c r="G117" s="10">
        <v>3375742</v>
      </c>
      <c r="H117" s="10">
        <v>543652</v>
      </c>
      <c r="I117" s="10">
        <v>124443</v>
      </c>
      <c r="J117" s="10">
        <v>4533909</v>
      </c>
      <c r="K117" s="10"/>
      <c r="L117" s="10">
        <v>5996875</v>
      </c>
      <c r="M117" s="10">
        <v>715162</v>
      </c>
      <c r="N117" s="10"/>
      <c r="O117" s="10">
        <v>0</v>
      </c>
      <c r="Q117" s="9">
        <v>68503167</v>
      </c>
    </row>
    <row r="118" spans="1:17" ht="10.5" customHeight="1">
      <c r="A118" s="8">
        <v>33420</v>
      </c>
      <c r="B118" s="10">
        <v>17372970</v>
      </c>
      <c r="C118" s="10">
        <v>773390</v>
      </c>
      <c r="D118" s="10">
        <v>45387</v>
      </c>
      <c r="E118" s="10">
        <v>13574956</v>
      </c>
      <c r="F118" s="10">
        <v>5710443</v>
      </c>
      <c r="G118" s="10">
        <v>2235370</v>
      </c>
      <c r="H118" s="10">
        <v>778682</v>
      </c>
      <c r="I118" s="10">
        <v>131715</v>
      </c>
      <c r="J118" s="10">
        <v>5343364</v>
      </c>
      <c r="K118" s="10"/>
      <c r="L118" s="10">
        <v>5240584</v>
      </c>
      <c r="M118" s="10">
        <v>1230445</v>
      </c>
      <c r="N118" s="10"/>
      <c r="O118" s="10">
        <v>0</v>
      </c>
      <c r="Q118" s="9">
        <v>52437306</v>
      </c>
    </row>
    <row r="119" spans="1:17" ht="10.5" customHeight="1">
      <c r="A119" s="8">
        <v>33451</v>
      </c>
      <c r="B119" s="10">
        <v>17314560</v>
      </c>
      <c r="C119" s="10">
        <v>497401</v>
      </c>
      <c r="D119" s="10">
        <v>37809</v>
      </c>
      <c r="E119" s="10">
        <v>15381814</v>
      </c>
      <c r="F119" s="10">
        <v>2293259</v>
      </c>
      <c r="G119" s="10">
        <v>3611054</v>
      </c>
      <c r="H119" s="10">
        <v>422782</v>
      </c>
      <c r="I119" s="10">
        <v>189775</v>
      </c>
      <c r="J119" s="10">
        <v>6610636</v>
      </c>
      <c r="K119" s="10"/>
      <c r="L119" s="10">
        <v>5224133</v>
      </c>
      <c r="M119" s="10">
        <v>708968</v>
      </c>
      <c r="N119" s="10"/>
      <c r="O119" s="10">
        <v>0</v>
      </c>
      <c r="Q119" s="9">
        <v>52292191</v>
      </c>
    </row>
    <row r="120" spans="1:17" ht="10.5" customHeight="1">
      <c r="A120" s="8">
        <v>33482</v>
      </c>
      <c r="B120" s="10">
        <v>36582925</v>
      </c>
      <c r="C120" s="10">
        <v>785883</v>
      </c>
      <c r="D120" s="10">
        <v>60931</v>
      </c>
      <c r="E120" s="10">
        <v>16276401</v>
      </c>
      <c r="F120" s="10">
        <v>6250367</v>
      </c>
      <c r="G120" s="10">
        <v>3988053</v>
      </c>
      <c r="H120" s="10">
        <v>1135435</v>
      </c>
      <c r="I120" s="10">
        <v>239017</v>
      </c>
      <c r="J120" s="10">
        <v>7261288</v>
      </c>
      <c r="K120" s="10"/>
      <c r="L120" s="10">
        <v>5904019</v>
      </c>
      <c r="M120" s="10">
        <v>733625</v>
      </c>
      <c r="N120" s="10"/>
      <c r="O120" s="10">
        <v>0</v>
      </c>
      <c r="Q120" s="9">
        <v>79217944</v>
      </c>
    </row>
    <row r="121" spans="1:17" ht="10.5" customHeight="1">
      <c r="A121" s="8">
        <v>33512</v>
      </c>
      <c r="B121" s="10">
        <v>44037547</v>
      </c>
      <c r="C121" s="10">
        <v>816198</v>
      </c>
      <c r="D121" s="10">
        <v>60197</v>
      </c>
      <c r="E121" s="10">
        <v>17184714</v>
      </c>
      <c r="F121" s="10">
        <v>1288071</v>
      </c>
      <c r="G121" s="10">
        <v>4222637</v>
      </c>
      <c r="H121" s="10">
        <v>1885835</v>
      </c>
      <c r="I121" s="10">
        <v>155257</v>
      </c>
      <c r="J121" s="10">
        <v>5100838</v>
      </c>
      <c r="K121" s="10"/>
      <c r="L121" s="10">
        <v>8266619</v>
      </c>
      <c r="M121" s="10">
        <v>865316</v>
      </c>
      <c r="N121" s="10"/>
      <c r="O121" s="10">
        <v>0</v>
      </c>
      <c r="Q121" s="9">
        <v>83883229</v>
      </c>
    </row>
    <row r="122" spans="1:17" ht="10.5" customHeight="1">
      <c r="A122" s="8">
        <v>33543</v>
      </c>
      <c r="B122" s="10">
        <v>27958946</v>
      </c>
      <c r="C122" s="10">
        <v>1286572</v>
      </c>
      <c r="D122" s="10">
        <v>73779</v>
      </c>
      <c r="E122" s="10">
        <v>20611896</v>
      </c>
      <c r="F122" s="10">
        <v>8365648</v>
      </c>
      <c r="G122" s="10">
        <v>5156302</v>
      </c>
      <c r="H122" s="10">
        <v>2564397</v>
      </c>
      <c r="I122" s="10">
        <v>395404</v>
      </c>
      <c r="J122" s="10">
        <v>7188493</v>
      </c>
      <c r="K122" s="10"/>
      <c r="L122" s="10">
        <v>6621990</v>
      </c>
      <c r="M122" s="10">
        <v>1032374</v>
      </c>
      <c r="N122" s="10"/>
      <c r="O122" s="10">
        <v>0</v>
      </c>
      <c r="Q122" s="9">
        <v>81255801</v>
      </c>
    </row>
    <row r="123" spans="1:17" ht="10.5" customHeight="1">
      <c r="A123" s="8">
        <v>33573</v>
      </c>
      <c r="B123" s="10">
        <v>39402539</v>
      </c>
      <c r="C123" s="10">
        <v>856318</v>
      </c>
      <c r="D123" s="10">
        <v>91755</v>
      </c>
      <c r="E123" s="10">
        <v>19290737</v>
      </c>
      <c r="F123" s="10">
        <v>2156208</v>
      </c>
      <c r="G123" s="10">
        <v>5745307</v>
      </c>
      <c r="H123" s="10">
        <v>2805237</v>
      </c>
      <c r="I123" s="10">
        <v>261566</v>
      </c>
      <c r="J123" s="10">
        <v>5292461</v>
      </c>
      <c r="K123" s="10"/>
      <c r="L123" s="10">
        <v>7779445</v>
      </c>
      <c r="M123" s="10">
        <v>1229532</v>
      </c>
      <c r="N123" s="10"/>
      <c r="O123" s="10">
        <v>0</v>
      </c>
      <c r="Q123" s="9">
        <v>84911105</v>
      </c>
    </row>
    <row r="124" spans="1:17" ht="10.5" customHeight="1">
      <c r="A124" s="8">
        <v>33604</v>
      </c>
      <c r="B124" s="10">
        <v>34615254</v>
      </c>
      <c r="C124" s="10">
        <v>1197271</v>
      </c>
      <c r="D124" s="10">
        <v>90709</v>
      </c>
      <c r="E124" s="10">
        <v>25596848</v>
      </c>
      <c r="F124" s="10">
        <v>8561576</v>
      </c>
      <c r="G124" s="10">
        <v>8694254</v>
      </c>
      <c r="H124" s="10">
        <v>4182090</v>
      </c>
      <c r="I124" s="10">
        <v>425884</v>
      </c>
      <c r="J124" s="10">
        <v>9551507</v>
      </c>
      <c r="K124" s="10"/>
      <c r="L124" s="10">
        <v>8298928</v>
      </c>
      <c r="M124" s="10">
        <v>1660116</v>
      </c>
      <c r="N124" s="10"/>
      <c r="O124" s="10">
        <v>0</v>
      </c>
      <c r="Q124" s="9">
        <v>102874437</v>
      </c>
    </row>
    <row r="125" spans="1:17" ht="10.5" customHeight="1">
      <c r="A125" s="8">
        <v>33635</v>
      </c>
      <c r="B125" s="10">
        <v>44599295</v>
      </c>
      <c r="C125" s="10">
        <v>987846</v>
      </c>
      <c r="D125" s="10">
        <v>94162</v>
      </c>
      <c r="E125" s="10">
        <v>26381760</v>
      </c>
      <c r="F125" s="10">
        <v>1708790</v>
      </c>
      <c r="G125" s="10">
        <v>7616167</v>
      </c>
      <c r="H125" s="10">
        <v>4110497</v>
      </c>
      <c r="I125" s="10">
        <v>153110</v>
      </c>
      <c r="J125" s="10">
        <v>7061775</v>
      </c>
      <c r="K125" s="10"/>
      <c r="L125" s="10">
        <v>7875624</v>
      </c>
      <c r="M125" s="10">
        <v>858083</v>
      </c>
      <c r="N125" s="10"/>
      <c r="O125" s="10">
        <v>0</v>
      </c>
      <c r="Q125" s="9">
        <v>101447109</v>
      </c>
    </row>
    <row r="126" spans="1:17" ht="10.5" customHeight="1">
      <c r="A126" s="8">
        <v>33664</v>
      </c>
      <c r="B126" s="10">
        <v>58705533</v>
      </c>
      <c r="C126" s="10">
        <v>1131628</v>
      </c>
      <c r="D126" s="10">
        <v>107846</v>
      </c>
      <c r="E126" s="10">
        <v>26167864</v>
      </c>
      <c r="F126" s="10">
        <v>5356137</v>
      </c>
      <c r="G126" s="10">
        <v>8219576</v>
      </c>
      <c r="H126" s="10">
        <v>3308017</v>
      </c>
      <c r="I126" s="10">
        <v>200711</v>
      </c>
      <c r="J126" s="10">
        <v>6177764</v>
      </c>
      <c r="K126" s="10"/>
      <c r="L126" s="10">
        <v>8851706</v>
      </c>
      <c r="M126" s="10">
        <v>905569</v>
      </c>
      <c r="N126" s="10"/>
      <c r="O126" s="10">
        <v>0</v>
      </c>
      <c r="Q126" s="9">
        <v>119132351</v>
      </c>
    </row>
    <row r="127" spans="1:17" ht="10.5" customHeight="1">
      <c r="A127" s="8">
        <v>33695</v>
      </c>
      <c r="B127" s="10">
        <v>47948421</v>
      </c>
      <c r="C127" s="10">
        <v>1294192</v>
      </c>
      <c r="D127" s="10">
        <v>75281</v>
      </c>
      <c r="E127" s="10">
        <v>25320533</v>
      </c>
      <c r="F127" s="10">
        <v>2362685</v>
      </c>
      <c r="G127" s="10">
        <v>8010580</v>
      </c>
      <c r="H127" s="10">
        <v>2777262</v>
      </c>
      <c r="I127" s="10">
        <v>231937</v>
      </c>
      <c r="J127" s="10">
        <v>6408181</v>
      </c>
      <c r="K127" s="10"/>
      <c r="L127" s="10">
        <v>6467944</v>
      </c>
      <c r="M127" s="10">
        <v>966729</v>
      </c>
      <c r="N127" s="10"/>
      <c r="O127" s="10">
        <v>0</v>
      </c>
      <c r="Q127" s="9">
        <v>101863745</v>
      </c>
    </row>
    <row r="128" spans="1:17" ht="10.5" customHeight="1">
      <c r="A128" s="8">
        <v>33725</v>
      </c>
      <c r="B128" s="10">
        <v>20078655</v>
      </c>
      <c r="C128" s="10">
        <v>1126315</v>
      </c>
      <c r="D128" s="10">
        <v>55471</v>
      </c>
      <c r="E128" s="10">
        <v>27286550</v>
      </c>
      <c r="F128" s="10">
        <v>7503268</v>
      </c>
      <c r="G128" s="10">
        <v>6864537</v>
      </c>
      <c r="H128" s="10">
        <v>1751655</v>
      </c>
      <c r="I128" s="10">
        <v>171419</v>
      </c>
      <c r="J128" s="10">
        <v>7676660</v>
      </c>
      <c r="K128" s="10"/>
      <c r="L128" s="10">
        <v>8988096</v>
      </c>
      <c r="M128" s="10">
        <v>904867</v>
      </c>
      <c r="N128" s="10"/>
      <c r="O128" s="10">
        <v>0</v>
      </c>
      <c r="Q128" s="9">
        <v>82407493</v>
      </c>
    </row>
    <row r="129" spans="1:17" ht="10.5" customHeight="1">
      <c r="A129" s="8">
        <v>33756</v>
      </c>
      <c r="B129" s="10">
        <v>51806609</v>
      </c>
      <c r="C129" s="10">
        <v>961536</v>
      </c>
      <c r="D129" s="10">
        <v>89844</v>
      </c>
      <c r="E129" s="10">
        <v>24101329</v>
      </c>
      <c r="F129" s="10">
        <v>4064386</v>
      </c>
      <c r="G129" s="10">
        <v>6266369</v>
      </c>
      <c r="H129" s="10">
        <v>1408875</v>
      </c>
      <c r="I129" s="10">
        <v>204113</v>
      </c>
      <c r="J129" s="10">
        <v>7649597</v>
      </c>
      <c r="K129" s="10"/>
      <c r="L129" s="10">
        <v>10533473</v>
      </c>
      <c r="M129" s="10">
        <v>1168679</v>
      </c>
      <c r="N129" s="10"/>
      <c r="O129" s="10">
        <v>0</v>
      </c>
      <c r="Q129" s="9">
        <v>108254810</v>
      </c>
    </row>
    <row r="130" spans="1:17" ht="10.5" customHeight="1">
      <c r="A130" s="8">
        <v>33786</v>
      </c>
      <c r="B130" s="10">
        <v>52960512</v>
      </c>
      <c r="C130" s="10">
        <v>1253229</v>
      </c>
      <c r="D130" s="10">
        <v>80000</v>
      </c>
      <c r="E130" s="10">
        <v>27229699</v>
      </c>
      <c r="F130" s="10">
        <v>9424946</v>
      </c>
      <c r="G130" s="10">
        <v>6283523</v>
      </c>
      <c r="H130" s="10">
        <v>1117928</v>
      </c>
      <c r="I130" s="10">
        <v>230044</v>
      </c>
      <c r="J130" s="10">
        <v>10513601</v>
      </c>
      <c r="K130" s="10"/>
      <c r="L130" s="10">
        <v>10413188</v>
      </c>
      <c r="M130" s="10">
        <v>1171943</v>
      </c>
      <c r="N130" s="10"/>
      <c r="O130" s="10">
        <v>0</v>
      </c>
      <c r="Q130" s="9">
        <v>120678613</v>
      </c>
    </row>
    <row r="131" spans="1:17" ht="10.5" customHeight="1">
      <c r="A131" s="8">
        <v>33817</v>
      </c>
      <c r="B131" s="10">
        <v>40485888</v>
      </c>
      <c r="C131" s="10">
        <v>841284</v>
      </c>
      <c r="D131" s="10">
        <v>114373</v>
      </c>
      <c r="E131" s="10">
        <v>29926320</v>
      </c>
      <c r="F131" s="10">
        <v>3587863</v>
      </c>
      <c r="G131" s="10">
        <v>6675855</v>
      </c>
      <c r="H131" s="10">
        <v>1055821</v>
      </c>
      <c r="I131" s="10">
        <v>241562</v>
      </c>
      <c r="J131" s="10">
        <v>9280024</v>
      </c>
      <c r="K131" s="10"/>
      <c r="L131" s="10">
        <v>11224838</v>
      </c>
      <c r="M131" s="10">
        <v>1303096</v>
      </c>
      <c r="N131" s="10"/>
      <c r="O131" s="10">
        <v>0</v>
      </c>
      <c r="Q131" s="9">
        <v>104736924</v>
      </c>
    </row>
    <row r="132" spans="1:17" ht="10.5" customHeight="1">
      <c r="A132" s="8">
        <v>33848</v>
      </c>
      <c r="B132" s="10">
        <v>61882843</v>
      </c>
      <c r="C132" s="10">
        <v>947889</v>
      </c>
      <c r="D132" s="10">
        <v>104600</v>
      </c>
      <c r="E132" s="10">
        <v>28478181</v>
      </c>
      <c r="F132" s="10">
        <v>7116858</v>
      </c>
      <c r="G132" s="10">
        <v>7793048</v>
      </c>
      <c r="H132" s="10">
        <v>1431044</v>
      </c>
      <c r="I132" s="10">
        <v>106013</v>
      </c>
      <c r="J132" s="10">
        <v>8277822</v>
      </c>
      <c r="K132" s="10"/>
      <c r="L132" s="10">
        <v>7629570</v>
      </c>
      <c r="M132" s="10">
        <v>5183246</v>
      </c>
      <c r="N132" s="10"/>
      <c r="O132" s="10">
        <v>0</v>
      </c>
      <c r="Q132" s="9">
        <v>128951114</v>
      </c>
    </row>
    <row r="133" spans="1:17" ht="10.5" customHeight="1">
      <c r="A133" s="8">
        <v>33878</v>
      </c>
      <c r="B133" s="10">
        <v>53494231</v>
      </c>
      <c r="C133" s="10">
        <v>1194653</v>
      </c>
      <c r="D133" s="10">
        <v>88393</v>
      </c>
      <c r="E133" s="10">
        <v>35464449</v>
      </c>
      <c r="F133" s="10">
        <v>3471861</v>
      </c>
      <c r="G133" s="10">
        <v>7914608</v>
      </c>
      <c r="H133" s="10">
        <v>3726762</v>
      </c>
      <c r="I133" s="10">
        <v>357419</v>
      </c>
      <c r="J133" s="10">
        <v>6460510</v>
      </c>
      <c r="K133" s="10"/>
      <c r="L133" s="10">
        <v>14542651</v>
      </c>
      <c r="M133" s="10">
        <v>1344968</v>
      </c>
      <c r="N133" s="10"/>
      <c r="O133" s="10">
        <v>0</v>
      </c>
      <c r="Q133" s="9">
        <v>128060505</v>
      </c>
    </row>
    <row r="134" spans="1:17" ht="10.5" customHeight="1">
      <c r="A134" s="8">
        <v>33909</v>
      </c>
      <c r="B134" s="10">
        <v>45865331</v>
      </c>
      <c r="C134" s="10">
        <v>1672287</v>
      </c>
      <c r="D134" s="10">
        <v>110463</v>
      </c>
      <c r="E134" s="10">
        <v>31717004</v>
      </c>
      <c r="F134" s="10">
        <v>12250770</v>
      </c>
      <c r="G134" s="10">
        <v>10041731</v>
      </c>
      <c r="H134" s="10">
        <v>5050056</v>
      </c>
      <c r="I134" s="10">
        <v>576550</v>
      </c>
      <c r="J134" s="10">
        <v>7558400</v>
      </c>
      <c r="K134" s="10"/>
      <c r="L134" s="10">
        <v>13188519</v>
      </c>
      <c r="M134" s="10">
        <v>1775124</v>
      </c>
      <c r="N134" s="10"/>
      <c r="O134" s="10">
        <v>0</v>
      </c>
      <c r="Q134" s="9">
        <v>129806235</v>
      </c>
    </row>
    <row r="135" spans="1:17" ht="10.5" customHeight="1">
      <c r="A135" s="8">
        <v>33939</v>
      </c>
      <c r="B135" s="10">
        <v>48503130</v>
      </c>
      <c r="C135" s="10">
        <v>1419191</v>
      </c>
      <c r="D135" s="10">
        <v>123481</v>
      </c>
      <c r="E135" s="10">
        <v>30395027</v>
      </c>
      <c r="F135" s="10">
        <v>5953865</v>
      </c>
      <c r="G135" s="10">
        <v>9694578</v>
      </c>
      <c r="H135" s="10">
        <v>5222494</v>
      </c>
      <c r="I135" s="10">
        <v>484064</v>
      </c>
      <c r="J135" s="10">
        <v>5817624</v>
      </c>
      <c r="K135" s="10"/>
      <c r="L135" s="10">
        <v>16249334</v>
      </c>
      <c r="M135" s="10">
        <v>2296134</v>
      </c>
      <c r="N135" s="10"/>
      <c r="O135" s="10">
        <v>0</v>
      </c>
      <c r="Q135" s="9">
        <v>126158922</v>
      </c>
    </row>
    <row r="136" spans="1:17" ht="10.5" customHeight="1">
      <c r="A136" s="8">
        <v>33970</v>
      </c>
      <c r="B136" s="10">
        <v>37268926</v>
      </c>
      <c r="C136" s="10">
        <v>2097920</v>
      </c>
      <c r="D136" s="10">
        <v>131068</v>
      </c>
      <c r="E136" s="10">
        <v>46657987</v>
      </c>
      <c r="F136" s="10">
        <v>11656551</v>
      </c>
      <c r="G136" s="10">
        <v>16462483</v>
      </c>
      <c r="H136" s="10">
        <v>6814536</v>
      </c>
      <c r="I136" s="10">
        <v>377169</v>
      </c>
      <c r="J136" s="10">
        <v>7358025</v>
      </c>
      <c r="K136" s="10"/>
      <c r="L136" s="10">
        <v>16188428</v>
      </c>
      <c r="M136" s="10">
        <v>2274033</v>
      </c>
      <c r="N136" s="10"/>
      <c r="O136" s="10">
        <v>0</v>
      </c>
      <c r="Q136" s="9">
        <v>147287126</v>
      </c>
    </row>
    <row r="137" spans="1:17" ht="10.5" customHeight="1">
      <c r="A137" s="8">
        <v>34001</v>
      </c>
      <c r="B137" s="10">
        <v>62346227</v>
      </c>
      <c r="C137" s="10">
        <v>1530089</v>
      </c>
      <c r="D137" s="10">
        <v>91802</v>
      </c>
      <c r="E137" s="10">
        <v>40575765</v>
      </c>
      <c r="F137" s="10">
        <v>1829488</v>
      </c>
      <c r="G137" s="10">
        <v>12716525</v>
      </c>
      <c r="H137" s="10">
        <v>6366514</v>
      </c>
      <c r="I137" s="10">
        <v>295560</v>
      </c>
      <c r="J137" s="10">
        <v>9745309</v>
      </c>
      <c r="K137" s="10"/>
      <c r="L137" s="10">
        <v>13829979</v>
      </c>
      <c r="M137" s="10">
        <v>1666112</v>
      </c>
      <c r="N137" s="10"/>
      <c r="O137" s="10">
        <v>0</v>
      </c>
      <c r="Q137" s="9">
        <v>150993370</v>
      </c>
    </row>
    <row r="138" spans="1:17" ht="10.5" customHeight="1">
      <c r="A138" s="8">
        <v>34029</v>
      </c>
      <c r="B138" s="10">
        <v>60351784</v>
      </c>
      <c r="C138" s="10">
        <v>1632329</v>
      </c>
      <c r="D138" s="10">
        <v>83046</v>
      </c>
      <c r="E138" s="10">
        <v>37645230</v>
      </c>
      <c r="F138" s="10">
        <v>6720949</v>
      </c>
      <c r="G138" s="10">
        <v>10167944</v>
      </c>
      <c r="H138" s="10">
        <v>5051940</v>
      </c>
      <c r="I138" s="10">
        <v>475496</v>
      </c>
      <c r="J138" s="10">
        <v>8119698</v>
      </c>
      <c r="K138" s="10"/>
      <c r="L138" s="10">
        <v>20477555</v>
      </c>
      <c r="M138" s="10">
        <v>1204305</v>
      </c>
      <c r="N138" s="10"/>
      <c r="O138" s="10">
        <v>0</v>
      </c>
      <c r="Q138" s="9">
        <v>151930276</v>
      </c>
    </row>
    <row r="139" spans="1:17" ht="10.5" customHeight="1">
      <c r="A139" s="8">
        <v>34060</v>
      </c>
      <c r="B139" s="10">
        <v>47216517</v>
      </c>
      <c r="C139" s="10">
        <v>1521987</v>
      </c>
      <c r="D139" s="10">
        <v>65421</v>
      </c>
      <c r="E139" s="10">
        <v>44248295</v>
      </c>
      <c r="F139" s="10">
        <v>6143223</v>
      </c>
      <c r="G139" s="10">
        <v>14421956</v>
      </c>
      <c r="H139" s="10">
        <v>5620523</v>
      </c>
      <c r="I139" s="10">
        <v>433416</v>
      </c>
      <c r="J139" s="10">
        <v>10403942</v>
      </c>
      <c r="K139" s="10"/>
      <c r="L139" s="10">
        <v>16562718</v>
      </c>
      <c r="M139" s="10">
        <v>1724980</v>
      </c>
      <c r="N139" s="10"/>
      <c r="O139" s="10">
        <v>0</v>
      </c>
      <c r="Q139" s="9">
        <v>148362978</v>
      </c>
    </row>
    <row r="140" spans="1:17" ht="10.5" customHeight="1">
      <c r="A140" s="8">
        <v>34090</v>
      </c>
      <c r="B140" s="10">
        <v>52445247</v>
      </c>
      <c r="C140" s="10">
        <v>1967713</v>
      </c>
      <c r="D140" s="10">
        <v>76328</v>
      </c>
      <c r="E140" s="10">
        <v>39408107</v>
      </c>
      <c r="F140" s="10">
        <v>8162087</v>
      </c>
      <c r="G140" s="10">
        <v>12440891</v>
      </c>
      <c r="H140" s="10">
        <v>3834264</v>
      </c>
      <c r="I140" s="10">
        <v>347206</v>
      </c>
      <c r="J140" s="10">
        <v>10756182</v>
      </c>
      <c r="K140" s="10"/>
      <c r="L140" s="10">
        <v>13454253</v>
      </c>
      <c r="M140" s="10">
        <v>1666052</v>
      </c>
      <c r="N140" s="10"/>
      <c r="O140" s="10">
        <v>0</v>
      </c>
      <c r="Q140" s="9">
        <v>144558330</v>
      </c>
    </row>
    <row r="141" spans="1:17" ht="10.5" customHeight="1">
      <c r="A141" s="8">
        <v>34121</v>
      </c>
      <c r="B141" s="10">
        <v>55827577</v>
      </c>
      <c r="C141" s="10">
        <v>1954817</v>
      </c>
      <c r="D141" s="10">
        <v>106417</v>
      </c>
      <c r="E141" s="10">
        <v>36805274</v>
      </c>
      <c r="F141" s="10">
        <v>3173045</v>
      </c>
      <c r="G141" s="10">
        <v>11562571</v>
      </c>
      <c r="H141" s="10">
        <v>2522539</v>
      </c>
      <c r="I141" s="10">
        <v>296200</v>
      </c>
      <c r="J141" s="10">
        <v>10944824</v>
      </c>
      <c r="K141" s="10"/>
      <c r="L141" s="10">
        <v>17470719</v>
      </c>
      <c r="M141" s="10">
        <v>1594697</v>
      </c>
      <c r="N141" s="10"/>
      <c r="O141" s="10">
        <v>0</v>
      </c>
      <c r="Q141" s="9">
        <v>142258680</v>
      </c>
    </row>
    <row r="142" spans="1:17" ht="10.5" customHeight="1">
      <c r="A142" s="8">
        <v>34151</v>
      </c>
      <c r="B142" s="10">
        <v>54192614</v>
      </c>
      <c r="C142" s="10">
        <v>1960209</v>
      </c>
      <c r="D142" s="10">
        <v>119550</v>
      </c>
      <c r="E142" s="10">
        <v>38409550</v>
      </c>
      <c r="F142" s="10">
        <v>10042295</v>
      </c>
      <c r="G142" s="10">
        <v>10769176</v>
      </c>
      <c r="H142" s="10">
        <v>2312081</v>
      </c>
      <c r="I142" s="10">
        <v>386590</v>
      </c>
      <c r="J142" s="10">
        <v>12309882</v>
      </c>
      <c r="K142" s="10"/>
      <c r="L142" s="10">
        <v>21752702</v>
      </c>
      <c r="M142" s="10">
        <v>1749381</v>
      </c>
      <c r="N142" s="10"/>
      <c r="O142" s="10">
        <v>0</v>
      </c>
      <c r="Q142" s="9">
        <v>154004030</v>
      </c>
    </row>
    <row r="143" spans="1:17" ht="10.5" customHeight="1">
      <c r="A143" s="8">
        <v>34182</v>
      </c>
      <c r="B143" s="10">
        <v>60532150</v>
      </c>
      <c r="C143" s="10">
        <v>1836125</v>
      </c>
      <c r="D143" s="10">
        <v>99369</v>
      </c>
      <c r="E143" s="10">
        <v>43036388</v>
      </c>
      <c r="F143" s="10">
        <v>6204656</v>
      </c>
      <c r="G143" s="10">
        <v>12770467</v>
      </c>
      <c r="H143" s="10">
        <v>2182751</v>
      </c>
      <c r="I143" s="10">
        <v>384033</v>
      </c>
      <c r="J143" s="10">
        <v>13182409</v>
      </c>
      <c r="K143" s="10"/>
      <c r="L143" s="10">
        <v>13852262</v>
      </c>
      <c r="M143" s="10">
        <v>2520402</v>
      </c>
      <c r="N143" s="10"/>
      <c r="O143" s="10">
        <v>0</v>
      </c>
      <c r="Q143" s="9">
        <v>156601012</v>
      </c>
    </row>
    <row r="144" spans="1:17" ht="10.5" customHeight="1">
      <c r="A144" s="8">
        <v>34213</v>
      </c>
      <c r="B144" s="10">
        <v>71791807</v>
      </c>
      <c r="C144" s="10">
        <v>1728701</v>
      </c>
      <c r="D144" s="10">
        <v>102809</v>
      </c>
      <c r="E144" s="10">
        <v>47464470</v>
      </c>
      <c r="F144" s="10">
        <v>9729446</v>
      </c>
      <c r="G144" s="10">
        <v>13822493</v>
      </c>
      <c r="H144" s="10">
        <v>2890568</v>
      </c>
      <c r="I144" s="10">
        <v>554176</v>
      </c>
      <c r="J144" s="10">
        <v>15066348</v>
      </c>
      <c r="K144" s="10"/>
      <c r="L144" s="10">
        <v>34204193</v>
      </c>
      <c r="M144" s="10">
        <v>2052380</v>
      </c>
      <c r="N144" s="10"/>
      <c r="O144" s="10">
        <v>0</v>
      </c>
      <c r="Q144" s="9">
        <v>199407391</v>
      </c>
    </row>
    <row r="145" spans="1:17" ht="10.5" customHeight="1">
      <c r="A145" s="8">
        <v>34243</v>
      </c>
      <c r="B145" s="10">
        <v>80320641</v>
      </c>
      <c r="C145" s="10">
        <v>2075861</v>
      </c>
      <c r="D145" s="10">
        <v>105301</v>
      </c>
      <c r="E145" s="10">
        <v>44197018</v>
      </c>
      <c r="F145" s="10">
        <v>5598231</v>
      </c>
      <c r="G145" s="10">
        <v>13355785</v>
      </c>
      <c r="H145" s="10">
        <v>6383095</v>
      </c>
      <c r="I145" s="10">
        <v>452358</v>
      </c>
      <c r="J145" s="10">
        <v>13878478</v>
      </c>
      <c r="K145" s="10"/>
      <c r="L145" s="10">
        <v>9349855</v>
      </c>
      <c r="M145" s="10">
        <v>2331493</v>
      </c>
      <c r="N145" s="10"/>
      <c r="O145" s="10">
        <v>0</v>
      </c>
      <c r="Q145" s="9">
        <v>178048116</v>
      </c>
    </row>
    <row r="146" spans="1:17" ht="10.5" customHeight="1">
      <c r="A146" s="8">
        <v>34274</v>
      </c>
      <c r="B146" s="10">
        <v>70813839</v>
      </c>
      <c r="C146" s="10">
        <v>2309696</v>
      </c>
      <c r="D146" s="10">
        <v>72827</v>
      </c>
      <c r="E146" s="10">
        <v>43507531</v>
      </c>
      <c r="F146" s="10">
        <v>11602548</v>
      </c>
      <c r="G146" s="10">
        <v>18274195</v>
      </c>
      <c r="H146" s="10">
        <v>7481788</v>
      </c>
      <c r="I146" s="10">
        <v>699081</v>
      </c>
      <c r="J146" s="10">
        <v>13353208</v>
      </c>
      <c r="K146" s="10"/>
      <c r="L146" s="10">
        <v>11313365</v>
      </c>
      <c r="M146" s="10">
        <v>2458575</v>
      </c>
      <c r="N146" s="10"/>
      <c r="O146" s="10">
        <v>0</v>
      </c>
      <c r="Q146" s="9">
        <v>181886653</v>
      </c>
    </row>
    <row r="147" spans="1:17" ht="10.5" customHeight="1">
      <c r="A147" s="8">
        <v>34304</v>
      </c>
      <c r="B147" s="10">
        <v>62202730</v>
      </c>
      <c r="C147" s="10">
        <v>1704186</v>
      </c>
      <c r="D147" s="10">
        <v>82665</v>
      </c>
      <c r="E147" s="10">
        <v>51925412</v>
      </c>
      <c r="F147" s="10">
        <v>7879962</v>
      </c>
      <c r="G147" s="10">
        <v>17500088</v>
      </c>
      <c r="H147" s="10">
        <v>9311461</v>
      </c>
      <c r="I147" s="10">
        <v>986902</v>
      </c>
      <c r="J147" s="10">
        <v>12293650</v>
      </c>
      <c r="K147" s="10"/>
      <c r="L147" s="10">
        <v>19121072</v>
      </c>
      <c r="M147" s="10">
        <v>3075821</v>
      </c>
      <c r="N147" s="10"/>
      <c r="O147" s="10">
        <v>0</v>
      </c>
      <c r="Q147" s="9">
        <v>186083949</v>
      </c>
    </row>
    <row r="148" spans="1:17" ht="10.5" customHeight="1">
      <c r="A148" s="8">
        <v>34335</v>
      </c>
      <c r="B148" s="10">
        <v>80672733</v>
      </c>
      <c r="C148" s="10">
        <v>3385589</v>
      </c>
      <c r="D148" s="10">
        <v>0</v>
      </c>
      <c r="E148" s="10">
        <v>65094111</v>
      </c>
      <c r="F148" s="10">
        <v>13277187</v>
      </c>
      <c r="G148" s="10">
        <v>28623592</v>
      </c>
      <c r="H148" s="10">
        <v>11938469</v>
      </c>
      <c r="I148" s="10">
        <v>893300</v>
      </c>
      <c r="J148" s="10">
        <v>13562628</v>
      </c>
      <c r="K148" s="10"/>
      <c r="L148" s="10">
        <v>41968953</v>
      </c>
      <c r="M148" s="10">
        <v>3583453</v>
      </c>
      <c r="N148" s="10"/>
      <c r="O148" s="10">
        <v>0</v>
      </c>
      <c r="Q148" s="9">
        <v>263000015</v>
      </c>
    </row>
    <row r="149" spans="1:17" ht="10.5" customHeight="1">
      <c r="A149" s="8">
        <v>34366</v>
      </c>
      <c r="B149" s="10">
        <v>117758490</v>
      </c>
      <c r="C149" s="10">
        <v>2490973</v>
      </c>
      <c r="D149" s="10">
        <v>0</v>
      </c>
      <c r="E149" s="10">
        <v>59300915</v>
      </c>
      <c r="F149" s="10">
        <v>5025268</v>
      </c>
      <c r="G149" s="10">
        <v>21417580</v>
      </c>
      <c r="H149" s="10">
        <v>8867345</v>
      </c>
      <c r="I149" s="10">
        <v>258670</v>
      </c>
      <c r="J149" s="10">
        <v>14623116</v>
      </c>
      <c r="K149" s="10"/>
      <c r="L149" s="10">
        <v>13949200</v>
      </c>
      <c r="M149" s="10">
        <v>1643761</v>
      </c>
      <c r="N149" s="10"/>
      <c r="O149" s="10">
        <v>0</v>
      </c>
      <c r="Q149" s="9">
        <v>245335318</v>
      </c>
    </row>
    <row r="150" spans="1:17" ht="10.5" customHeight="1">
      <c r="A150" s="8">
        <v>34394</v>
      </c>
      <c r="B150" s="10">
        <v>104660510</v>
      </c>
      <c r="C150" s="10">
        <v>2579099</v>
      </c>
      <c r="D150" s="10">
        <v>125445</v>
      </c>
      <c r="E150" s="10">
        <v>52987581</v>
      </c>
      <c r="F150" s="10">
        <v>8030795</v>
      </c>
      <c r="G150" s="10">
        <v>21864575</v>
      </c>
      <c r="H150" s="10">
        <v>8753304</v>
      </c>
      <c r="I150" s="10">
        <v>342309</v>
      </c>
      <c r="J150" s="10">
        <v>15224820</v>
      </c>
      <c r="K150" s="10"/>
      <c r="L150" s="10">
        <v>15219520</v>
      </c>
      <c r="M150" s="10">
        <v>2002126</v>
      </c>
      <c r="N150" s="10"/>
      <c r="O150" s="10">
        <v>0</v>
      </c>
      <c r="Q150" s="9">
        <v>231790084</v>
      </c>
    </row>
    <row r="151" spans="1:17" ht="10.5" customHeight="1">
      <c r="A151" s="8">
        <v>34425</v>
      </c>
      <c r="B151" s="10">
        <v>78740488</v>
      </c>
      <c r="C151" s="10">
        <v>2813668</v>
      </c>
      <c r="D151" s="10">
        <v>0</v>
      </c>
      <c r="E151" s="10">
        <v>63622421</v>
      </c>
      <c r="F151" s="10">
        <v>7186055</v>
      </c>
      <c r="G151" s="10">
        <v>20271487</v>
      </c>
      <c r="H151" s="10">
        <v>7716144</v>
      </c>
      <c r="I151" s="10">
        <v>256147</v>
      </c>
      <c r="J151" s="10">
        <v>15337240</v>
      </c>
      <c r="K151" s="10"/>
      <c r="L151" s="10">
        <v>20060486</v>
      </c>
      <c r="M151" s="10">
        <v>2307406</v>
      </c>
      <c r="N151" s="10"/>
      <c r="O151" s="10">
        <v>0</v>
      </c>
      <c r="Q151" s="9">
        <v>218311542</v>
      </c>
    </row>
    <row r="152" spans="1:17" ht="10.5" customHeight="1">
      <c r="A152" s="8">
        <v>34455</v>
      </c>
      <c r="B152" s="10">
        <v>100235244</v>
      </c>
      <c r="C152" s="10">
        <v>2870259</v>
      </c>
      <c r="D152" s="10">
        <v>124398</v>
      </c>
      <c r="E152" s="10">
        <v>49375248</v>
      </c>
      <c r="F152" s="10">
        <v>11473411</v>
      </c>
      <c r="G152" s="10">
        <v>17949774</v>
      </c>
      <c r="H152" s="10">
        <v>4381999</v>
      </c>
      <c r="I152" s="10">
        <v>418585</v>
      </c>
      <c r="J152" s="10">
        <v>17460870</v>
      </c>
      <c r="K152" s="10"/>
      <c r="L152" s="10">
        <v>19403216</v>
      </c>
      <c r="M152" s="10">
        <v>3013399</v>
      </c>
      <c r="N152" s="10"/>
      <c r="O152" s="10">
        <v>0</v>
      </c>
      <c r="Q152" s="9">
        <v>226706403</v>
      </c>
    </row>
    <row r="153" spans="1:17" ht="10.5" customHeight="1">
      <c r="A153" s="8">
        <v>34486</v>
      </c>
      <c r="B153" s="10">
        <v>80019844</v>
      </c>
      <c r="C153" s="10">
        <v>3622263</v>
      </c>
      <c r="D153" s="10">
        <v>0</v>
      </c>
      <c r="E153" s="10">
        <v>56401125</v>
      </c>
      <c r="F153" s="10">
        <v>6949651</v>
      </c>
      <c r="G153" s="10">
        <v>18575560</v>
      </c>
      <c r="H153" s="10">
        <v>3950989</v>
      </c>
      <c r="I153" s="10">
        <v>327618</v>
      </c>
      <c r="J153" s="10">
        <v>16648094</v>
      </c>
      <c r="K153" s="10"/>
      <c r="L153" s="10">
        <v>28962062</v>
      </c>
      <c r="M153" s="10">
        <v>3083808</v>
      </c>
      <c r="N153" s="10"/>
      <c r="O153" s="10">
        <v>0</v>
      </c>
      <c r="Q153" s="9">
        <v>218541014</v>
      </c>
    </row>
    <row r="154" spans="1:17" ht="10.5" customHeight="1">
      <c r="A154" s="8">
        <v>34516</v>
      </c>
      <c r="B154" s="10">
        <v>75182857</v>
      </c>
      <c r="C154" s="10">
        <v>3663406</v>
      </c>
      <c r="D154" s="10">
        <v>0</v>
      </c>
      <c r="E154" s="10">
        <v>55263160</v>
      </c>
      <c r="F154" s="10">
        <v>12149146</v>
      </c>
      <c r="G154" s="10">
        <v>17269522</v>
      </c>
      <c r="H154" s="10">
        <v>3405318</v>
      </c>
      <c r="I154" s="10">
        <v>535280</v>
      </c>
      <c r="J154" s="10">
        <v>19113430</v>
      </c>
      <c r="K154" s="10"/>
      <c r="L154" s="10">
        <v>23186271</v>
      </c>
      <c r="M154" s="10">
        <v>2541888</v>
      </c>
      <c r="N154" s="10"/>
      <c r="O154" s="10">
        <v>0</v>
      </c>
      <c r="Q154" s="9">
        <v>212310278</v>
      </c>
    </row>
    <row r="155" spans="1:17" ht="10.5" customHeight="1">
      <c r="A155" s="8">
        <v>34547</v>
      </c>
      <c r="B155" s="10">
        <v>98688497</v>
      </c>
      <c r="C155" s="10">
        <v>2611373</v>
      </c>
      <c r="D155" s="10">
        <v>145260</v>
      </c>
      <c r="E155" s="10">
        <v>56577881</v>
      </c>
      <c r="F155" s="10">
        <v>9031172</v>
      </c>
      <c r="G155" s="10">
        <v>7208444</v>
      </c>
      <c r="H155" s="10">
        <v>3458155</v>
      </c>
      <c r="I155" s="10">
        <v>431343</v>
      </c>
      <c r="J155" s="10">
        <v>22100188</v>
      </c>
      <c r="K155" s="10"/>
      <c r="L155" s="10">
        <v>23863265</v>
      </c>
      <c r="M155" s="10">
        <v>12719426</v>
      </c>
      <c r="N155" s="10"/>
      <c r="O155" s="10">
        <v>0</v>
      </c>
      <c r="Q155" s="9">
        <v>236835004</v>
      </c>
    </row>
    <row r="156" spans="1:17" ht="10.5" customHeight="1">
      <c r="A156" s="8">
        <v>34578</v>
      </c>
      <c r="B156" s="10">
        <v>110423448</v>
      </c>
      <c r="C156" s="10">
        <v>2761136</v>
      </c>
      <c r="D156" s="10">
        <v>128671</v>
      </c>
      <c r="E156" s="10">
        <v>58790004</v>
      </c>
      <c r="F156" s="10">
        <v>12262592</v>
      </c>
      <c r="G156" s="10">
        <v>19198663</v>
      </c>
      <c r="H156" s="10">
        <v>5033343</v>
      </c>
      <c r="I156" s="10">
        <v>556063</v>
      </c>
      <c r="J156" s="10">
        <v>23559852</v>
      </c>
      <c r="K156" s="10"/>
      <c r="L156" s="10">
        <v>24296000</v>
      </c>
      <c r="M156" s="10">
        <v>3244515</v>
      </c>
      <c r="N156" s="10"/>
      <c r="O156" s="10">
        <v>0</v>
      </c>
      <c r="Q156" s="9">
        <v>260254287</v>
      </c>
    </row>
    <row r="157" spans="1:17" ht="10.5" customHeight="1">
      <c r="A157" s="8">
        <v>34608</v>
      </c>
      <c r="B157" s="10">
        <v>117466493</v>
      </c>
      <c r="C157" s="10">
        <v>4509541</v>
      </c>
      <c r="D157" s="10">
        <v>147723</v>
      </c>
      <c r="E157" s="10">
        <v>66537334</v>
      </c>
      <c r="F157" s="10">
        <v>8382566</v>
      </c>
      <c r="G157" s="10">
        <v>23114607</v>
      </c>
      <c r="H157" s="10">
        <v>11406204</v>
      </c>
      <c r="I157" s="10">
        <v>682837</v>
      </c>
      <c r="J157" s="10">
        <v>24312592</v>
      </c>
      <c r="K157" s="10"/>
      <c r="L157" s="10">
        <v>29802376</v>
      </c>
      <c r="M157" s="10">
        <v>2986485</v>
      </c>
      <c r="N157" s="10"/>
      <c r="O157" s="10">
        <v>0</v>
      </c>
      <c r="Q157" s="9">
        <v>289348758</v>
      </c>
    </row>
    <row r="158" spans="1:17" ht="10.5" customHeight="1">
      <c r="A158" s="8">
        <v>34639</v>
      </c>
      <c r="B158" s="10">
        <v>108593001</v>
      </c>
      <c r="C158" s="10">
        <v>4415008</v>
      </c>
      <c r="D158" s="10">
        <v>242428</v>
      </c>
      <c r="E158" s="10">
        <v>62639511</v>
      </c>
      <c r="F158" s="10">
        <v>15120876</v>
      </c>
      <c r="G158" s="10">
        <v>22754478</v>
      </c>
      <c r="H158" s="10">
        <v>11258229</v>
      </c>
      <c r="I158" s="10">
        <v>1106818</v>
      </c>
      <c r="J158" s="10">
        <v>21922950</v>
      </c>
      <c r="K158" s="10"/>
      <c r="L158" s="10">
        <v>21769359</v>
      </c>
      <c r="M158" s="10">
        <v>3453814</v>
      </c>
      <c r="N158" s="10"/>
      <c r="O158" s="10">
        <v>0</v>
      </c>
      <c r="Q158" s="9">
        <v>273276472</v>
      </c>
    </row>
    <row r="159" spans="1:17" ht="10.5" customHeight="1">
      <c r="A159" s="8">
        <v>34669</v>
      </c>
      <c r="B159" s="10">
        <v>97547111</v>
      </c>
      <c r="C159" s="10">
        <v>4661111</v>
      </c>
      <c r="D159" s="10">
        <v>130194</v>
      </c>
      <c r="E159" s="10">
        <v>69090168</v>
      </c>
      <c r="F159" s="10">
        <v>9746814</v>
      </c>
      <c r="G159" s="10">
        <v>28848329</v>
      </c>
      <c r="H159" s="10">
        <v>12905719</v>
      </c>
      <c r="I159" s="10">
        <v>1193804</v>
      </c>
      <c r="J159" s="10">
        <v>21088528</v>
      </c>
      <c r="K159" s="10"/>
      <c r="L159" s="10">
        <v>27407134</v>
      </c>
      <c r="M159" s="10">
        <v>4319396</v>
      </c>
      <c r="N159" s="10"/>
      <c r="O159" s="10">
        <v>0</v>
      </c>
      <c r="Q159" s="9">
        <v>276938308</v>
      </c>
    </row>
    <row r="160" spans="1:17" ht="10.5" customHeight="1">
      <c r="A160" s="8">
        <v>34700</v>
      </c>
      <c r="B160" s="10">
        <v>131281086</v>
      </c>
      <c r="C160" s="10">
        <v>4943404</v>
      </c>
      <c r="D160" s="10">
        <v>179558</v>
      </c>
      <c r="E160" s="10">
        <v>79226013</v>
      </c>
      <c r="F160" s="10">
        <v>16668779</v>
      </c>
      <c r="G160" s="10">
        <v>16698936</v>
      </c>
      <c r="H160" s="10">
        <v>18010475</v>
      </c>
      <c r="I160" s="10">
        <v>1842771</v>
      </c>
      <c r="J160" s="10">
        <v>22695280</v>
      </c>
      <c r="K160" s="10"/>
      <c r="L160" s="10">
        <v>30925939</v>
      </c>
      <c r="M160" s="10">
        <v>4121641</v>
      </c>
      <c r="N160" s="10"/>
      <c r="O160" s="10">
        <v>0</v>
      </c>
      <c r="Q160" s="9">
        <v>326593882</v>
      </c>
    </row>
    <row r="161" spans="1:17" ht="10.5" customHeight="1">
      <c r="A161" s="8">
        <v>34731</v>
      </c>
      <c r="B161" s="10">
        <v>153088133</v>
      </c>
      <c r="C161" s="10">
        <v>4984471</v>
      </c>
      <c r="D161" s="10">
        <v>159205</v>
      </c>
      <c r="E161" s="10">
        <v>74622033</v>
      </c>
      <c r="F161" s="10">
        <v>6633782</v>
      </c>
      <c r="G161" s="10">
        <v>28705943</v>
      </c>
      <c r="H161" s="10">
        <v>13106617</v>
      </c>
      <c r="I161" s="10">
        <v>387243</v>
      </c>
      <c r="J161" s="10">
        <v>25657202</v>
      </c>
      <c r="K161" s="10"/>
      <c r="L161" s="10">
        <v>28063912</v>
      </c>
      <c r="M161" s="10">
        <v>3053380</v>
      </c>
      <c r="N161" s="10"/>
      <c r="O161" s="10">
        <v>0</v>
      </c>
      <c r="Q161" s="9">
        <v>338461921</v>
      </c>
    </row>
    <row r="162" spans="1:17" ht="10.5" customHeight="1">
      <c r="A162" s="8">
        <v>34759</v>
      </c>
      <c r="B162" s="10">
        <v>142345328</v>
      </c>
      <c r="C162" s="10">
        <v>5371783</v>
      </c>
      <c r="D162" s="10">
        <v>169434</v>
      </c>
      <c r="E162" s="10">
        <v>70875728</v>
      </c>
      <c r="F162" s="10">
        <v>9942404</v>
      </c>
      <c r="G162" s="10">
        <v>27363835</v>
      </c>
      <c r="H162" s="10">
        <v>10539972</v>
      </c>
      <c r="I162" s="10">
        <v>455205</v>
      </c>
      <c r="J162" s="10">
        <v>23648492</v>
      </c>
      <c r="K162" s="10"/>
      <c r="L162" s="10">
        <v>28126612</v>
      </c>
      <c r="M162" s="10">
        <v>2188423</v>
      </c>
      <c r="N162" s="10"/>
      <c r="O162" s="10">
        <v>0</v>
      </c>
      <c r="Q162" s="9">
        <v>321027216</v>
      </c>
    </row>
    <row r="163" spans="1:17" ht="10.5" customHeight="1">
      <c r="A163" s="8">
        <v>34790</v>
      </c>
      <c r="B163" s="10">
        <v>132767019</v>
      </c>
      <c r="C163" s="10">
        <v>4653872</v>
      </c>
      <c r="D163" s="10">
        <v>116796</v>
      </c>
      <c r="E163" s="10">
        <v>73073300</v>
      </c>
      <c r="F163" s="10">
        <v>9225004</v>
      </c>
      <c r="G163" s="10">
        <v>29463538</v>
      </c>
      <c r="H163" s="10">
        <v>9837261</v>
      </c>
      <c r="I163" s="10">
        <v>451472</v>
      </c>
      <c r="J163" s="10">
        <v>26270940</v>
      </c>
      <c r="K163" s="10"/>
      <c r="L163" s="10">
        <v>34296856</v>
      </c>
      <c r="M163" s="10">
        <v>3224556</v>
      </c>
      <c r="N163" s="10"/>
      <c r="O163" s="10">
        <v>0</v>
      </c>
      <c r="Q163" s="9">
        <v>323380614</v>
      </c>
    </row>
    <row r="164" spans="1:17" ht="10.5" customHeight="1">
      <c r="A164" s="8">
        <v>34820</v>
      </c>
      <c r="B164" s="10">
        <v>127654810</v>
      </c>
      <c r="C164" s="10">
        <v>2080699</v>
      </c>
      <c r="D164" s="10">
        <v>75456</v>
      </c>
      <c r="E164" s="10">
        <v>66233540</v>
      </c>
      <c r="F164" s="10">
        <v>8906870</v>
      </c>
      <c r="G164" s="10">
        <v>23919723</v>
      </c>
      <c r="H164" s="10">
        <v>6859617</v>
      </c>
      <c r="I164" s="10">
        <v>615243</v>
      </c>
      <c r="J164" s="10">
        <v>25967744</v>
      </c>
      <c r="K164" s="10"/>
      <c r="L164" s="10">
        <v>59561187</v>
      </c>
      <c r="M164" s="10">
        <v>3360830</v>
      </c>
      <c r="N164" s="10"/>
      <c r="O164" s="10">
        <v>0</v>
      </c>
      <c r="Q164" s="9">
        <v>325235719</v>
      </c>
    </row>
    <row r="165" spans="1:17" ht="10.5" customHeight="1">
      <c r="A165" s="8">
        <v>34851</v>
      </c>
      <c r="B165" s="10">
        <v>111512776</v>
      </c>
      <c r="C165" s="10">
        <v>7051969</v>
      </c>
      <c r="D165" s="10">
        <v>58681</v>
      </c>
      <c r="E165" s="10">
        <v>66539473</v>
      </c>
      <c r="F165" s="10">
        <v>7436483</v>
      </c>
      <c r="G165" s="10">
        <v>22694820</v>
      </c>
      <c r="H165" s="10">
        <v>5217667</v>
      </c>
      <c r="I165" s="10">
        <v>408315</v>
      </c>
      <c r="J165" s="10">
        <v>17076746</v>
      </c>
      <c r="K165" s="10"/>
      <c r="L165" s="10">
        <v>35179056</v>
      </c>
      <c r="M165" s="10">
        <v>4637873</v>
      </c>
      <c r="N165" s="10"/>
      <c r="O165" s="10">
        <v>0</v>
      </c>
      <c r="Q165" s="9">
        <v>277813859</v>
      </c>
    </row>
    <row r="166" spans="1:17" ht="10.5" customHeight="1">
      <c r="A166" s="8">
        <v>34881</v>
      </c>
      <c r="B166" s="10">
        <v>136754092</v>
      </c>
      <c r="C166" s="10">
        <v>5755223</v>
      </c>
      <c r="D166" s="10">
        <v>70790</v>
      </c>
      <c r="E166" s="10">
        <v>63670905</v>
      </c>
      <c r="F166" s="10">
        <v>15620924</v>
      </c>
      <c r="G166" s="10">
        <v>20707103</v>
      </c>
      <c r="H166" s="10">
        <v>4016037</v>
      </c>
      <c r="I166" s="10">
        <v>578704</v>
      </c>
      <c r="J166" s="10"/>
      <c r="K166" s="10"/>
      <c r="L166" s="10">
        <v>108166719</v>
      </c>
      <c r="M166" s="10">
        <v>2961400</v>
      </c>
      <c r="N166" s="10"/>
      <c r="O166" s="10">
        <v>0</v>
      </c>
      <c r="Q166" s="9">
        <v>358301897</v>
      </c>
    </row>
    <row r="167" spans="1:17" ht="10.5" customHeight="1">
      <c r="A167" s="8">
        <v>34912</v>
      </c>
      <c r="B167" s="10">
        <v>159568092</v>
      </c>
      <c r="C167" s="10">
        <v>4756211</v>
      </c>
      <c r="D167" s="10">
        <v>189250</v>
      </c>
      <c r="E167" s="10">
        <v>66592681</v>
      </c>
      <c r="F167" s="10">
        <v>9338268</v>
      </c>
      <c r="G167" s="10">
        <v>22295844</v>
      </c>
      <c r="H167" s="10">
        <v>6153789</v>
      </c>
      <c r="I167" s="10">
        <v>454254</v>
      </c>
      <c r="J167" s="10"/>
      <c r="K167" s="10"/>
      <c r="L167" s="10">
        <v>15099108</v>
      </c>
      <c r="M167" s="10">
        <v>3039821</v>
      </c>
      <c r="N167" s="10"/>
      <c r="O167" s="10">
        <v>0</v>
      </c>
      <c r="Q167" s="9">
        <v>287487318</v>
      </c>
    </row>
    <row r="168" spans="1:17" ht="10.5" customHeight="1">
      <c r="A168" s="8">
        <v>34943</v>
      </c>
      <c r="B168" s="10">
        <v>125913143</v>
      </c>
      <c r="C168" s="10">
        <v>5246550</v>
      </c>
      <c r="D168" s="10">
        <v>201743</v>
      </c>
      <c r="E168" s="10">
        <v>63955819</v>
      </c>
      <c r="F168" s="10">
        <v>14799353</v>
      </c>
      <c r="G168" s="10">
        <v>26570561</v>
      </c>
      <c r="H168" s="10">
        <v>6984953</v>
      </c>
      <c r="I168" s="10">
        <v>764183</v>
      </c>
      <c r="J168" s="10"/>
      <c r="K168" s="10"/>
      <c r="L168" s="10">
        <v>19374618</v>
      </c>
      <c r="M168" s="10">
        <v>4309588</v>
      </c>
      <c r="N168" s="10"/>
      <c r="O168" s="10">
        <v>0</v>
      </c>
      <c r="Q168" s="9">
        <v>268120511</v>
      </c>
    </row>
    <row r="169" spans="1:17" ht="10.5" customHeight="1">
      <c r="A169" s="8">
        <v>34973</v>
      </c>
      <c r="B169" s="10">
        <v>147146805</v>
      </c>
      <c r="C169" s="10">
        <v>4701808</v>
      </c>
      <c r="D169" s="10">
        <v>169668</v>
      </c>
      <c r="E169" s="10">
        <v>65941935</v>
      </c>
      <c r="F169" s="10">
        <v>7755235</v>
      </c>
      <c r="G169" s="10">
        <v>25788946</v>
      </c>
      <c r="H169" s="10">
        <v>10094735</v>
      </c>
      <c r="I169" s="10">
        <v>671557</v>
      </c>
      <c r="J169" s="10"/>
      <c r="K169" s="10"/>
      <c r="L169" s="10">
        <v>20036985</v>
      </c>
      <c r="M169" s="10">
        <v>3545722</v>
      </c>
      <c r="N169" s="10"/>
      <c r="O169" s="10">
        <v>0</v>
      </c>
      <c r="Q169" s="9">
        <v>285853396</v>
      </c>
    </row>
    <row r="170" spans="1:17" ht="10.5" customHeight="1">
      <c r="A170" s="8">
        <v>35004</v>
      </c>
      <c r="B170" s="10">
        <v>157656380</v>
      </c>
      <c r="C170" s="10">
        <v>6003897</v>
      </c>
      <c r="D170" s="10">
        <v>786782</v>
      </c>
      <c r="E170" s="10">
        <v>70796074</v>
      </c>
      <c r="F170" s="10">
        <v>15815991</v>
      </c>
      <c r="G170" s="10">
        <v>26627915</v>
      </c>
      <c r="H170" s="10">
        <v>16138530</v>
      </c>
      <c r="I170" s="10">
        <v>1543196</v>
      </c>
      <c r="J170" s="10"/>
      <c r="K170" s="10"/>
      <c r="L170" s="10">
        <v>22829676</v>
      </c>
      <c r="M170" s="10">
        <v>4901804</v>
      </c>
      <c r="N170" s="10"/>
      <c r="O170" s="10">
        <v>0</v>
      </c>
      <c r="Q170" s="12">
        <v>323100245</v>
      </c>
    </row>
    <row r="171" spans="1:17" ht="10.5" customHeight="1">
      <c r="A171" s="8">
        <v>35034</v>
      </c>
      <c r="B171" s="10">
        <v>157733967</v>
      </c>
      <c r="C171" s="10">
        <v>6017366</v>
      </c>
      <c r="D171" s="10">
        <v>1255454</v>
      </c>
      <c r="E171" s="10">
        <v>63231959</v>
      </c>
      <c r="F171" s="10">
        <v>12571091</v>
      </c>
      <c r="G171" s="10">
        <v>44468237</v>
      </c>
      <c r="H171" s="10">
        <v>18245588</v>
      </c>
      <c r="I171" s="10">
        <v>1622349</v>
      </c>
      <c r="J171" s="10"/>
      <c r="K171" s="10"/>
      <c r="L171" s="10">
        <v>26615819</v>
      </c>
      <c r="M171" s="10">
        <v>5590941</v>
      </c>
      <c r="N171" s="10"/>
      <c r="O171" s="10">
        <v>0</v>
      </c>
      <c r="Q171" s="12">
        <v>337352771</v>
      </c>
    </row>
    <row r="172" spans="1:17" ht="10.5" customHeight="1">
      <c r="A172" s="8">
        <v>35065</v>
      </c>
      <c r="B172" s="10">
        <v>173742880</v>
      </c>
      <c r="C172" s="10">
        <v>5153465</v>
      </c>
      <c r="D172" s="10">
        <v>1269461</v>
      </c>
      <c r="E172" s="10">
        <v>81550181</v>
      </c>
      <c r="F172" s="10">
        <v>16137541</v>
      </c>
      <c r="G172" s="10">
        <v>46447430</v>
      </c>
      <c r="H172" s="10">
        <v>24035861</v>
      </c>
      <c r="I172" s="10">
        <v>2027135</v>
      </c>
      <c r="J172" s="10"/>
      <c r="K172" s="10"/>
      <c r="L172" s="10">
        <v>36347090</v>
      </c>
      <c r="M172" s="10">
        <v>4840928</v>
      </c>
      <c r="N172" s="10"/>
      <c r="O172" s="10">
        <v>0</v>
      </c>
      <c r="Q172" s="12">
        <v>391551972</v>
      </c>
    </row>
    <row r="173" spans="1:17" ht="10.5" customHeight="1">
      <c r="A173" s="8">
        <v>35096</v>
      </c>
      <c r="B173" s="10">
        <v>191507366</v>
      </c>
      <c r="C173" s="10">
        <v>5727303</v>
      </c>
      <c r="D173" s="10">
        <v>1064554</v>
      </c>
      <c r="E173" s="10">
        <v>75204719</v>
      </c>
      <c r="F173" s="10">
        <v>7907246</v>
      </c>
      <c r="G173" s="10">
        <v>33145376</v>
      </c>
      <c r="H173" s="10">
        <v>13852823</v>
      </c>
      <c r="I173" s="10">
        <v>514893</v>
      </c>
      <c r="J173" s="10"/>
      <c r="K173" s="10"/>
      <c r="L173" s="10">
        <v>36785706</v>
      </c>
      <c r="M173" s="10">
        <v>3372009</v>
      </c>
      <c r="N173" s="10"/>
      <c r="O173" s="10">
        <v>0</v>
      </c>
      <c r="Q173" s="12">
        <v>369081995</v>
      </c>
    </row>
    <row r="174" spans="1:17" ht="10.5" customHeight="1">
      <c r="A174" s="8">
        <v>35125</v>
      </c>
      <c r="B174" s="10">
        <v>215939287</v>
      </c>
      <c r="C174" s="10">
        <v>5560874</v>
      </c>
      <c r="D174" s="10">
        <v>813962</v>
      </c>
      <c r="E174" s="10">
        <v>88562416</v>
      </c>
      <c r="F174" s="10">
        <v>9549503</v>
      </c>
      <c r="G174" s="10">
        <v>34556814</v>
      </c>
      <c r="H174" s="10">
        <v>12390183</v>
      </c>
      <c r="I174" s="10">
        <v>421355</v>
      </c>
      <c r="J174" s="10"/>
      <c r="K174" s="10"/>
      <c r="L174" s="10">
        <v>35850748</v>
      </c>
      <c r="M174" s="10">
        <v>3160513</v>
      </c>
      <c r="N174" s="10"/>
      <c r="O174" s="10">
        <v>0</v>
      </c>
      <c r="Q174" s="12">
        <v>406805655</v>
      </c>
    </row>
    <row r="175" spans="1:17" ht="10.5" customHeight="1">
      <c r="A175" s="8">
        <v>35156</v>
      </c>
      <c r="B175" s="10">
        <v>173367161</v>
      </c>
      <c r="C175" s="10">
        <v>6276910</v>
      </c>
      <c r="D175" s="10">
        <v>1442562</v>
      </c>
      <c r="E175" s="10">
        <v>92079959</v>
      </c>
      <c r="F175" s="10">
        <v>14049560</v>
      </c>
      <c r="G175" s="10">
        <v>26983925</v>
      </c>
      <c r="H175" s="10">
        <v>11174128</v>
      </c>
      <c r="I175" s="10">
        <v>447837</v>
      </c>
      <c r="J175" s="10"/>
      <c r="K175" s="10"/>
      <c r="L175" s="10">
        <v>37376242</v>
      </c>
      <c r="M175" s="10">
        <v>3010982</v>
      </c>
      <c r="N175" s="10"/>
      <c r="O175" s="10">
        <v>0</v>
      </c>
      <c r="Q175" s="12">
        <v>366209266</v>
      </c>
    </row>
    <row r="176" spans="1:17" ht="10.5" customHeight="1">
      <c r="A176" s="8">
        <v>35186</v>
      </c>
      <c r="B176" s="10">
        <v>181998959</v>
      </c>
      <c r="C176" s="10">
        <v>6650093</v>
      </c>
      <c r="D176" s="10">
        <v>245242</v>
      </c>
      <c r="E176" s="10">
        <v>71385468</v>
      </c>
      <c r="F176" s="10">
        <v>13535773</v>
      </c>
      <c r="G176" s="10">
        <v>29265977</v>
      </c>
      <c r="H176" s="10">
        <v>9029136</v>
      </c>
      <c r="I176" s="10">
        <v>600384</v>
      </c>
      <c r="J176" s="10"/>
      <c r="K176" s="10"/>
      <c r="L176" s="10">
        <v>37331279</v>
      </c>
      <c r="M176" s="10">
        <v>3402906</v>
      </c>
      <c r="N176" s="10"/>
      <c r="O176" s="10">
        <v>0</v>
      </c>
      <c r="Q176" s="12">
        <v>353445217</v>
      </c>
    </row>
    <row r="177" spans="1:17" ht="10.5" customHeight="1">
      <c r="A177" s="8">
        <v>35217</v>
      </c>
      <c r="B177" s="10">
        <v>195952552</v>
      </c>
      <c r="C177" s="10">
        <v>6244358</v>
      </c>
      <c r="D177" s="10">
        <v>225567</v>
      </c>
      <c r="E177" s="10">
        <v>85127213</v>
      </c>
      <c r="F177" s="10">
        <v>13262328</v>
      </c>
      <c r="G177" s="10">
        <v>28134639</v>
      </c>
      <c r="H177" s="10">
        <v>6836398</v>
      </c>
      <c r="I177" s="10">
        <v>580678</v>
      </c>
      <c r="J177" s="10"/>
      <c r="K177" s="10"/>
      <c r="L177" s="10">
        <v>50427343</v>
      </c>
      <c r="M177" s="10">
        <v>3246393</v>
      </c>
      <c r="N177" s="10"/>
      <c r="O177" s="10">
        <v>0</v>
      </c>
      <c r="Q177" s="12">
        <v>390037469</v>
      </c>
    </row>
    <row r="178" spans="1:17" ht="10.5" customHeight="1">
      <c r="A178" s="8">
        <v>35247</v>
      </c>
      <c r="B178" s="10">
        <v>206230299</v>
      </c>
      <c r="C178" s="10">
        <v>6510931</v>
      </c>
      <c r="D178" s="10">
        <v>243964</v>
      </c>
      <c r="E178" s="10">
        <v>75657385</v>
      </c>
      <c r="F178" s="10">
        <v>16098002</v>
      </c>
      <c r="G178" s="10">
        <v>28709809</v>
      </c>
      <c r="H178" s="10">
        <v>5370760</v>
      </c>
      <c r="I178" s="10">
        <v>666176</v>
      </c>
      <c r="J178" s="10"/>
      <c r="K178" s="10"/>
      <c r="L178" s="10">
        <v>46811929</v>
      </c>
      <c r="M178" s="10">
        <v>2940108</v>
      </c>
      <c r="N178" s="10"/>
      <c r="O178" s="10">
        <v>0</v>
      </c>
      <c r="Q178" s="12">
        <v>389239363</v>
      </c>
    </row>
    <row r="179" spans="1:17" ht="10.5" customHeight="1">
      <c r="A179" s="8">
        <v>35278</v>
      </c>
      <c r="B179" s="10">
        <v>182938464</v>
      </c>
      <c r="C179" s="10">
        <v>4786447</v>
      </c>
      <c r="D179" s="10">
        <v>0</v>
      </c>
      <c r="E179" s="10">
        <v>86628222</v>
      </c>
      <c r="F179" s="10">
        <v>14751324</v>
      </c>
      <c r="G179" s="10">
        <v>26425101</v>
      </c>
      <c r="H179" s="10">
        <v>1473048</v>
      </c>
      <c r="I179" s="10">
        <v>683729</v>
      </c>
      <c r="J179" s="10"/>
      <c r="K179" s="10"/>
      <c r="L179" s="10">
        <v>54268437</v>
      </c>
      <c r="M179" s="10">
        <v>3160176</v>
      </c>
      <c r="N179" s="10"/>
      <c r="O179" s="10">
        <v>0</v>
      </c>
      <c r="Q179" s="12">
        <v>375114948</v>
      </c>
    </row>
    <row r="180" spans="1:17" ht="10.5" customHeight="1">
      <c r="A180" s="8">
        <v>35309</v>
      </c>
      <c r="B180" s="10">
        <v>224935167</v>
      </c>
      <c r="C180" s="10">
        <v>6833826</v>
      </c>
      <c r="D180" s="10">
        <v>470648</v>
      </c>
      <c r="E180" s="10">
        <v>92494021</v>
      </c>
      <c r="F180" s="10">
        <v>16162759</v>
      </c>
      <c r="G180" s="10">
        <v>32726393</v>
      </c>
      <c r="H180" s="10">
        <v>9266147</v>
      </c>
      <c r="I180" s="10">
        <v>743272</v>
      </c>
      <c r="J180" s="10"/>
      <c r="K180" s="10">
        <v>25823364</v>
      </c>
      <c r="L180" s="10">
        <v>56361230</v>
      </c>
      <c r="M180" s="10">
        <v>3561073</v>
      </c>
      <c r="N180" s="10"/>
      <c r="O180" s="10">
        <v>0</v>
      </c>
      <c r="Q180" s="12">
        <v>469377900</v>
      </c>
    </row>
    <row r="181" spans="1:17" ht="10.5" customHeight="1">
      <c r="A181" s="8">
        <v>35339</v>
      </c>
      <c r="B181" s="10">
        <v>217143076</v>
      </c>
      <c r="C181" s="10">
        <v>8246684</v>
      </c>
      <c r="D181" s="10">
        <v>1770352</v>
      </c>
      <c r="E181" s="10">
        <v>92562437</v>
      </c>
      <c r="F181" s="10">
        <v>12360411</v>
      </c>
      <c r="G181" s="10">
        <v>32507650</v>
      </c>
      <c r="H181" s="10">
        <v>13059931</v>
      </c>
      <c r="I181" s="10">
        <v>779164</v>
      </c>
      <c r="J181" s="10"/>
      <c r="K181" s="10">
        <v>55800693</v>
      </c>
      <c r="L181" s="10">
        <v>55302535</v>
      </c>
      <c r="M181" s="10">
        <v>3905284</v>
      </c>
      <c r="N181" s="10"/>
      <c r="O181" s="10">
        <v>0</v>
      </c>
      <c r="Q181" s="12">
        <v>493438217</v>
      </c>
    </row>
    <row r="182" spans="1:17" ht="10.5" customHeight="1">
      <c r="A182" s="8">
        <v>35370</v>
      </c>
      <c r="B182" s="10">
        <v>203767110</v>
      </c>
      <c r="C182" s="10">
        <v>7706056</v>
      </c>
      <c r="D182" s="10">
        <v>1951495</v>
      </c>
      <c r="E182" s="10">
        <v>104925555</v>
      </c>
      <c r="F182" s="10">
        <v>16468311</v>
      </c>
      <c r="G182" s="10">
        <v>36803336</v>
      </c>
      <c r="H182" s="10">
        <v>20648885</v>
      </c>
      <c r="I182" s="10">
        <v>1878861</v>
      </c>
      <c r="J182" s="10"/>
      <c r="K182" s="10">
        <v>-16036112</v>
      </c>
      <c r="L182" s="10">
        <v>62070815</v>
      </c>
      <c r="M182" s="10">
        <v>5134053</v>
      </c>
      <c r="N182" s="10"/>
      <c r="O182" s="10">
        <v>0</v>
      </c>
      <c r="Q182" s="12">
        <v>445318365</v>
      </c>
    </row>
    <row r="183" spans="1:17" ht="10.5" customHeight="1">
      <c r="A183" s="8">
        <v>35400</v>
      </c>
      <c r="B183" s="10">
        <v>232726136</v>
      </c>
      <c r="C183" s="10">
        <v>6184435</v>
      </c>
      <c r="D183" s="10">
        <v>2361799</v>
      </c>
      <c r="E183" s="10">
        <v>97122251</v>
      </c>
      <c r="F183" s="10">
        <v>19021159</v>
      </c>
      <c r="G183" s="10">
        <v>46842245</v>
      </c>
      <c r="H183" s="10">
        <v>21282148</v>
      </c>
      <c r="I183" s="10">
        <v>1985305</v>
      </c>
      <c r="J183" s="10"/>
      <c r="K183" s="10">
        <v>15644887</v>
      </c>
      <c r="L183" s="10">
        <v>46866655</v>
      </c>
      <c r="M183" s="10">
        <v>5098803</v>
      </c>
      <c r="N183" s="10"/>
      <c r="O183" s="10">
        <v>0</v>
      </c>
      <c r="Q183" s="12">
        <v>495135823</v>
      </c>
    </row>
    <row r="184" spans="1:17" ht="10.5" customHeight="1">
      <c r="A184" s="8">
        <v>35431</v>
      </c>
      <c r="B184" s="10">
        <v>233981741</v>
      </c>
      <c r="C184" s="10">
        <v>6459061</v>
      </c>
      <c r="D184" s="10">
        <v>2395421</v>
      </c>
      <c r="E184" s="10">
        <v>131352348</v>
      </c>
      <c r="F184" s="10">
        <v>21357050</v>
      </c>
      <c r="G184" s="10">
        <v>63844508</v>
      </c>
      <c r="H184" s="10">
        <v>25253341</v>
      </c>
      <c r="I184" s="10">
        <v>3034725</v>
      </c>
      <c r="J184" s="10"/>
      <c r="K184" s="10">
        <v>33972159</v>
      </c>
      <c r="L184" s="10">
        <v>70930858</v>
      </c>
      <c r="M184" s="10">
        <v>5017049</v>
      </c>
      <c r="N184" s="10"/>
      <c r="O184" s="10">
        <v>0</v>
      </c>
      <c r="Q184" s="12">
        <v>597598261</v>
      </c>
    </row>
    <row r="185" spans="1:17" ht="10.5" customHeight="1">
      <c r="A185" s="8">
        <v>35462</v>
      </c>
      <c r="B185" s="10">
        <v>263739860</v>
      </c>
      <c r="C185" s="10">
        <v>8280699</v>
      </c>
      <c r="D185" s="10">
        <v>2033464</v>
      </c>
      <c r="E185" s="10">
        <v>120281553</v>
      </c>
      <c r="F185" s="10">
        <v>9889975</v>
      </c>
      <c r="G185" s="10">
        <v>47268059</v>
      </c>
      <c r="H185" s="10">
        <v>19513463</v>
      </c>
      <c r="I185" s="10">
        <v>796498</v>
      </c>
      <c r="J185" s="10"/>
      <c r="K185" s="10">
        <v>40593694</v>
      </c>
      <c r="L185" s="10">
        <v>61940144</v>
      </c>
      <c r="M185" s="10">
        <v>4083330</v>
      </c>
      <c r="N185" s="10"/>
      <c r="O185" s="10">
        <v>0</v>
      </c>
      <c r="Q185" s="12">
        <v>578420739</v>
      </c>
    </row>
    <row r="186" spans="1:17" ht="10.5" customHeight="1">
      <c r="A186" s="8">
        <v>35490</v>
      </c>
      <c r="B186" s="10">
        <v>280980946</v>
      </c>
      <c r="C186" s="10">
        <v>5854804</v>
      </c>
      <c r="D186" s="10">
        <v>1542435</v>
      </c>
      <c r="E186" s="10">
        <v>103349764</v>
      </c>
      <c r="F186" s="10">
        <v>10957136</v>
      </c>
      <c r="G186" s="10">
        <v>42498164</v>
      </c>
      <c r="H186" s="10">
        <v>15676119</v>
      </c>
      <c r="I186" s="10">
        <v>573654</v>
      </c>
      <c r="J186" s="10"/>
      <c r="K186" s="10">
        <v>24753805</v>
      </c>
      <c r="L186" s="10">
        <v>57760140</v>
      </c>
      <c r="M186" s="10">
        <v>3416710</v>
      </c>
      <c r="N186" s="10"/>
      <c r="O186" s="10">
        <v>0</v>
      </c>
      <c r="Q186" s="12">
        <v>547363677</v>
      </c>
    </row>
    <row r="187" spans="1:17" ht="10.5" customHeight="1">
      <c r="A187" s="8">
        <v>35521</v>
      </c>
      <c r="B187" s="10">
        <v>245674728</v>
      </c>
      <c r="C187" s="10">
        <v>6488648</v>
      </c>
      <c r="D187" s="10">
        <v>2561988</v>
      </c>
      <c r="E187" s="10">
        <v>113815545</v>
      </c>
      <c r="F187" s="10">
        <v>11000823</v>
      </c>
      <c r="G187" s="10">
        <v>40664467</v>
      </c>
      <c r="H187" s="10">
        <v>14168711</v>
      </c>
      <c r="I187" s="10">
        <v>548646</v>
      </c>
      <c r="J187" s="10"/>
      <c r="K187" s="10">
        <v>1643077</v>
      </c>
      <c r="L187" s="10">
        <v>55582627</v>
      </c>
      <c r="M187" s="10">
        <v>3376500</v>
      </c>
      <c r="N187" s="10"/>
      <c r="O187" s="10">
        <v>0</v>
      </c>
      <c r="Q187" s="12">
        <v>495525760</v>
      </c>
    </row>
    <row r="188" spans="1:17" ht="10.5" customHeight="1">
      <c r="A188" s="8">
        <v>35551</v>
      </c>
      <c r="B188" s="10">
        <v>250430120</v>
      </c>
      <c r="C188" s="10">
        <v>9040338</v>
      </c>
      <c r="D188" s="10">
        <v>1961387</v>
      </c>
      <c r="E188" s="10">
        <v>102496853</v>
      </c>
      <c r="F188" s="10">
        <v>18067479</v>
      </c>
      <c r="G188" s="10">
        <v>39612783</v>
      </c>
      <c r="H188" s="10">
        <v>11708062</v>
      </c>
      <c r="I188" s="10">
        <v>797084</v>
      </c>
      <c r="J188" s="10"/>
      <c r="K188" s="10">
        <v>-48122654</v>
      </c>
      <c r="L188" s="10">
        <v>85747671</v>
      </c>
      <c r="M188" s="10">
        <v>5649676</v>
      </c>
      <c r="N188" s="10"/>
      <c r="O188" s="10">
        <v>0</v>
      </c>
      <c r="Q188" s="12">
        <v>477388799</v>
      </c>
    </row>
    <row r="189" spans="1:17" ht="10.5" customHeight="1">
      <c r="A189" s="8">
        <v>35582</v>
      </c>
      <c r="B189" s="10">
        <v>241462428</v>
      </c>
      <c r="C189" s="10">
        <v>8918816</v>
      </c>
      <c r="D189" s="10">
        <v>2037950</v>
      </c>
      <c r="E189" s="10">
        <v>98505577</v>
      </c>
      <c r="F189" s="10">
        <v>12268490</v>
      </c>
      <c r="G189" s="10">
        <v>33594521</v>
      </c>
      <c r="H189" s="10">
        <v>9252078</v>
      </c>
      <c r="I189" s="10">
        <v>675017</v>
      </c>
      <c r="J189" s="10"/>
      <c r="K189" s="10">
        <v>-1214046</v>
      </c>
      <c r="L189" s="10">
        <v>73705180</v>
      </c>
      <c r="M189" s="10">
        <v>4014401</v>
      </c>
      <c r="N189" s="10"/>
      <c r="O189" s="10">
        <v>0</v>
      </c>
      <c r="Q189" s="12">
        <v>483220412</v>
      </c>
    </row>
    <row r="190" spans="1:17" ht="10.5" customHeight="1">
      <c r="A190" s="8">
        <v>35612</v>
      </c>
      <c r="B190" s="10">
        <v>249430809</v>
      </c>
      <c r="C190" s="10">
        <v>5492039</v>
      </c>
      <c r="D190" s="10">
        <v>1986476</v>
      </c>
      <c r="E190" s="10">
        <v>103097660</v>
      </c>
      <c r="F190" s="10">
        <v>19688810</v>
      </c>
      <c r="G190" s="10">
        <v>25927989</v>
      </c>
      <c r="H190" s="10">
        <v>6340133</v>
      </c>
      <c r="I190" s="10">
        <v>830485</v>
      </c>
      <c r="J190" s="10"/>
      <c r="K190" s="10">
        <v>19336977</v>
      </c>
      <c r="L190" s="10">
        <v>74544540</v>
      </c>
      <c r="M190" s="10">
        <v>7118470</v>
      </c>
      <c r="N190" s="10"/>
      <c r="O190" s="10">
        <v>0</v>
      </c>
      <c r="Q190" s="12">
        <v>513794388</v>
      </c>
    </row>
    <row r="191" spans="1:17" ht="10.5" customHeight="1">
      <c r="A191" s="8">
        <v>35643</v>
      </c>
      <c r="B191" s="10">
        <v>234008722</v>
      </c>
      <c r="C191" s="10">
        <v>5761098</v>
      </c>
      <c r="D191" s="10">
        <v>1847306</v>
      </c>
      <c r="E191" s="10">
        <v>109770894</v>
      </c>
      <c r="F191" s="10">
        <v>17948664</v>
      </c>
      <c r="G191" s="10">
        <v>37163826</v>
      </c>
      <c r="H191" s="10">
        <v>8244401</v>
      </c>
      <c r="I191" s="10">
        <v>829562</v>
      </c>
      <c r="J191" s="10"/>
      <c r="K191" s="10">
        <v>-3355434</v>
      </c>
      <c r="L191" s="10">
        <v>85519179</v>
      </c>
      <c r="M191" s="10">
        <v>4419022</v>
      </c>
      <c r="N191" s="10"/>
      <c r="O191" s="10">
        <v>0</v>
      </c>
      <c r="Q191" s="12">
        <v>502157240</v>
      </c>
    </row>
    <row r="192" spans="1:17" ht="10.5" customHeight="1">
      <c r="A192" s="8">
        <v>35674</v>
      </c>
      <c r="B192" s="10">
        <v>268735533</v>
      </c>
      <c r="C192" s="10">
        <v>7168557</v>
      </c>
      <c r="D192" s="10">
        <v>1640589</v>
      </c>
      <c r="E192" s="10">
        <v>108820403</v>
      </c>
      <c r="F192" s="10">
        <v>24431438</v>
      </c>
      <c r="G192" s="10">
        <v>36413029</v>
      </c>
      <c r="H192" s="10">
        <v>9978533</v>
      </c>
      <c r="I192" s="10">
        <v>966670</v>
      </c>
      <c r="J192" s="10"/>
      <c r="K192" s="10">
        <v>963058</v>
      </c>
      <c r="L192" s="10">
        <v>88425417</v>
      </c>
      <c r="M192" s="10">
        <v>4034813</v>
      </c>
      <c r="N192" s="10"/>
      <c r="O192" s="10">
        <v>0</v>
      </c>
      <c r="Q192" s="12">
        <v>551578040</v>
      </c>
    </row>
    <row r="193" spans="1:17" ht="10.5" customHeight="1">
      <c r="A193" s="8">
        <v>35704</v>
      </c>
      <c r="B193" s="10">
        <v>259216923</v>
      </c>
      <c r="C193" s="10">
        <v>8777538</v>
      </c>
      <c r="D193" s="10">
        <v>2612864</v>
      </c>
      <c r="E193" s="10">
        <v>113777566</v>
      </c>
      <c r="F193" s="10">
        <v>13267880</v>
      </c>
      <c r="G193" s="10">
        <v>39005483</v>
      </c>
      <c r="H193" s="10">
        <v>14564238</v>
      </c>
      <c r="I193" s="10">
        <v>1064321</v>
      </c>
      <c r="J193" s="10"/>
      <c r="K193" s="10">
        <v>26555609</v>
      </c>
      <c r="L193" s="10">
        <v>90895455</v>
      </c>
      <c r="M193" s="10">
        <v>4702627</v>
      </c>
      <c r="N193" s="10"/>
      <c r="O193" s="10">
        <v>0</v>
      </c>
      <c r="Q193" s="12">
        <v>574440504</v>
      </c>
    </row>
    <row r="194" spans="1:17" ht="10.5" customHeight="1">
      <c r="A194" s="8">
        <v>35735</v>
      </c>
      <c r="B194" s="10">
        <v>263338471</v>
      </c>
      <c r="C194" s="10">
        <v>9291991</v>
      </c>
      <c r="D194" s="10">
        <v>2498311</v>
      </c>
      <c r="E194" s="10">
        <v>121950073</v>
      </c>
      <c r="F194" s="10">
        <v>20320505</v>
      </c>
      <c r="G194" s="10">
        <v>41570956</v>
      </c>
      <c r="H194" s="10">
        <v>17047657</v>
      </c>
      <c r="I194" s="10">
        <v>1914521</v>
      </c>
      <c r="J194" s="10"/>
      <c r="K194" s="10">
        <v>18071012</v>
      </c>
      <c r="L194" s="10">
        <v>103594952</v>
      </c>
      <c r="M194" s="10">
        <v>7022012</v>
      </c>
      <c r="N194" s="10"/>
      <c r="O194" s="10">
        <v>0</v>
      </c>
      <c r="Q194" s="12">
        <v>606620461</v>
      </c>
    </row>
    <row r="195" spans="1:17" ht="10.5" customHeight="1">
      <c r="A195" s="8">
        <v>35765</v>
      </c>
      <c r="B195" s="10">
        <v>286804893</v>
      </c>
      <c r="C195" s="10">
        <v>7761390</v>
      </c>
      <c r="D195" s="10">
        <v>2653840</v>
      </c>
      <c r="E195" s="10">
        <v>115404598</v>
      </c>
      <c r="F195" s="10">
        <v>15519021</v>
      </c>
      <c r="G195" s="10">
        <v>55704039</v>
      </c>
      <c r="H195" s="10">
        <v>24752674</v>
      </c>
      <c r="I195" s="10">
        <v>2818580</v>
      </c>
      <c r="J195" s="10"/>
      <c r="K195" s="10">
        <v>65619355</v>
      </c>
      <c r="L195" s="10">
        <v>101204510</v>
      </c>
      <c r="M195" s="10">
        <v>5913887</v>
      </c>
      <c r="N195" s="10"/>
      <c r="O195" s="10">
        <v>0</v>
      </c>
      <c r="Q195" s="12">
        <v>684156787</v>
      </c>
    </row>
    <row r="196" spans="1:17" ht="10.5" customHeight="1">
      <c r="A196" s="8">
        <v>35796</v>
      </c>
      <c r="B196" s="10">
        <v>257193242</v>
      </c>
      <c r="C196" s="10">
        <v>10969494</v>
      </c>
      <c r="D196" s="10">
        <v>410034</v>
      </c>
      <c r="E196" s="10">
        <v>147860795</v>
      </c>
      <c r="F196" s="10">
        <v>21419625</v>
      </c>
      <c r="G196" s="10">
        <v>75266918</v>
      </c>
      <c r="H196" s="10">
        <v>33148309</v>
      </c>
      <c r="I196" s="10">
        <v>3977326</v>
      </c>
      <c r="J196" s="10"/>
      <c r="K196" s="10">
        <v>-57157724</v>
      </c>
      <c r="L196" s="10">
        <v>126953433</v>
      </c>
      <c r="M196" s="10">
        <v>6142066</v>
      </c>
      <c r="N196" s="10"/>
      <c r="O196" s="10">
        <v>0</v>
      </c>
      <c r="Q196" s="12">
        <v>626183518</v>
      </c>
    </row>
    <row r="197" spans="1:17" ht="10.5" customHeight="1">
      <c r="A197" s="8">
        <v>35827</v>
      </c>
      <c r="B197" s="10">
        <v>321794451</v>
      </c>
      <c r="C197" s="10">
        <v>8103638</v>
      </c>
      <c r="D197" s="10">
        <v>519337</v>
      </c>
      <c r="E197" s="10">
        <v>124648058</v>
      </c>
      <c r="F197" s="10">
        <v>16557420</v>
      </c>
      <c r="G197" s="10">
        <v>45101118</v>
      </c>
      <c r="H197" s="10">
        <v>18743176</v>
      </c>
      <c r="I197" s="10">
        <v>1048358</v>
      </c>
      <c r="J197" s="10"/>
      <c r="K197" s="10">
        <v>35986639</v>
      </c>
      <c r="L197" s="10">
        <v>99451521</v>
      </c>
      <c r="M197" s="10">
        <v>4297738</v>
      </c>
      <c r="N197" s="10"/>
      <c r="O197" s="10">
        <v>0</v>
      </c>
      <c r="Q197" s="12">
        <v>676251454</v>
      </c>
    </row>
    <row r="198" spans="1:17" ht="10.5" customHeight="1">
      <c r="A198" s="8">
        <v>35855</v>
      </c>
      <c r="B198" s="10">
        <v>309513260</v>
      </c>
      <c r="C198" s="10">
        <v>11597786</v>
      </c>
      <c r="D198" s="10">
        <v>573162</v>
      </c>
      <c r="E198" s="10">
        <v>111334740</v>
      </c>
      <c r="F198" s="10">
        <v>13810966</v>
      </c>
      <c r="G198" s="10">
        <v>41702616</v>
      </c>
      <c r="H198" s="10">
        <v>14872389</v>
      </c>
      <c r="I198" s="10">
        <v>588891</v>
      </c>
      <c r="J198" s="10"/>
      <c r="K198" s="10">
        <v>80804536</v>
      </c>
      <c r="L198" s="10">
        <v>95987464</v>
      </c>
      <c r="M198" s="10">
        <v>4224508</v>
      </c>
      <c r="N198" s="10"/>
      <c r="O198" s="10">
        <v>0</v>
      </c>
      <c r="Q198" s="12">
        <v>685010318</v>
      </c>
    </row>
    <row r="199" spans="1:17" ht="10.5" customHeight="1">
      <c r="A199" s="8">
        <v>35886</v>
      </c>
      <c r="B199" s="10">
        <v>284019641</v>
      </c>
      <c r="C199" s="10">
        <v>11901338</v>
      </c>
      <c r="D199" s="10">
        <v>415787</v>
      </c>
      <c r="E199" s="10">
        <v>136302725</v>
      </c>
      <c r="F199" s="10">
        <v>13463714</v>
      </c>
      <c r="G199" s="10">
        <v>42018640</v>
      </c>
      <c r="H199" s="10">
        <v>15561328</v>
      </c>
      <c r="I199" s="10">
        <v>1065248</v>
      </c>
      <c r="J199" s="10"/>
      <c r="K199" s="10">
        <v>-63789927</v>
      </c>
      <c r="L199" s="10">
        <v>112335198</v>
      </c>
      <c r="M199" s="10">
        <v>4901113</v>
      </c>
      <c r="N199" s="10"/>
      <c r="O199" s="10">
        <v>0</v>
      </c>
      <c r="Q199" s="12">
        <v>558194805</v>
      </c>
    </row>
    <row r="200" spans="1:17" ht="10.5" customHeight="1">
      <c r="A200" s="8">
        <v>35916</v>
      </c>
      <c r="B200" s="10">
        <v>285898203</v>
      </c>
      <c r="C200" s="10">
        <v>10840482</v>
      </c>
      <c r="D200" s="10">
        <v>368223</v>
      </c>
      <c r="E200" s="10">
        <v>113368092</v>
      </c>
      <c r="F200" s="10">
        <v>20115104</v>
      </c>
      <c r="G200" s="10">
        <v>41616229</v>
      </c>
      <c r="H200" s="10">
        <v>11891594</v>
      </c>
      <c r="I200" s="10">
        <v>892977</v>
      </c>
      <c r="J200" s="10"/>
      <c r="K200" s="10">
        <v>-8526674</v>
      </c>
      <c r="L200" s="10">
        <v>97301090</v>
      </c>
      <c r="M200" s="10">
        <v>5290539</v>
      </c>
      <c r="N200" s="10"/>
      <c r="O200" s="10">
        <v>0</v>
      </c>
      <c r="Q200" s="12">
        <v>579055859</v>
      </c>
    </row>
    <row r="201" spans="1:17" ht="10.5" customHeight="1">
      <c r="A201" s="8">
        <v>35947</v>
      </c>
      <c r="B201" s="10">
        <v>291503667</v>
      </c>
      <c r="C201" s="10">
        <v>10926710</v>
      </c>
      <c r="D201" s="10">
        <v>409039</v>
      </c>
      <c r="E201" s="10">
        <v>111783020</v>
      </c>
      <c r="F201" s="10">
        <v>16453645</v>
      </c>
      <c r="G201" s="10">
        <v>37751780</v>
      </c>
      <c r="H201" s="10">
        <v>15077199</v>
      </c>
      <c r="I201" s="10">
        <v>940377</v>
      </c>
      <c r="J201" s="10"/>
      <c r="K201" s="10">
        <v>-13099222</v>
      </c>
      <c r="L201" s="10">
        <v>117314818</v>
      </c>
      <c r="M201" s="10">
        <v>4511545</v>
      </c>
      <c r="N201" s="10"/>
      <c r="O201" s="10">
        <v>0</v>
      </c>
      <c r="Q201" s="12">
        <v>593572578</v>
      </c>
    </row>
    <row r="202" spans="1:17" ht="10.5" customHeight="1">
      <c r="A202" s="8">
        <v>35977</v>
      </c>
      <c r="B202" s="10">
        <v>268618795</v>
      </c>
      <c r="C202" s="10">
        <v>11729512</v>
      </c>
      <c r="D202" s="10">
        <v>326146</v>
      </c>
      <c r="E202" s="10">
        <v>119740232</v>
      </c>
      <c r="F202" s="10">
        <v>25026002</v>
      </c>
      <c r="G202" s="10">
        <v>29516036</v>
      </c>
      <c r="H202" s="10">
        <v>8452959</v>
      </c>
      <c r="I202" s="10">
        <v>1131120</v>
      </c>
      <c r="J202" s="10"/>
      <c r="K202" s="10">
        <v>2717653</v>
      </c>
      <c r="L202" s="10">
        <v>98785840</v>
      </c>
      <c r="M202" s="10">
        <v>5418990</v>
      </c>
      <c r="N202" s="10"/>
      <c r="O202" s="10">
        <v>0</v>
      </c>
      <c r="Q202" s="12">
        <v>571463285</v>
      </c>
    </row>
    <row r="203" spans="1:17" ht="10.5" customHeight="1">
      <c r="A203" s="8">
        <v>36008</v>
      </c>
      <c r="B203" s="10">
        <v>277491930</v>
      </c>
      <c r="C203" s="10">
        <v>9906374</v>
      </c>
      <c r="D203" s="10">
        <v>397039</v>
      </c>
      <c r="E203" s="10">
        <v>136980635</v>
      </c>
      <c r="F203" s="10">
        <v>15734420</v>
      </c>
      <c r="G203" s="10">
        <v>40680626</v>
      </c>
      <c r="H203" s="10">
        <v>9888517</v>
      </c>
      <c r="I203" s="10">
        <v>936315</v>
      </c>
      <c r="J203" s="10"/>
      <c r="K203" s="10">
        <v>-57616229</v>
      </c>
      <c r="L203" s="10">
        <v>118925341</v>
      </c>
      <c r="M203" s="10">
        <v>5929599</v>
      </c>
      <c r="N203" s="10"/>
      <c r="O203" s="10">
        <v>0</v>
      </c>
      <c r="Q203" s="12">
        <v>559254567</v>
      </c>
    </row>
    <row r="204" spans="1:17" ht="10.5" customHeight="1">
      <c r="A204" s="8">
        <v>36039</v>
      </c>
      <c r="B204" s="10">
        <v>290804664</v>
      </c>
      <c r="C204" s="10">
        <v>9513657</v>
      </c>
      <c r="D204" s="10">
        <v>377066</v>
      </c>
      <c r="E204" s="10">
        <v>122496022</v>
      </c>
      <c r="F204" s="10">
        <v>17599581</v>
      </c>
      <c r="G204" s="10">
        <v>35079995</v>
      </c>
      <c r="H204" s="10">
        <v>11440088</v>
      </c>
      <c r="I204" s="10">
        <v>1675774</v>
      </c>
      <c r="J204" s="10"/>
      <c r="K204" s="10">
        <v>23157654</v>
      </c>
      <c r="L204" s="10">
        <v>97340144</v>
      </c>
      <c r="M204" s="10">
        <v>5224640</v>
      </c>
      <c r="N204" s="10"/>
      <c r="O204" s="10">
        <v>0</v>
      </c>
      <c r="Q204" s="12">
        <v>614709285</v>
      </c>
    </row>
    <row r="205" spans="1:17" ht="10.5" customHeight="1">
      <c r="A205" s="8">
        <v>36069</v>
      </c>
      <c r="B205" s="10">
        <v>287793905</v>
      </c>
      <c r="C205" s="10">
        <v>12021348</v>
      </c>
      <c r="D205" s="10">
        <v>407379</v>
      </c>
      <c r="E205" s="10">
        <v>121653479</v>
      </c>
      <c r="F205" s="10">
        <v>17040497</v>
      </c>
      <c r="G205" s="10">
        <v>37791889</v>
      </c>
      <c r="H205" s="10">
        <v>13139386</v>
      </c>
      <c r="I205" s="10">
        <v>1222556</v>
      </c>
      <c r="J205" s="10"/>
      <c r="K205" s="10">
        <v>-639609</v>
      </c>
      <c r="L205" s="10">
        <v>90090787</v>
      </c>
      <c r="M205" s="10">
        <v>6366488</v>
      </c>
      <c r="N205" s="10"/>
      <c r="O205" s="10">
        <v>0</v>
      </c>
      <c r="Q205" s="12">
        <v>586888105</v>
      </c>
    </row>
    <row r="206" spans="1:17" ht="10.5" customHeight="1">
      <c r="A206" s="8">
        <v>36100</v>
      </c>
      <c r="B206" s="10">
        <v>287618888</v>
      </c>
      <c r="C206" s="10">
        <v>11697330</v>
      </c>
      <c r="D206" s="10">
        <v>385863</v>
      </c>
      <c r="E206" s="10">
        <v>143109991</v>
      </c>
      <c r="F206" s="10">
        <v>19114644</v>
      </c>
      <c r="G206" s="10">
        <v>45260943</v>
      </c>
      <c r="H206" s="10">
        <v>20983187</v>
      </c>
      <c r="I206" s="10">
        <v>1800393</v>
      </c>
      <c r="J206" s="10"/>
      <c r="K206" s="10">
        <v>-5910950</v>
      </c>
      <c r="L206" s="10">
        <v>80185330</v>
      </c>
      <c r="M206" s="10">
        <v>6658024</v>
      </c>
      <c r="N206" s="10"/>
      <c r="O206" s="10">
        <v>0</v>
      </c>
      <c r="Q206" s="12">
        <v>610903643</v>
      </c>
    </row>
    <row r="207" spans="1:17" ht="10.5" customHeight="1">
      <c r="A207" s="8">
        <v>36130</v>
      </c>
      <c r="B207" s="10">
        <v>319822454</v>
      </c>
      <c r="C207" s="10">
        <v>11046341</v>
      </c>
      <c r="D207" s="10">
        <v>409398</v>
      </c>
      <c r="E207" s="10">
        <v>122695360</v>
      </c>
      <c r="F207" s="10">
        <v>19629256</v>
      </c>
      <c r="G207" s="10">
        <v>45313007</v>
      </c>
      <c r="H207" s="10">
        <v>28863244</v>
      </c>
      <c r="I207" s="10">
        <v>2427545</v>
      </c>
      <c r="J207" s="10"/>
      <c r="K207" s="10">
        <v>35008081</v>
      </c>
      <c r="L207" s="10">
        <v>73854156</v>
      </c>
      <c r="M207" s="10">
        <v>6877932</v>
      </c>
      <c r="N207" s="10"/>
      <c r="O207" s="10">
        <v>0</v>
      </c>
      <c r="Q207" s="12">
        <v>665946774</v>
      </c>
    </row>
    <row r="208" spans="1:17" ht="10.5" customHeight="1">
      <c r="A208" s="8">
        <v>36161</v>
      </c>
      <c r="B208" s="10">
        <v>272937837</v>
      </c>
      <c r="C208" s="10">
        <v>12486723</v>
      </c>
      <c r="D208" s="10">
        <v>406680</v>
      </c>
      <c r="E208" s="10">
        <v>168709115</v>
      </c>
      <c r="F208" s="10">
        <v>30638484</v>
      </c>
      <c r="G208" s="10">
        <v>66818816</v>
      </c>
      <c r="H208" s="10">
        <v>19816834</v>
      </c>
      <c r="I208" s="10">
        <v>3174701</v>
      </c>
      <c r="J208" s="10"/>
      <c r="K208" s="10">
        <v>-17171453</v>
      </c>
      <c r="L208" s="10">
        <v>87331224</v>
      </c>
      <c r="M208" s="10">
        <v>6695555</v>
      </c>
      <c r="N208" s="10"/>
      <c r="O208" s="10">
        <v>0</v>
      </c>
      <c r="Q208" s="12">
        <v>651844516</v>
      </c>
    </row>
    <row r="209" spans="1:17" ht="10.5" customHeight="1">
      <c r="A209" s="8">
        <v>36192</v>
      </c>
      <c r="B209" s="10">
        <v>338328526</v>
      </c>
      <c r="C209" s="10">
        <v>7891174</v>
      </c>
      <c r="D209" s="10">
        <v>433072</v>
      </c>
      <c r="E209" s="10">
        <v>124514622</v>
      </c>
      <c r="F209" s="10">
        <v>9277250</v>
      </c>
      <c r="G209" s="10">
        <v>36576020</v>
      </c>
      <c r="H209" s="10">
        <v>11036528</v>
      </c>
      <c r="I209" s="10">
        <v>484414</v>
      </c>
      <c r="J209" s="10"/>
      <c r="K209" s="10">
        <v>33406326</v>
      </c>
      <c r="L209" s="10">
        <v>76342495</v>
      </c>
      <c r="M209" s="10">
        <v>4891442</v>
      </c>
      <c r="N209" s="10"/>
      <c r="O209" s="10">
        <v>0</v>
      </c>
      <c r="Q209" s="12">
        <v>643181869</v>
      </c>
    </row>
    <row r="210" spans="1:17" ht="10.5" customHeight="1">
      <c r="A210" s="8">
        <v>36220</v>
      </c>
      <c r="B210" s="10">
        <v>304173490</v>
      </c>
      <c r="C210" s="10">
        <v>8725406</v>
      </c>
      <c r="D210" s="10">
        <v>384824</v>
      </c>
      <c r="E210" s="10">
        <v>125955463</v>
      </c>
      <c r="F210" s="10">
        <v>12708049</v>
      </c>
      <c r="G210" s="10">
        <v>43711092</v>
      </c>
      <c r="H210" s="10">
        <v>17736982</v>
      </c>
      <c r="I210" s="10">
        <v>526207</v>
      </c>
      <c r="J210" s="10"/>
      <c r="K210" s="10">
        <v>28094732</v>
      </c>
      <c r="L210" s="10">
        <v>59950985</v>
      </c>
      <c r="M210" s="10">
        <v>4952259</v>
      </c>
      <c r="N210" s="10"/>
      <c r="O210" s="10">
        <v>0</v>
      </c>
      <c r="Q210" s="12">
        <v>606919489</v>
      </c>
    </row>
    <row r="211" spans="1:17" ht="10.5" customHeight="1">
      <c r="A211" s="8">
        <v>36251</v>
      </c>
      <c r="B211" s="10">
        <v>275683403</v>
      </c>
      <c r="C211" s="10">
        <v>10304594</v>
      </c>
      <c r="D211" s="10">
        <v>269679</v>
      </c>
      <c r="E211" s="10">
        <v>167830373</v>
      </c>
      <c r="F211" s="10">
        <v>14413285</v>
      </c>
      <c r="G211" s="10">
        <v>47447074</v>
      </c>
      <c r="H211" s="10">
        <v>21775438</v>
      </c>
      <c r="I211" s="10">
        <v>709405</v>
      </c>
      <c r="J211" s="10"/>
      <c r="K211" s="10">
        <v>-65700861</v>
      </c>
      <c r="L211" s="10">
        <v>63684998</v>
      </c>
      <c r="M211" s="10">
        <v>6154001</v>
      </c>
      <c r="N211" s="10"/>
      <c r="O211" s="10">
        <v>0</v>
      </c>
      <c r="Q211" s="12">
        <v>542571389</v>
      </c>
    </row>
    <row r="212" spans="1:17" ht="10.5" customHeight="1">
      <c r="A212" s="8">
        <v>36281</v>
      </c>
      <c r="B212" s="10">
        <v>316474972</v>
      </c>
      <c r="C212" s="10">
        <v>10366336</v>
      </c>
      <c r="D212" s="10">
        <v>275262</v>
      </c>
      <c r="E212" s="10">
        <v>117521270</v>
      </c>
      <c r="F212" s="10">
        <v>18323122</v>
      </c>
      <c r="G212" s="10">
        <v>32918455</v>
      </c>
      <c r="H212" s="10">
        <v>21775438</v>
      </c>
      <c r="I212" s="10">
        <v>1017989</v>
      </c>
      <c r="J212" s="10"/>
      <c r="K212" s="10">
        <v>-12225772</v>
      </c>
      <c r="L212" s="10">
        <v>52512663</v>
      </c>
      <c r="M212" s="10">
        <v>5674937</v>
      </c>
      <c r="N212" s="10"/>
      <c r="O212" s="10">
        <v>0</v>
      </c>
      <c r="Q212" s="12">
        <v>564634672</v>
      </c>
    </row>
    <row r="213" spans="1:17" ht="10.5" customHeight="1">
      <c r="A213" s="8">
        <v>36312</v>
      </c>
      <c r="B213" s="10">
        <v>262616961</v>
      </c>
      <c r="C213" s="10">
        <v>10853763</v>
      </c>
      <c r="D213" s="10">
        <v>295062</v>
      </c>
      <c r="E213" s="10">
        <v>129653799</v>
      </c>
      <c r="F213" s="10">
        <v>16577771</v>
      </c>
      <c r="G213" s="10">
        <v>33130410</v>
      </c>
      <c r="H213" s="10">
        <v>9204330</v>
      </c>
      <c r="I213" s="10">
        <v>708657</v>
      </c>
      <c r="J213" s="10"/>
      <c r="K213" s="10">
        <v>-14788505</v>
      </c>
      <c r="L213" s="10">
        <v>53237285</v>
      </c>
      <c r="M213" s="10">
        <v>5911526</v>
      </c>
      <c r="N213" s="10"/>
      <c r="O213" s="10">
        <v>0</v>
      </c>
      <c r="Q213" s="12">
        <v>507401059</v>
      </c>
    </row>
    <row r="214" spans="1:17" ht="10.5" customHeight="1">
      <c r="A214" s="8">
        <v>36342</v>
      </c>
      <c r="B214" s="10">
        <v>263916913</v>
      </c>
      <c r="C214" s="10">
        <v>10671863</v>
      </c>
      <c r="D214" s="10">
        <v>361484</v>
      </c>
      <c r="E214" s="10">
        <v>120128182</v>
      </c>
      <c r="F214" s="10">
        <v>20288899</v>
      </c>
      <c r="G214" s="10">
        <v>32308841</v>
      </c>
      <c r="H214" s="10">
        <v>6581646</v>
      </c>
      <c r="I214" s="10">
        <v>843615</v>
      </c>
      <c r="J214" s="10"/>
      <c r="K214" s="10">
        <v>-44489468</v>
      </c>
      <c r="L214" s="10">
        <v>55206589</v>
      </c>
      <c r="M214" s="10">
        <v>5835392</v>
      </c>
      <c r="N214" s="10"/>
      <c r="O214" s="10">
        <v>0</v>
      </c>
      <c r="Q214" s="12">
        <v>471653956</v>
      </c>
    </row>
    <row r="215" spans="1:17" ht="10.5" customHeight="1">
      <c r="A215" s="8">
        <v>36373</v>
      </c>
      <c r="B215" s="10">
        <v>262847338</v>
      </c>
      <c r="C215" s="10">
        <v>9521743</v>
      </c>
      <c r="D215" s="10">
        <v>365470</v>
      </c>
      <c r="E215" s="10">
        <v>149839747</v>
      </c>
      <c r="F215" s="10">
        <v>16981663</v>
      </c>
      <c r="G215" s="10">
        <v>36753036</v>
      </c>
      <c r="H215" s="10">
        <v>8749944</v>
      </c>
      <c r="I215" s="10">
        <v>732153</v>
      </c>
      <c r="J215" s="10"/>
      <c r="K215" s="10">
        <v>-3197855</v>
      </c>
      <c r="L215" s="10">
        <v>50584310</v>
      </c>
      <c r="M215" s="10">
        <v>6577511</v>
      </c>
      <c r="N215" s="10"/>
      <c r="O215" s="10">
        <v>0</v>
      </c>
      <c r="Q215" s="12">
        <v>539755060</v>
      </c>
    </row>
    <row r="216" spans="1:17" ht="10.5" customHeight="1">
      <c r="A216" s="8">
        <v>36404</v>
      </c>
      <c r="B216" s="10">
        <v>289099111</v>
      </c>
      <c r="C216" s="10">
        <v>8932437</v>
      </c>
      <c r="D216" s="10">
        <v>438427</v>
      </c>
      <c r="E216" s="10">
        <v>137705390</v>
      </c>
      <c r="F216" s="10">
        <v>18180892</v>
      </c>
      <c r="G216" s="10">
        <v>33113782</v>
      </c>
      <c r="H216" s="10">
        <v>9889763</v>
      </c>
      <c r="I216" s="10">
        <v>906960</v>
      </c>
      <c r="J216" s="10"/>
      <c r="K216" s="10">
        <v>11449136</v>
      </c>
      <c r="L216" s="10">
        <v>49653969</v>
      </c>
      <c r="M216" s="10">
        <v>6718749</v>
      </c>
      <c r="N216" s="10"/>
      <c r="O216" s="10">
        <v>0</v>
      </c>
      <c r="Q216" s="12">
        <v>566088616</v>
      </c>
    </row>
    <row r="217" spans="1:17" ht="10.5" customHeight="1">
      <c r="A217" s="8">
        <v>36434</v>
      </c>
      <c r="B217" s="10">
        <v>276574188</v>
      </c>
      <c r="C217" s="10">
        <v>10094675</v>
      </c>
      <c r="D217" s="10">
        <v>525094</v>
      </c>
      <c r="E217" s="10">
        <v>144082659</v>
      </c>
      <c r="F217" s="10">
        <v>14311805</v>
      </c>
      <c r="G217" s="10">
        <v>41012211</v>
      </c>
      <c r="H217" s="10">
        <v>13232453</v>
      </c>
      <c r="I217" s="10">
        <v>1611217</v>
      </c>
      <c r="J217" s="10"/>
      <c r="K217" s="10">
        <v>-2720197</v>
      </c>
      <c r="L217" s="10">
        <v>45350524</v>
      </c>
      <c r="M217" s="10">
        <v>6529861</v>
      </c>
      <c r="N217" s="10"/>
      <c r="O217" s="10">
        <v>0</v>
      </c>
      <c r="Q217" s="12">
        <v>550604490</v>
      </c>
    </row>
    <row r="218" spans="1:17" ht="10.5" customHeight="1">
      <c r="A218" s="8">
        <v>36465</v>
      </c>
      <c r="B218" s="10">
        <v>291115012</v>
      </c>
      <c r="C218" s="10">
        <v>10452117</v>
      </c>
      <c r="D218" s="10">
        <v>527939</v>
      </c>
      <c r="E218" s="10">
        <v>158333201</v>
      </c>
      <c r="F218" s="10">
        <v>15878236</v>
      </c>
      <c r="G218" s="10">
        <v>40571183</v>
      </c>
      <c r="H218" s="10">
        <v>16755911</v>
      </c>
      <c r="I218" s="10">
        <v>1750626</v>
      </c>
      <c r="J218" s="10"/>
      <c r="K218" s="10">
        <v>10932896</v>
      </c>
      <c r="L218" s="10">
        <v>40037907</v>
      </c>
      <c r="M218" s="10">
        <v>7872195</v>
      </c>
      <c r="N218" s="10"/>
      <c r="O218" s="10">
        <v>0</v>
      </c>
      <c r="Q218" s="12">
        <v>594227223</v>
      </c>
    </row>
    <row r="219" spans="1:17" ht="10.5" customHeight="1">
      <c r="A219" s="8">
        <v>36495</v>
      </c>
      <c r="B219" s="10">
        <v>309050825</v>
      </c>
      <c r="C219" s="10">
        <v>10881621</v>
      </c>
      <c r="D219" s="10">
        <v>582865</v>
      </c>
      <c r="E219" s="10">
        <v>150118570</v>
      </c>
      <c r="F219" s="10">
        <v>19879064</v>
      </c>
      <c r="G219" s="10">
        <v>51521844</v>
      </c>
      <c r="H219" s="10">
        <v>26283030</v>
      </c>
      <c r="I219" s="10">
        <v>2870979</v>
      </c>
      <c r="J219" s="10"/>
      <c r="K219" s="10">
        <v>59279616</v>
      </c>
      <c r="L219" s="10">
        <v>46641204</v>
      </c>
      <c r="M219" s="10">
        <v>8274022</v>
      </c>
      <c r="N219" s="10"/>
      <c r="O219" s="10">
        <v>0</v>
      </c>
      <c r="Q219" s="12">
        <v>685383640</v>
      </c>
    </row>
    <row r="220" spans="1:17" ht="10.5" customHeight="1">
      <c r="A220" s="8">
        <v>36526</v>
      </c>
      <c r="B220" s="10">
        <v>289094731</v>
      </c>
      <c r="C220" s="10">
        <v>12161152</v>
      </c>
      <c r="D220" s="10">
        <v>670364</v>
      </c>
      <c r="E220" s="10">
        <v>195292414</v>
      </c>
      <c r="F220" s="10">
        <v>27861681</v>
      </c>
      <c r="G220" s="10">
        <v>65850126</v>
      </c>
      <c r="H220" s="10">
        <v>38533571</v>
      </c>
      <c r="I220" s="10">
        <v>5370983</v>
      </c>
      <c r="J220" s="10"/>
      <c r="K220" s="10">
        <v>-8418603</v>
      </c>
      <c r="L220" s="10">
        <v>67648474</v>
      </c>
      <c r="M220" s="10">
        <v>8675132</v>
      </c>
      <c r="N220" s="10"/>
      <c r="O220" s="10">
        <v>0</v>
      </c>
      <c r="Q220" s="12">
        <v>702740025</v>
      </c>
    </row>
    <row r="221" spans="1:17" ht="10.5" customHeight="1">
      <c r="A221" s="8">
        <v>36557</v>
      </c>
      <c r="B221" s="10">
        <v>352832013</v>
      </c>
      <c r="C221" s="10">
        <v>10132876</v>
      </c>
      <c r="D221" s="10">
        <v>699497</v>
      </c>
      <c r="E221" s="10">
        <v>148803065</v>
      </c>
      <c r="F221" s="10">
        <v>14094862</v>
      </c>
      <c r="G221" s="10">
        <v>40323959</v>
      </c>
      <c r="H221" s="10">
        <v>20965115</v>
      </c>
      <c r="I221" s="10">
        <v>757178</v>
      </c>
      <c r="J221" s="10"/>
      <c r="K221" s="10">
        <v>71297177</v>
      </c>
      <c r="L221" s="10">
        <v>53521635</v>
      </c>
      <c r="M221" s="10">
        <v>7067253</v>
      </c>
      <c r="N221" s="10"/>
      <c r="O221" s="10">
        <v>0</v>
      </c>
      <c r="Q221" s="12">
        <v>720494630</v>
      </c>
    </row>
    <row r="222" spans="1:17" ht="10.5" customHeight="1">
      <c r="A222" s="8">
        <v>36586</v>
      </c>
      <c r="B222" s="10">
        <v>342533368</v>
      </c>
      <c r="C222" s="10">
        <v>9387067</v>
      </c>
      <c r="D222" s="10">
        <v>723632</v>
      </c>
      <c r="E222" s="10">
        <v>160506805</v>
      </c>
      <c r="F222" s="10">
        <v>13337753</v>
      </c>
      <c r="G222" s="10">
        <v>44133392</v>
      </c>
      <c r="H222" s="10">
        <v>20224160</v>
      </c>
      <c r="I222" s="10">
        <v>487682</v>
      </c>
      <c r="J222" s="10"/>
      <c r="K222" s="10">
        <v>41872665</v>
      </c>
      <c r="L222" s="10">
        <v>58706439</v>
      </c>
      <c r="M222" s="10">
        <v>6220856</v>
      </c>
      <c r="N222" s="10"/>
      <c r="O222" s="10">
        <v>0</v>
      </c>
      <c r="Q222" s="12">
        <v>698133819</v>
      </c>
    </row>
    <row r="223" spans="1:17" ht="10.5" customHeight="1">
      <c r="A223" s="8">
        <v>36617</v>
      </c>
      <c r="B223" s="10">
        <v>339514065</v>
      </c>
      <c r="C223" s="10">
        <v>10473878</v>
      </c>
      <c r="D223" s="10">
        <v>771929</v>
      </c>
      <c r="E223" s="10">
        <v>149727371</v>
      </c>
      <c r="F223" s="10">
        <v>13397734</v>
      </c>
      <c r="G223" s="10">
        <v>42840406</v>
      </c>
      <c r="H223" s="10">
        <v>18440958</v>
      </c>
      <c r="I223" s="10">
        <v>548047</v>
      </c>
      <c r="J223" s="10"/>
      <c r="K223" s="10">
        <v>-37464294</v>
      </c>
      <c r="L223" s="10">
        <v>50429170</v>
      </c>
      <c r="M223" s="10">
        <v>6602495</v>
      </c>
      <c r="N223" s="10"/>
      <c r="O223" s="10">
        <v>0</v>
      </c>
      <c r="Q223" s="12">
        <v>595281759</v>
      </c>
    </row>
    <row r="224" spans="1:17" ht="10.5" customHeight="1">
      <c r="A224" s="8">
        <v>36647</v>
      </c>
      <c r="B224" s="10">
        <v>347610265</v>
      </c>
      <c r="C224" s="10">
        <v>10490898</v>
      </c>
      <c r="D224" s="10">
        <v>703134</v>
      </c>
      <c r="E224" s="10">
        <v>138848174</v>
      </c>
      <c r="F224" s="10">
        <v>12612678</v>
      </c>
      <c r="G224" s="10">
        <v>32228282</v>
      </c>
      <c r="H224" s="10">
        <v>11609940</v>
      </c>
      <c r="I224" s="10">
        <v>650867</v>
      </c>
      <c r="J224" s="10"/>
      <c r="K224" s="10">
        <v>-6663191</v>
      </c>
      <c r="L224" s="10">
        <v>50915974</v>
      </c>
      <c r="M224" s="10">
        <v>4925979</v>
      </c>
      <c r="N224" s="10"/>
      <c r="O224" s="10">
        <v>0</v>
      </c>
      <c r="Q224" s="12">
        <v>603933000</v>
      </c>
    </row>
    <row r="225" spans="1:17" ht="10.5" customHeight="1">
      <c r="A225" s="8">
        <v>36678</v>
      </c>
      <c r="B225" s="10">
        <v>321370294</v>
      </c>
      <c r="C225" s="10">
        <v>9207188</v>
      </c>
      <c r="D225" s="10">
        <v>653997</v>
      </c>
      <c r="E225" s="10">
        <v>141677320</v>
      </c>
      <c r="F225" s="10">
        <v>16982640</v>
      </c>
      <c r="G225" s="10">
        <v>32105389</v>
      </c>
      <c r="H225" s="10">
        <v>8399793</v>
      </c>
      <c r="I225" s="10">
        <v>784236</v>
      </c>
      <c r="J225" s="10"/>
      <c r="K225" s="10">
        <v>1729324</v>
      </c>
      <c r="L225" s="10">
        <v>58135465</v>
      </c>
      <c r="M225" s="10">
        <v>6953920</v>
      </c>
      <c r="N225" s="10"/>
      <c r="O225" s="10">
        <v>0</v>
      </c>
      <c r="Q225" s="12">
        <v>597999566</v>
      </c>
    </row>
    <row r="226" spans="1:17" ht="10.5" customHeight="1">
      <c r="A226" s="8">
        <v>36708</v>
      </c>
      <c r="B226" s="10">
        <v>322049363</v>
      </c>
      <c r="C226" s="10">
        <v>9982425</v>
      </c>
      <c r="D226" s="10">
        <v>594778</v>
      </c>
      <c r="E226" s="10">
        <v>134731916</v>
      </c>
      <c r="F226" s="10">
        <v>24006004</v>
      </c>
      <c r="G226" s="10">
        <v>31364980</v>
      </c>
      <c r="H226" s="10">
        <v>7786573</v>
      </c>
      <c r="I226" s="10">
        <v>1035708</v>
      </c>
      <c r="J226" s="10"/>
      <c r="K226" s="10">
        <v>-37878255</v>
      </c>
      <c r="L226" s="10">
        <v>54578608</v>
      </c>
      <c r="M226" s="10">
        <v>6525222</v>
      </c>
      <c r="N226" s="10"/>
      <c r="O226" s="10">
        <v>0</v>
      </c>
      <c r="Q226" s="12">
        <v>554777322</v>
      </c>
    </row>
    <row r="227" spans="1:17" ht="10.5" customHeight="1">
      <c r="A227" s="8">
        <v>36739</v>
      </c>
      <c r="B227" s="10">
        <v>350880146</v>
      </c>
      <c r="C227" s="10">
        <v>7947938</v>
      </c>
      <c r="D227" s="10">
        <v>605475</v>
      </c>
      <c r="E227" s="10">
        <v>130384368</v>
      </c>
      <c r="F227" s="10">
        <v>14499916</v>
      </c>
      <c r="G227" s="10">
        <v>27119111</v>
      </c>
      <c r="H227" s="10">
        <v>7496774</v>
      </c>
      <c r="I227" s="10">
        <v>853678</v>
      </c>
      <c r="J227" s="10"/>
      <c r="K227" s="10">
        <v>6309093</v>
      </c>
      <c r="L227" s="10">
        <v>47845445</v>
      </c>
      <c r="M227" s="10">
        <v>5761822</v>
      </c>
      <c r="N227" s="10"/>
      <c r="O227" s="10">
        <v>0</v>
      </c>
      <c r="Q227" s="12">
        <v>599703766</v>
      </c>
    </row>
    <row r="228" spans="1:17" ht="10.5" customHeight="1">
      <c r="A228" s="8">
        <v>36770</v>
      </c>
      <c r="B228" s="10">
        <v>324573827</v>
      </c>
      <c r="C228" s="10">
        <v>9212063</v>
      </c>
      <c r="D228" s="10">
        <v>588052</v>
      </c>
      <c r="E228" s="10">
        <v>134774415</v>
      </c>
      <c r="F228" s="10">
        <v>27944712</v>
      </c>
      <c r="G228" s="10">
        <v>31940746</v>
      </c>
      <c r="H228" s="10">
        <v>11271734</v>
      </c>
      <c r="I228" s="10">
        <v>1535585</v>
      </c>
      <c r="J228" s="10"/>
      <c r="K228" s="10">
        <v>-28271742</v>
      </c>
      <c r="L228" s="10">
        <v>56194368</v>
      </c>
      <c r="M228" s="10">
        <v>6348442</v>
      </c>
      <c r="N228" s="10"/>
      <c r="O228" s="10">
        <v>0</v>
      </c>
      <c r="Q228" s="12">
        <v>576112202</v>
      </c>
    </row>
    <row r="229" spans="1:17" ht="10.5" customHeight="1">
      <c r="A229" s="8">
        <v>36800</v>
      </c>
      <c r="B229" s="10">
        <v>361740296</v>
      </c>
      <c r="C229" s="10">
        <v>8343155</v>
      </c>
      <c r="D229" s="10">
        <v>732304</v>
      </c>
      <c r="E229" s="10">
        <v>127114205</v>
      </c>
      <c r="F229" s="10">
        <v>12833348</v>
      </c>
      <c r="G229" s="10">
        <v>33547113</v>
      </c>
      <c r="H229" s="10">
        <v>12631092</v>
      </c>
      <c r="I229" s="10">
        <v>827221</v>
      </c>
      <c r="J229" s="10"/>
      <c r="K229" s="10">
        <v>16477025</v>
      </c>
      <c r="L229" s="10">
        <v>55302260</v>
      </c>
      <c r="M229" s="10">
        <v>6827383</v>
      </c>
      <c r="N229" s="10"/>
      <c r="O229" s="10">
        <v>0</v>
      </c>
      <c r="Q229" s="12">
        <v>636375402</v>
      </c>
    </row>
    <row r="230" spans="1:17" ht="10.5" customHeight="1">
      <c r="A230" s="8">
        <v>36831</v>
      </c>
      <c r="B230" s="10">
        <v>355178830</v>
      </c>
      <c r="C230" s="10">
        <v>9075807</v>
      </c>
      <c r="D230" s="10">
        <v>632765</v>
      </c>
      <c r="E230" s="10">
        <v>136725407</v>
      </c>
      <c r="F230" s="10">
        <v>12800668</v>
      </c>
      <c r="G230" s="10">
        <v>37466332</v>
      </c>
      <c r="H230" s="10">
        <v>22275767</v>
      </c>
      <c r="I230" s="10">
        <v>1132789</v>
      </c>
      <c r="J230" s="10"/>
      <c r="K230" s="10">
        <v>6670344</v>
      </c>
      <c r="L230" s="10">
        <v>38596584</v>
      </c>
      <c r="M230" s="10">
        <v>7284068</v>
      </c>
      <c r="N230" s="10"/>
      <c r="O230" s="10">
        <v>0</v>
      </c>
      <c r="Q230" s="12">
        <v>627839361</v>
      </c>
    </row>
    <row r="231" spans="1:17" ht="10.5" customHeight="1">
      <c r="A231" s="8">
        <v>36861</v>
      </c>
      <c r="B231" s="10">
        <v>360120345</v>
      </c>
      <c r="C231" s="10">
        <v>12563946</v>
      </c>
      <c r="D231" s="10">
        <v>864466</v>
      </c>
      <c r="E231" s="10">
        <v>142001916</v>
      </c>
      <c r="F231" s="10">
        <v>21951125</v>
      </c>
      <c r="G231" s="10">
        <v>44860254</v>
      </c>
      <c r="H231" s="10">
        <v>25703806</v>
      </c>
      <c r="I231" s="10">
        <v>2884227</v>
      </c>
      <c r="J231" s="10"/>
      <c r="K231" s="10">
        <v>1626380</v>
      </c>
      <c r="L231" s="10">
        <v>64003517</v>
      </c>
      <c r="M231" s="10">
        <v>7556231</v>
      </c>
      <c r="N231" s="10"/>
      <c r="O231" s="10">
        <v>0</v>
      </c>
      <c r="Q231" s="12">
        <v>684136213</v>
      </c>
    </row>
    <row r="232" spans="1:17" ht="10.5" customHeight="1">
      <c r="A232" s="8">
        <v>36892</v>
      </c>
      <c r="B232" s="10">
        <v>383960113</v>
      </c>
      <c r="C232" s="10">
        <v>11463930</v>
      </c>
      <c r="D232" s="10">
        <v>878672</v>
      </c>
      <c r="E232" s="10">
        <v>173052034</v>
      </c>
      <c r="F232" s="10">
        <v>30857355</v>
      </c>
      <c r="G232" s="10">
        <v>66949172</v>
      </c>
      <c r="H232" s="10">
        <v>42329602</v>
      </c>
      <c r="I232" s="10">
        <v>4294109</v>
      </c>
      <c r="J232" s="10"/>
      <c r="K232" s="10">
        <v>2983449</v>
      </c>
      <c r="L232" s="10">
        <v>79862702</v>
      </c>
      <c r="M232" s="10">
        <v>10135953</v>
      </c>
      <c r="N232" s="10"/>
      <c r="O232" s="10">
        <v>0</v>
      </c>
      <c r="Q232" s="12">
        <v>806767091</v>
      </c>
    </row>
    <row r="233" spans="1:17" ht="10.5" customHeight="1">
      <c r="A233" s="8">
        <v>36923</v>
      </c>
      <c r="B233" s="10">
        <v>417380083</v>
      </c>
      <c r="C233" s="10">
        <v>13652005</v>
      </c>
      <c r="D233" s="10">
        <v>1032152</v>
      </c>
      <c r="E233" s="10">
        <v>160751575</v>
      </c>
      <c r="F233" s="10">
        <v>11832491</v>
      </c>
      <c r="G233" s="10">
        <v>44051709</v>
      </c>
      <c r="H233" s="10">
        <v>19114578</v>
      </c>
      <c r="I233" s="10">
        <v>1114399</v>
      </c>
      <c r="J233" s="10"/>
      <c r="K233" s="10">
        <v>58394467</v>
      </c>
      <c r="L233" s="10">
        <v>57295523</v>
      </c>
      <c r="M233" s="10">
        <v>6255900</v>
      </c>
      <c r="N233" s="10"/>
      <c r="O233" s="10">
        <v>0</v>
      </c>
      <c r="Q233" s="12">
        <v>790874882</v>
      </c>
    </row>
    <row r="234" spans="1:17" ht="10.5" customHeight="1">
      <c r="A234" s="8">
        <v>36951</v>
      </c>
      <c r="B234" s="10">
        <v>397144914</v>
      </c>
      <c r="C234" s="10">
        <v>10080234</v>
      </c>
      <c r="D234" s="10">
        <v>1107535</v>
      </c>
      <c r="E234" s="10">
        <v>156345514</v>
      </c>
      <c r="F234" s="10">
        <v>12317792</v>
      </c>
      <c r="G234" s="10">
        <v>43167346</v>
      </c>
      <c r="H234" s="10">
        <v>19388740</v>
      </c>
      <c r="I234" s="10">
        <v>409578</v>
      </c>
      <c r="J234" s="10"/>
      <c r="K234" s="10">
        <v>83822978</v>
      </c>
      <c r="L234" s="10">
        <v>75877086</v>
      </c>
      <c r="M234" s="10">
        <v>5450477</v>
      </c>
      <c r="N234" s="10"/>
      <c r="O234" s="10">
        <v>0</v>
      </c>
      <c r="Q234" s="12">
        <v>805112194</v>
      </c>
    </row>
    <row r="235" spans="1:17" ht="10.5" customHeight="1">
      <c r="A235" s="8">
        <v>36982</v>
      </c>
      <c r="B235" s="10">
        <v>375015633</v>
      </c>
      <c r="C235" s="10">
        <v>12989164</v>
      </c>
      <c r="D235" s="10">
        <v>837465</v>
      </c>
      <c r="E235" s="10">
        <v>165805099</v>
      </c>
      <c r="F235" s="10">
        <v>16248964</v>
      </c>
      <c r="G235" s="10">
        <v>43862365</v>
      </c>
      <c r="H235" s="10">
        <v>19110051</v>
      </c>
      <c r="I235" s="10">
        <v>2172023</v>
      </c>
      <c r="J235" s="10"/>
      <c r="K235" s="10">
        <v>-54508911</v>
      </c>
      <c r="L235" s="10">
        <v>95352972</v>
      </c>
      <c r="M235" s="10">
        <v>6057071</v>
      </c>
      <c r="N235" s="10"/>
      <c r="O235" s="10">
        <v>0</v>
      </c>
      <c r="Q235" s="12">
        <v>682941896</v>
      </c>
    </row>
    <row r="236" spans="1:17" ht="10.5" customHeight="1">
      <c r="A236" s="8">
        <v>37012</v>
      </c>
      <c r="B236" s="10">
        <v>400770633</v>
      </c>
      <c r="C236" s="10">
        <v>9128248</v>
      </c>
      <c r="D236" s="10">
        <v>827714</v>
      </c>
      <c r="E236" s="10">
        <v>167271887</v>
      </c>
      <c r="F236" s="10">
        <v>16531757</v>
      </c>
      <c r="G236" s="10">
        <v>34811229</v>
      </c>
      <c r="H236" s="10">
        <v>11737162</v>
      </c>
      <c r="I236" s="10">
        <v>598168</v>
      </c>
      <c r="J236" s="10"/>
      <c r="K236" s="10">
        <v>-41247085</v>
      </c>
      <c r="L236" s="10">
        <v>45632528</v>
      </c>
      <c r="M236" s="10">
        <v>5448737</v>
      </c>
      <c r="N236" s="10"/>
      <c r="O236" s="10">
        <v>0</v>
      </c>
      <c r="Q236" s="12">
        <v>651510978</v>
      </c>
    </row>
    <row r="237" spans="1:17" ht="10.5" customHeight="1">
      <c r="A237" s="8">
        <v>37043</v>
      </c>
      <c r="B237" s="10">
        <v>381002895</v>
      </c>
      <c r="C237" s="10">
        <v>11788853</v>
      </c>
      <c r="D237" s="10">
        <v>831922</v>
      </c>
      <c r="E237" s="10">
        <v>136099233</v>
      </c>
      <c r="F237" s="10">
        <v>24435295</v>
      </c>
      <c r="G237" s="10">
        <v>29763841</v>
      </c>
      <c r="H237" s="10">
        <v>6810380</v>
      </c>
      <c r="I237" s="10">
        <v>833656</v>
      </c>
      <c r="J237" s="10"/>
      <c r="K237" s="10">
        <v>-35685805</v>
      </c>
      <c r="L237" s="10">
        <v>42961859</v>
      </c>
      <c r="M237" s="10">
        <v>6792173</v>
      </c>
      <c r="N237" s="10"/>
      <c r="O237" s="10">
        <v>0</v>
      </c>
      <c r="Q237" s="12">
        <v>605634302</v>
      </c>
    </row>
    <row r="238" spans="1:17" ht="10.5" customHeight="1">
      <c r="A238" s="8">
        <v>37073</v>
      </c>
      <c r="B238" s="10">
        <v>354112789</v>
      </c>
      <c r="C238" s="10">
        <v>8293025</v>
      </c>
      <c r="D238" s="10">
        <v>795398</v>
      </c>
      <c r="E238" s="10">
        <v>140688017</v>
      </c>
      <c r="F238" s="10">
        <v>14882376</v>
      </c>
      <c r="G238" s="10">
        <v>21823176</v>
      </c>
      <c r="H238" s="10">
        <v>5724816</v>
      </c>
      <c r="I238" s="10">
        <v>475552</v>
      </c>
      <c r="J238" s="10"/>
      <c r="K238" s="10">
        <v>-45074594</v>
      </c>
      <c r="L238" s="10">
        <v>28425225</v>
      </c>
      <c r="M238" s="10">
        <v>4514263</v>
      </c>
      <c r="N238" s="10"/>
      <c r="O238" s="10">
        <v>0</v>
      </c>
      <c r="Q238" s="12">
        <v>534660043</v>
      </c>
    </row>
    <row r="239" spans="1:17" ht="10.5" customHeight="1">
      <c r="A239" s="8">
        <v>37104</v>
      </c>
      <c r="B239" s="10">
        <v>348477437</v>
      </c>
      <c r="C239" s="10">
        <v>12803052</v>
      </c>
      <c r="D239" s="10">
        <v>739922</v>
      </c>
      <c r="E239" s="10">
        <v>144083891</v>
      </c>
      <c r="F239" s="10">
        <v>15733431</v>
      </c>
      <c r="G239" s="10">
        <v>22731289</v>
      </c>
      <c r="H239" s="10">
        <v>6748029</v>
      </c>
      <c r="I239" s="10">
        <v>701672</v>
      </c>
      <c r="J239" s="10"/>
      <c r="K239" s="10">
        <v>-23764052</v>
      </c>
      <c r="L239" s="10">
        <v>37676782</v>
      </c>
      <c r="M239" s="10">
        <v>4468533</v>
      </c>
      <c r="N239" s="10"/>
      <c r="O239" s="10">
        <v>0</v>
      </c>
      <c r="Q239" s="12">
        <v>570399986</v>
      </c>
    </row>
    <row r="240" spans="1:17" ht="10.5" customHeight="1">
      <c r="A240" s="8">
        <v>37135</v>
      </c>
      <c r="B240" s="10">
        <v>351773903</v>
      </c>
      <c r="C240" s="10">
        <v>8616413</v>
      </c>
      <c r="D240" s="10">
        <v>690490</v>
      </c>
      <c r="E240" s="10">
        <v>147890146</v>
      </c>
      <c r="F240" s="10">
        <v>14649582</v>
      </c>
      <c r="G240" s="10">
        <v>24796345</v>
      </c>
      <c r="H240" s="10">
        <v>9655204</v>
      </c>
      <c r="I240" s="10">
        <v>503540</v>
      </c>
      <c r="J240" s="10"/>
      <c r="K240" s="10">
        <v>-15052990</v>
      </c>
      <c r="L240" s="10">
        <v>42788568</v>
      </c>
      <c r="M240" s="10">
        <v>6971443</v>
      </c>
      <c r="N240" s="10"/>
      <c r="O240" s="10">
        <v>0</v>
      </c>
      <c r="Q240" s="12">
        <v>593282644</v>
      </c>
    </row>
    <row r="241" spans="1:17" ht="10.5" customHeight="1">
      <c r="A241" s="8">
        <v>37165</v>
      </c>
      <c r="B241" s="10">
        <v>377330118</v>
      </c>
      <c r="C241" s="10">
        <v>9147429</v>
      </c>
      <c r="D241" s="10">
        <v>721583</v>
      </c>
      <c r="E241" s="10">
        <v>131731736</v>
      </c>
      <c r="F241" s="10">
        <v>15491632</v>
      </c>
      <c r="G241" s="10">
        <v>23058662</v>
      </c>
      <c r="H241" s="10">
        <v>7544936</v>
      </c>
      <c r="I241" s="10">
        <v>619330</v>
      </c>
      <c r="J241" s="10"/>
      <c r="K241" s="10">
        <v>22563657</v>
      </c>
      <c r="L241" s="10">
        <v>41395667</v>
      </c>
      <c r="M241" s="10">
        <v>5246973</v>
      </c>
      <c r="N241" s="10"/>
      <c r="O241" s="10">
        <v>0</v>
      </c>
      <c r="Q241" s="12">
        <v>634851723</v>
      </c>
    </row>
    <row r="242" spans="1:17" ht="10.5" customHeight="1">
      <c r="A242" s="8">
        <v>37196</v>
      </c>
      <c r="B242" s="10">
        <v>329534806</v>
      </c>
      <c r="C242" s="10">
        <v>9104056</v>
      </c>
      <c r="D242" s="10">
        <v>645715</v>
      </c>
      <c r="E242" s="10">
        <v>156958319</v>
      </c>
      <c r="F242" s="10">
        <v>17852282</v>
      </c>
      <c r="G242" s="10">
        <v>30101551</v>
      </c>
      <c r="H242" s="10">
        <v>20930020</v>
      </c>
      <c r="I242" s="10">
        <v>885141</v>
      </c>
      <c r="J242" s="10"/>
      <c r="K242" s="10">
        <v>-43610791</v>
      </c>
      <c r="L242" s="10">
        <v>69945430</v>
      </c>
      <c r="M242" s="10">
        <v>6783930</v>
      </c>
      <c r="N242" s="10"/>
      <c r="O242" s="10">
        <v>0</v>
      </c>
      <c r="Q242" s="12">
        <v>599130459</v>
      </c>
    </row>
    <row r="243" spans="1:17" ht="10.5" customHeight="1">
      <c r="A243" s="8">
        <v>37226</v>
      </c>
      <c r="B243" s="10">
        <v>349604050</v>
      </c>
      <c r="C243" s="10">
        <v>9149692</v>
      </c>
      <c r="D243" s="10">
        <v>769732</v>
      </c>
      <c r="E243" s="10">
        <v>154351077</v>
      </c>
      <c r="F243" s="10">
        <v>19257561</v>
      </c>
      <c r="G243" s="10">
        <v>34704757</v>
      </c>
      <c r="H243" s="10">
        <v>15735451</v>
      </c>
      <c r="I243" s="10">
        <v>1598427</v>
      </c>
      <c r="J243" s="10"/>
      <c r="K243" s="10">
        <v>-21207960</v>
      </c>
      <c r="L243" s="10">
        <v>42739354</v>
      </c>
      <c r="M243" s="10">
        <v>6386809</v>
      </c>
      <c r="N243" s="10"/>
      <c r="O243" s="10">
        <v>0</v>
      </c>
      <c r="Q243" s="12">
        <v>613088950</v>
      </c>
    </row>
    <row r="244" spans="1:17" ht="10.5" customHeight="1">
      <c r="A244" s="8">
        <v>37257</v>
      </c>
      <c r="B244" s="10">
        <v>398885055</v>
      </c>
      <c r="C244" s="10">
        <v>10203741</v>
      </c>
      <c r="D244" s="10">
        <v>610085</v>
      </c>
      <c r="E244" s="10">
        <v>188856258</v>
      </c>
      <c r="F244" s="10">
        <v>33730905</v>
      </c>
      <c r="G244" s="10">
        <v>47066674</v>
      </c>
      <c r="H244" s="10">
        <v>33638013</v>
      </c>
      <c r="I244" s="10">
        <v>3014816</v>
      </c>
      <c r="J244" s="10"/>
      <c r="K244" s="10">
        <v>48901412</v>
      </c>
      <c r="L244" s="10">
        <v>48061629</v>
      </c>
      <c r="M244" s="10">
        <v>7214212</v>
      </c>
      <c r="N244" s="10"/>
      <c r="O244" s="10">
        <v>0</v>
      </c>
      <c r="Q244" s="12">
        <v>820182800</v>
      </c>
    </row>
    <row r="245" spans="1:17" ht="10.5" customHeight="1">
      <c r="A245" s="8">
        <v>37288</v>
      </c>
      <c r="B245" s="10">
        <v>407862574</v>
      </c>
      <c r="C245" s="10">
        <v>10602202</v>
      </c>
      <c r="D245" s="10">
        <v>695741</v>
      </c>
      <c r="E245" s="10">
        <v>168458053</v>
      </c>
      <c r="F245" s="10">
        <v>12093618</v>
      </c>
      <c r="G245" s="10">
        <v>24752141</v>
      </c>
      <c r="H245" s="10">
        <v>16009950</v>
      </c>
      <c r="I245" s="10">
        <v>1226588</v>
      </c>
      <c r="J245" s="10"/>
      <c r="K245" s="10">
        <v>3985937</v>
      </c>
      <c r="L245" s="10">
        <v>30322887</v>
      </c>
      <c r="M245" s="10">
        <v>5272616</v>
      </c>
      <c r="N245" s="10">
        <v>1013293</v>
      </c>
      <c r="O245" s="10">
        <v>0</v>
      </c>
      <c r="Q245" s="12">
        <v>682295600</v>
      </c>
    </row>
    <row r="246" spans="1:17" ht="10.5" customHeight="1">
      <c r="A246" s="8">
        <v>37316</v>
      </c>
      <c r="B246" s="10">
        <v>408398365</v>
      </c>
      <c r="C246" s="10">
        <v>8581113</v>
      </c>
      <c r="D246" s="10">
        <v>661694</v>
      </c>
      <c r="E246" s="10">
        <v>171136608</v>
      </c>
      <c r="F246" s="10">
        <v>11196926</v>
      </c>
      <c r="G246" s="10">
        <v>17096466</v>
      </c>
      <c r="H246" s="10">
        <v>14969701</v>
      </c>
      <c r="I246" s="10">
        <v>480660</v>
      </c>
      <c r="J246" s="10"/>
      <c r="K246" s="10">
        <v>7173399</v>
      </c>
      <c r="L246" s="10">
        <v>24768863</v>
      </c>
      <c r="M246" s="10">
        <v>6164164</v>
      </c>
      <c r="N246" s="10">
        <v>901466</v>
      </c>
      <c r="O246" s="10">
        <v>0</v>
      </c>
      <c r="Q246" s="12">
        <v>671529425</v>
      </c>
    </row>
    <row r="247" spans="1:17" ht="10.5" customHeight="1">
      <c r="A247" s="8">
        <v>37347</v>
      </c>
      <c r="B247" s="10">
        <v>329361519</v>
      </c>
      <c r="C247" s="10">
        <v>9184041</v>
      </c>
      <c r="D247" s="10">
        <v>535292</v>
      </c>
      <c r="E247" s="10">
        <v>146312135</v>
      </c>
      <c r="F247" s="10">
        <v>15100248</v>
      </c>
      <c r="G247" s="10">
        <v>26127983</v>
      </c>
      <c r="H247" s="10">
        <v>14275758</v>
      </c>
      <c r="I247" s="10">
        <v>636070</v>
      </c>
      <c r="J247" s="10"/>
      <c r="K247" s="10">
        <v>-8371343</v>
      </c>
      <c r="L247" s="10">
        <v>32732776</v>
      </c>
      <c r="M247" s="10">
        <v>4532672</v>
      </c>
      <c r="N247" s="10">
        <v>1712408</v>
      </c>
      <c r="O247" s="10">
        <v>0</v>
      </c>
      <c r="Q247" s="12">
        <v>572139559</v>
      </c>
    </row>
    <row r="248" spans="1:17" ht="10.5" customHeight="1">
      <c r="A248" s="8">
        <v>37377</v>
      </c>
      <c r="B248" s="10">
        <v>362667224</v>
      </c>
      <c r="C248" s="10">
        <v>12466729</v>
      </c>
      <c r="D248" s="10">
        <v>688507</v>
      </c>
      <c r="E248" s="10">
        <v>145748226</v>
      </c>
      <c r="F248" s="10">
        <v>17962862</v>
      </c>
      <c r="G248" s="10">
        <v>29410246</v>
      </c>
      <c r="H248" s="10">
        <v>8714168</v>
      </c>
      <c r="I248" s="10">
        <v>579436</v>
      </c>
      <c r="J248" s="10"/>
      <c r="K248" s="10">
        <v>-65230861</v>
      </c>
      <c r="L248" s="10">
        <v>34701206</v>
      </c>
      <c r="M248" s="10">
        <v>4312045</v>
      </c>
      <c r="N248" s="10">
        <v>2468387</v>
      </c>
      <c r="O248" s="10">
        <v>0</v>
      </c>
      <c r="Q248" s="12">
        <v>554488175</v>
      </c>
    </row>
    <row r="249" spans="1:17" ht="10.5" customHeight="1">
      <c r="A249" s="8">
        <v>37408</v>
      </c>
      <c r="B249" s="10">
        <v>374797509</v>
      </c>
      <c r="C249" s="10">
        <v>8371549</v>
      </c>
      <c r="D249" s="10">
        <v>914084</v>
      </c>
      <c r="E249" s="10">
        <v>143126245</v>
      </c>
      <c r="F249" s="10">
        <v>16132115</v>
      </c>
      <c r="G249" s="10">
        <v>24660244</v>
      </c>
      <c r="H249" s="10">
        <v>6962802</v>
      </c>
      <c r="I249" s="10">
        <v>569823</v>
      </c>
      <c r="J249" s="10"/>
      <c r="K249" s="10">
        <v>34820825</v>
      </c>
      <c r="L249" s="10">
        <v>20890453</v>
      </c>
      <c r="M249" s="10">
        <v>5121193</v>
      </c>
      <c r="N249" s="10">
        <v>3703615</v>
      </c>
      <c r="O249" s="10">
        <v>0</v>
      </c>
      <c r="Q249" s="12">
        <v>640070457</v>
      </c>
    </row>
    <row r="250" spans="1:17" ht="10.5" customHeight="1">
      <c r="A250" s="8">
        <v>37438</v>
      </c>
      <c r="B250" s="10">
        <v>320208750</v>
      </c>
      <c r="C250" s="10">
        <v>7123706</v>
      </c>
      <c r="D250" s="10">
        <v>721314</v>
      </c>
      <c r="E250" s="10">
        <v>130268865</v>
      </c>
      <c r="F250" s="10">
        <v>21210404</v>
      </c>
      <c r="G250" s="10">
        <v>19585731</v>
      </c>
      <c r="H250" s="10">
        <v>5518479</v>
      </c>
      <c r="I250" s="10">
        <v>514011</v>
      </c>
      <c r="J250" s="10"/>
      <c r="K250" s="10">
        <v>-64647968</v>
      </c>
      <c r="L250" s="10">
        <v>15496429</v>
      </c>
      <c r="M250" s="10">
        <v>4052611</v>
      </c>
      <c r="N250" s="10">
        <v>1813910</v>
      </c>
      <c r="O250" s="10">
        <v>0</v>
      </c>
      <c r="Q250" s="12">
        <v>461866242</v>
      </c>
    </row>
    <row r="251" spans="1:17" ht="10.5" customHeight="1">
      <c r="A251" s="8">
        <v>37469</v>
      </c>
      <c r="B251" s="10">
        <v>303202110</v>
      </c>
      <c r="C251" s="10">
        <v>10279031</v>
      </c>
      <c r="D251" s="10">
        <v>737840</v>
      </c>
      <c r="E251" s="10">
        <v>159742103</v>
      </c>
      <c r="F251" s="10">
        <v>12602788</v>
      </c>
      <c r="G251" s="10">
        <v>18595610</v>
      </c>
      <c r="H251" s="10">
        <v>5659268</v>
      </c>
      <c r="I251" s="10">
        <v>561987</v>
      </c>
      <c r="J251" s="10"/>
      <c r="K251" s="10">
        <v>-73214874</v>
      </c>
      <c r="L251" s="10">
        <v>16155082</v>
      </c>
      <c r="M251" s="10">
        <v>3923078</v>
      </c>
      <c r="N251" s="10">
        <v>1098963</v>
      </c>
      <c r="O251" s="10">
        <v>0</v>
      </c>
      <c r="Q251" s="12">
        <v>459342986</v>
      </c>
    </row>
    <row r="252" spans="1:17" ht="10.5" customHeight="1">
      <c r="A252" s="8">
        <v>37500</v>
      </c>
      <c r="B252" s="10">
        <v>339865873</v>
      </c>
      <c r="C252" s="10">
        <v>7226024</v>
      </c>
      <c r="D252" s="10">
        <v>918262</v>
      </c>
      <c r="E252" s="10">
        <v>131516073</v>
      </c>
      <c r="F252" s="10">
        <v>12247568</v>
      </c>
      <c r="G252" s="10">
        <v>20895603</v>
      </c>
      <c r="H252" s="10">
        <v>8510859</v>
      </c>
      <c r="I252" s="10">
        <v>347183</v>
      </c>
      <c r="J252" s="10"/>
      <c r="K252" s="10">
        <v>23188429</v>
      </c>
      <c r="L252" s="10">
        <v>10159528</v>
      </c>
      <c r="M252" s="10">
        <v>3159521</v>
      </c>
      <c r="N252" s="10">
        <v>2420833</v>
      </c>
      <c r="O252" s="10">
        <v>0</v>
      </c>
      <c r="Q252" s="12">
        <v>560455756</v>
      </c>
    </row>
    <row r="253" spans="1:17" ht="10.5" customHeight="1">
      <c r="A253" s="8">
        <v>37530</v>
      </c>
      <c r="B253" s="10">
        <v>316581143</v>
      </c>
      <c r="C253" s="10">
        <v>15056302</v>
      </c>
      <c r="D253" s="10">
        <v>1049930</v>
      </c>
      <c r="E253" s="10">
        <v>142439777</v>
      </c>
      <c r="F253" s="10">
        <v>13811946</v>
      </c>
      <c r="G253" s="10">
        <v>26251133</v>
      </c>
      <c r="H253" s="10">
        <v>7133374</v>
      </c>
      <c r="I253" s="10">
        <v>402559</v>
      </c>
      <c r="J253" s="10"/>
      <c r="K253" s="10">
        <v>-1174214</v>
      </c>
      <c r="L253" s="10">
        <v>12308487</v>
      </c>
      <c r="M253" s="10">
        <v>3964619</v>
      </c>
      <c r="N253" s="10">
        <v>5726143</v>
      </c>
      <c r="O253" s="10">
        <v>0</v>
      </c>
      <c r="Q253" s="12">
        <v>543551199</v>
      </c>
    </row>
    <row r="254" spans="1:17" ht="10.5" customHeight="1">
      <c r="A254" s="8">
        <v>37561</v>
      </c>
      <c r="B254" s="10">
        <v>303715689</v>
      </c>
      <c r="C254" s="10">
        <v>19491124</v>
      </c>
      <c r="D254" s="10">
        <v>1306920</v>
      </c>
      <c r="E254" s="10">
        <v>154799737</v>
      </c>
      <c r="F254" s="10">
        <v>15658366</v>
      </c>
      <c r="G254" s="10">
        <v>26360953</v>
      </c>
      <c r="H254" s="10">
        <v>13308951</v>
      </c>
      <c r="I254" s="10">
        <v>824068</v>
      </c>
      <c r="J254" s="10"/>
      <c r="K254" s="10">
        <v>-45334825</v>
      </c>
      <c r="L254" s="10">
        <v>13989320</v>
      </c>
      <c r="M254" s="10">
        <v>9225422</v>
      </c>
      <c r="N254" s="10">
        <v>1524252</v>
      </c>
      <c r="O254" s="10">
        <v>0</v>
      </c>
      <c r="Q254" s="12">
        <v>514869977</v>
      </c>
    </row>
    <row r="255" spans="1:17" ht="10.5" customHeight="1">
      <c r="A255" s="8">
        <v>37591</v>
      </c>
      <c r="B255" s="10">
        <v>299754817</v>
      </c>
      <c r="C255" s="10">
        <v>19598440</v>
      </c>
      <c r="D255" s="10">
        <v>1163204</v>
      </c>
      <c r="E255" s="10">
        <v>147132314</v>
      </c>
      <c r="F255" s="10">
        <v>24753104</v>
      </c>
      <c r="G255" s="10">
        <v>29049257</v>
      </c>
      <c r="H255" s="10">
        <v>25438060</v>
      </c>
      <c r="I255" s="10">
        <v>1686627</v>
      </c>
      <c r="J255" s="10"/>
      <c r="K255" s="10">
        <v>-18319326</v>
      </c>
      <c r="L255" s="10">
        <v>16455090</v>
      </c>
      <c r="M255" s="10">
        <v>6490409</v>
      </c>
      <c r="N255" s="10">
        <v>1307254</v>
      </c>
      <c r="O255" s="10">
        <v>0</v>
      </c>
      <c r="Q255" s="12">
        <v>554509250</v>
      </c>
    </row>
    <row r="256" spans="1:17" ht="10.5" customHeight="1">
      <c r="A256" s="8">
        <v>37622</v>
      </c>
      <c r="B256" s="10">
        <v>321218072</v>
      </c>
      <c r="C256" s="10">
        <v>17372306</v>
      </c>
      <c r="D256" s="10">
        <v>1023609</v>
      </c>
      <c r="E256" s="10">
        <v>184453530</v>
      </c>
      <c r="F256" s="10">
        <v>37186587</v>
      </c>
      <c r="G256" s="10">
        <v>83789565</v>
      </c>
      <c r="H256" s="10">
        <v>42229757</v>
      </c>
      <c r="I256" s="10">
        <v>2771800</v>
      </c>
      <c r="J256" s="10"/>
      <c r="K256" s="10">
        <v>31027023</v>
      </c>
      <c r="L256" s="10">
        <v>21446037</v>
      </c>
      <c r="M256" s="10">
        <v>6413967</v>
      </c>
      <c r="N256" s="10">
        <v>3922877</v>
      </c>
      <c r="O256" s="10">
        <v>0</v>
      </c>
      <c r="Q256" s="12">
        <v>752855130</v>
      </c>
    </row>
    <row r="257" spans="1:17" ht="10.5" customHeight="1">
      <c r="A257" s="8">
        <v>37653</v>
      </c>
      <c r="B257" s="10">
        <v>373746902</v>
      </c>
      <c r="C257" s="10">
        <v>16836085</v>
      </c>
      <c r="D257" s="10">
        <v>1104681</v>
      </c>
      <c r="E257" s="10">
        <v>161078655</v>
      </c>
      <c r="F257" s="10">
        <v>10395821</v>
      </c>
      <c r="G257" s="10">
        <v>37660900</v>
      </c>
      <c r="H257" s="10">
        <v>20680958</v>
      </c>
      <c r="I257" s="10">
        <v>485289</v>
      </c>
      <c r="J257" s="10"/>
      <c r="K257" s="10">
        <v>87652457</v>
      </c>
      <c r="L257" s="10">
        <v>8081075</v>
      </c>
      <c r="M257" s="10">
        <v>4973173</v>
      </c>
      <c r="N257" s="10">
        <v>3406907</v>
      </c>
      <c r="O257" s="10">
        <v>0</v>
      </c>
      <c r="Q257" s="12">
        <v>726102903</v>
      </c>
    </row>
    <row r="258" spans="1:17" ht="10.5" customHeight="1">
      <c r="A258" s="8">
        <v>37681</v>
      </c>
      <c r="B258" s="10">
        <v>439981483</v>
      </c>
      <c r="C258" s="10">
        <v>18974919</v>
      </c>
      <c r="D258" s="10">
        <v>1212059</v>
      </c>
      <c r="E258" s="10">
        <v>160591386</v>
      </c>
      <c r="F258" s="10">
        <v>14951910</v>
      </c>
      <c r="G258" s="10">
        <v>31702713</v>
      </c>
      <c r="H258" s="10">
        <v>13886709</v>
      </c>
      <c r="I258" s="10">
        <v>705137</v>
      </c>
      <c r="J258" s="10"/>
      <c r="K258" s="10">
        <v>-20912796</v>
      </c>
      <c r="L258" s="10">
        <v>13340251</v>
      </c>
      <c r="M258" s="10">
        <v>5206538</v>
      </c>
      <c r="N258" s="10">
        <v>2676276</v>
      </c>
      <c r="O258" s="10">
        <v>0</v>
      </c>
      <c r="Q258" s="12">
        <v>682316585</v>
      </c>
    </row>
    <row r="259" spans="1:17" ht="10.5" customHeight="1">
      <c r="A259" s="8">
        <v>37712</v>
      </c>
      <c r="B259" s="10">
        <v>363043371</v>
      </c>
      <c r="C259" s="10">
        <v>19253480</v>
      </c>
      <c r="D259" s="10">
        <v>1596214</v>
      </c>
      <c r="E259" s="10">
        <v>147588262</v>
      </c>
      <c r="F259" s="10">
        <v>18708353</v>
      </c>
      <c r="G259" s="10">
        <v>32723463</v>
      </c>
      <c r="H259" s="10">
        <v>13239202</v>
      </c>
      <c r="I259" s="10">
        <v>1443692</v>
      </c>
      <c r="J259" s="10"/>
      <c r="K259" s="10">
        <v>-94066347</v>
      </c>
      <c r="L259" s="10">
        <v>10477899</v>
      </c>
      <c r="M259" s="10">
        <v>4965823</v>
      </c>
      <c r="N259" s="10">
        <v>1602394</v>
      </c>
      <c r="O259" s="10">
        <v>0</v>
      </c>
      <c r="Q259" s="12">
        <v>520575806</v>
      </c>
    </row>
    <row r="260" spans="1:17" ht="10.5" customHeight="1">
      <c r="A260" s="8">
        <v>37742</v>
      </c>
      <c r="B260" s="10">
        <v>283248384</v>
      </c>
      <c r="C260" s="10">
        <v>19003757</v>
      </c>
      <c r="D260" s="10">
        <v>1878798</v>
      </c>
      <c r="E260" s="10">
        <v>185638726</v>
      </c>
      <c r="F260" s="10">
        <v>19651847</v>
      </c>
      <c r="G260" s="10">
        <v>31039126</v>
      </c>
      <c r="H260" s="10">
        <v>11533343</v>
      </c>
      <c r="I260" s="10">
        <v>698695</v>
      </c>
      <c r="J260" s="10"/>
      <c r="K260" s="10">
        <v>-4287365</v>
      </c>
      <c r="L260" s="10">
        <v>15782540</v>
      </c>
      <c r="M260" s="10">
        <v>5324435</v>
      </c>
      <c r="N260" s="10">
        <v>2393270</v>
      </c>
      <c r="O260" s="10">
        <v>0</v>
      </c>
      <c r="Q260" s="12">
        <v>571905556</v>
      </c>
    </row>
    <row r="261" spans="1:17" ht="10.5" customHeight="1">
      <c r="A261" s="8">
        <v>37773</v>
      </c>
      <c r="B261" s="10">
        <v>338958697</v>
      </c>
      <c r="C261" s="10">
        <v>15349174</v>
      </c>
      <c r="D261" s="10">
        <v>1189782</v>
      </c>
      <c r="E261" s="10">
        <v>144377852</v>
      </c>
      <c r="F261" s="10">
        <v>23578533</v>
      </c>
      <c r="G261" s="10">
        <v>24718329</v>
      </c>
      <c r="H261" s="10">
        <v>8556463</v>
      </c>
      <c r="I261" s="10">
        <v>758476</v>
      </c>
      <c r="J261" s="10"/>
      <c r="K261" s="10">
        <v>23422615</v>
      </c>
      <c r="L261" s="10">
        <v>12933817</v>
      </c>
      <c r="M261" s="10">
        <v>5598723</v>
      </c>
      <c r="N261" s="10">
        <v>5880706</v>
      </c>
      <c r="O261" s="10">
        <v>0</v>
      </c>
      <c r="Q261" s="12">
        <v>605323167</v>
      </c>
    </row>
    <row r="262" spans="1:17" ht="10.5" customHeight="1">
      <c r="A262" s="8">
        <v>37803</v>
      </c>
      <c r="B262" s="10">
        <v>331418721</v>
      </c>
      <c r="C262" s="10">
        <v>14695530</v>
      </c>
      <c r="D262" s="10">
        <v>1905048</v>
      </c>
      <c r="E262" s="10">
        <v>155431646</v>
      </c>
      <c r="F262" s="10">
        <v>26611773</v>
      </c>
      <c r="G262" s="10">
        <v>21176287</v>
      </c>
      <c r="H262" s="10">
        <v>7094183</v>
      </c>
      <c r="I262" s="10">
        <v>781126</v>
      </c>
      <c r="J262" s="10"/>
      <c r="K262" s="10">
        <v>-51042222</v>
      </c>
      <c r="L262" s="10">
        <v>16174294</v>
      </c>
      <c r="M262" s="10">
        <v>5730959</v>
      </c>
      <c r="N262" s="10">
        <v>1449336</v>
      </c>
      <c r="O262" s="10">
        <v>0</v>
      </c>
      <c r="Q262" s="12">
        <v>531426681</v>
      </c>
    </row>
    <row r="263" spans="1:17" ht="10.5" customHeight="1">
      <c r="A263" s="8">
        <v>37834</v>
      </c>
      <c r="B263" s="10">
        <v>333645174</v>
      </c>
      <c r="C263" s="10">
        <v>18044428</v>
      </c>
      <c r="D263" s="10">
        <v>808072</v>
      </c>
      <c r="E263" s="10">
        <v>170613825</v>
      </c>
      <c r="F263" s="10">
        <v>19587015</v>
      </c>
      <c r="G263" s="10">
        <v>25680635</v>
      </c>
      <c r="H263" s="10">
        <v>9681060</v>
      </c>
      <c r="I263" s="10">
        <v>918663</v>
      </c>
      <c r="J263" s="10"/>
      <c r="K263" s="10">
        <v>-13078129</v>
      </c>
      <c r="L263" s="10">
        <v>14755303</v>
      </c>
      <c r="M263" s="10">
        <v>5657986</v>
      </c>
      <c r="N263" s="10">
        <v>1851780</v>
      </c>
      <c r="O263" s="10">
        <v>0</v>
      </c>
      <c r="Q263" s="12">
        <v>588165812</v>
      </c>
    </row>
    <row r="264" spans="1:17" ht="10.5" customHeight="1">
      <c r="A264" s="8">
        <v>37865</v>
      </c>
      <c r="B264" s="10">
        <v>351080301</v>
      </c>
      <c r="C264" s="10">
        <v>17991812</v>
      </c>
      <c r="D264" s="10">
        <v>930575</v>
      </c>
      <c r="E264" s="10">
        <v>159639698</v>
      </c>
      <c r="F264" s="10">
        <v>20418752</v>
      </c>
      <c r="G264" s="10">
        <v>26331406</v>
      </c>
      <c r="H264" s="10">
        <v>9274049</v>
      </c>
      <c r="I264" s="10">
        <v>877413</v>
      </c>
      <c r="J264" s="10"/>
      <c r="K264" s="10">
        <v>19281795</v>
      </c>
      <c r="L264" s="10">
        <v>22500258</v>
      </c>
      <c r="M264" s="10">
        <v>6194701</v>
      </c>
      <c r="N264" s="10">
        <v>1785131</v>
      </c>
      <c r="O264" s="10">
        <v>0</v>
      </c>
      <c r="Q264" s="12">
        <v>636305891</v>
      </c>
    </row>
    <row r="265" spans="1:17" ht="10.5" customHeight="1">
      <c r="A265" s="8">
        <v>37895</v>
      </c>
      <c r="B265" s="10">
        <v>362367711</v>
      </c>
      <c r="C265" s="10">
        <v>12543969</v>
      </c>
      <c r="D265" s="10">
        <v>1007059</v>
      </c>
      <c r="E265" s="10">
        <v>168438559</v>
      </c>
      <c r="F265" s="10">
        <v>22567258</v>
      </c>
      <c r="G265" s="10">
        <v>9427450</v>
      </c>
      <c r="H265" s="10">
        <v>1851411</v>
      </c>
      <c r="I265" s="10">
        <v>1427486</v>
      </c>
      <c r="J265" s="10"/>
      <c r="K265" s="10">
        <v>88958812</v>
      </c>
      <c r="L265" s="10">
        <v>22678696</v>
      </c>
      <c r="M265" s="10">
        <v>6367211</v>
      </c>
      <c r="N265" s="10">
        <v>825145</v>
      </c>
      <c r="O265" s="10">
        <v>0</v>
      </c>
      <c r="Q265" s="12">
        <v>698460767</v>
      </c>
    </row>
    <row r="266" spans="1:17" ht="10.5" customHeight="1">
      <c r="A266" s="8">
        <v>37926</v>
      </c>
      <c r="B266" s="10">
        <v>324111000</v>
      </c>
      <c r="C266" s="10">
        <v>21186957</v>
      </c>
      <c r="D266" s="10">
        <v>1169021</v>
      </c>
      <c r="E266" s="10">
        <v>185943981</v>
      </c>
      <c r="F266" s="10">
        <v>21707934</v>
      </c>
      <c r="G266" s="10">
        <v>51415806</v>
      </c>
      <c r="H266" s="10">
        <v>17907647</v>
      </c>
      <c r="I266" s="10">
        <v>1880585</v>
      </c>
      <c r="J266" s="10"/>
      <c r="K266" s="10">
        <v>-26392626</v>
      </c>
      <c r="L266" s="10">
        <v>26996161</v>
      </c>
      <c r="M266" s="10">
        <v>10040690</v>
      </c>
      <c r="N266" s="10">
        <v>2012973</v>
      </c>
      <c r="O266" s="10">
        <v>0</v>
      </c>
      <c r="Q266" s="12">
        <v>637980129</v>
      </c>
    </row>
    <row r="267" spans="1:17" ht="10.5" customHeight="1">
      <c r="A267" s="8">
        <v>37956</v>
      </c>
      <c r="B267" s="10">
        <v>395799611</v>
      </c>
      <c r="C267" s="10">
        <v>19606219</v>
      </c>
      <c r="D267" s="10">
        <v>1190358</v>
      </c>
      <c r="E267" s="10">
        <v>170515106</v>
      </c>
      <c r="F267" s="10">
        <v>28428167</v>
      </c>
      <c r="G267" s="10">
        <v>35658786</v>
      </c>
      <c r="H267" s="10">
        <v>22531735</v>
      </c>
      <c r="I267" s="10">
        <v>2824369</v>
      </c>
      <c r="J267" s="10"/>
      <c r="K267" s="10">
        <v>66105097</v>
      </c>
      <c r="L267" s="10">
        <v>35528385</v>
      </c>
      <c r="M267" s="10">
        <v>8601831</v>
      </c>
      <c r="N267" s="10">
        <v>1770801</v>
      </c>
      <c r="O267" s="10">
        <v>0</v>
      </c>
      <c r="Q267" s="12">
        <v>788560465</v>
      </c>
    </row>
    <row r="268" spans="1:17" ht="10.5" customHeight="1">
      <c r="A268" s="8">
        <v>37987</v>
      </c>
      <c r="B268" s="10">
        <v>337067581</v>
      </c>
      <c r="C268" s="10">
        <v>21758867</v>
      </c>
      <c r="D268" s="10">
        <v>1167503</v>
      </c>
      <c r="E268" s="10">
        <v>239060045</v>
      </c>
      <c r="F268" s="10">
        <v>50622643</v>
      </c>
      <c r="G268" s="10">
        <v>50613568</v>
      </c>
      <c r="H268" s="10">
        <v>42579960</v>
      </c>
      <c r="I268" s="10">
        <v>5605647</v>
      </c>
      <c r="J268" s="10"/>
      <c r="K268" s="10">
        <v>-50018907</v>
      </c>
      <c r="L268" s="10">
        <v>69052726</v>
      </c>
      <c r="M268" s="10">
        <v>8907031</v>
      </c>
      <c r="N268" s="10">
        <v>3968300</v>
      </c>
      <c r="O268" s="10">
        <v>0</v>
      </c>
      <c r="Q268" s="12">
        <v>780384964</v>
      </c>
    </row>
    <row r="269" spans="1:17" ht="10.5" customHeight="1">
      <c r="A269" s="8">
        <v>38018</v>
      </c>
      <c r="B269" s="10">
        <v>460393597</v>
      </c>
      <c r="C269" s="10">
        <v>20303527</v>
      </c>
      <c r="D269" s="10">
        <v>2271219</v>
      </c>
      <c r="E269" s="10">
        <v>201539648</v>
      </c>
      <c r="F269" s="10">
        <v>12460194</v>
      </c>
      <c r="G269" s="10">
        <v>42010833</v>
      </c>
      <c r="H269" s="10">
        <v>28041681</v>
      </c>
      <c r="I269" s="10">
        <v>1365900</v>
      </c>
      <c r="J269" s="10"/>
      <c r="K269" s="10">
        <v>67924060</v>
      </c>
      <c r="L269" s="10">
        <v>22009730</v>
      </c>
      <c r="M269" s="10">
        <v>7152841</v>
      </c>
      <c r="N269" s="10">
        <v>3248576</v>
      </c>
      <c r="O269" s="10">
        <v>0</v>
      </c>
      <c r="Q269" s="12">
        <v>868721806</v>
      </c>
    </row>
    <row r="270" spans="1:17" ht="10.5" customHeight="1">
      <c r="A270" s="8">
        <v>38047</v>
      </c>
      <c r="B270" s="10">
        <v>413393288</v>
      </c>
      <c r="C270" s="10">
        <v>17888373</v>
      </c>
      <c r="D270" s="10">
        <v>2215466</v>
      </c>
      <c r="E270" s="10">
        <v>185320697</v>
      </c>
      <c r="F270" s="10">
        <v>17313289</v>
      </c>
      <c r="G270" s="10">
        <v>37068369</v>
      </c>
      <c r="H270" s="10">
        <v>23390624</v>
      </c>
      <c r="I270" s="10">
        <v>756044</v>
      </c>
      <c r="J270" s="10"/>
      <c r="K270" s="10">
        <v>81038576</v>
      </c>
      <c r="L270" s="10">
        <v>34358973</v>
      </c>
      <c r="M270" s="10">
        <v>6033027</v>
      </c>
      <c r="N270" s="10">
        <v>1429337</v>
      </c>
      <c r="O270" s="10">
        <v>0</v>
      </c>
      <c r="Q270" s="12">
        <v>820206063</v>
      </c>
    </row>
    <row r="271" spans="1:17" ht="10.5" customHeight="1">
      <c r="A271" s="8">
        <v>38078</v>
      </c>
      <c r="B271" s="10">
        <v>380543895</v>
      </c>
      <c r="C271" s="10">
        <v>25312929</v>
      </c>
      <c r="D271" s="10">
        <v>2441852</v>
      </c>
      <c r="E271" s="10">
        <v>261079451</v>
      </c>
      <c r="F271" s="10">
        <v>25862906</v>
      </c>
      <c r="G271" s="10">
        <v>37566665</v>
      </c>
      <c r="H271" s="10">
        <v>19248155</v>
      </c>
      <c r="I271" s="10">
        <v>1250575</v>
      </c>
      <c r="J271" s="10"/>
      <c r="K271" s="10">
        <v>-121429709</v>
      </c>
      <c r="L271" s="10">
        <v>49883822</v>
      </c>
      <c r="M271" s="10">
        <v>7521755</v>
      </c>
      <c r="N271" s="10">
        <v>3227894</v>
      </c>
      <c r="O271" s="10">
        <v>0</v>
      </c>
      <c r="Q271" s="12">
        <v>692510190</v>
      </c>
    </row>
    <row r="272" spans="1:17" ht="10.5" customHeight="1">
      <c r="A272" s="8">
        <v>38108</v>
      </c>
      <c r="B272" s="10">
        <v>380309860</v>
      </c>
      <c r="C272" s="10">
        <v>19848974</v>
      </c>
      <c r="D272" s="10">
        <v>2377274</v>
      </c>
      <c r="E272" s="10">
        <v>179060117</v>
      </c>
      <c r="F272" s="10">
        <v>24178140</v>
      </c>
      <c r="G272" s="10">
        <v>40848806</v>
      </c>
      <c r="H272" s="10">
        <v>25489307</v>
      </c>
      <c r="I272" s="10">
        <v>953361</v>
      </c>
      <c r="J272" s="10"/>
      <c r="K272" s="10">
        <v>-43212506</v>
      </c>
      <c r="L272" s="10">
        <v>34832884</v>
      </c>
      <c r="M272" s="10">
        <v>9529860</v>
      </c>
      <c r="N272" s="10">
        <v>2175713</v>
      </c>
      <c r="O272" s="10">
        <v>0</v>
      </c>
      <c r="Q272" s="12">
        <v>676391790</v>
      </c>
    </row>
    <row r="273" spans="1:17" ht="10.5" customHeight="1">
      <c r="A273" s="8">
        <v>38139</v>
      </c>
      <c r="B273" s="10">
        <v>385829756</v>
      </c>
      <c r="C273" s="10">
        <v>15749988</v>
      </c>
      <c r="D273" s="10">
        <v>5220655</v>
      </c>
      <c r="E273" s="10">
        <v>161276154</v>
      </c>
      <c r="F273" s="10">
        <v>21719424</v>
      </c>
      <c r="G273" s="10">
        <v>28091238</v>
      </c>
      <c r="H273" s="10">
        <v>7539661</v>
      </c>
      <c r="I273" s="10">
        <v>821116</v>
      </c>
      <c r="J273" s="10"/>
      <c r="K273" s="10">
        <v>14696692</v>
      </c>
      <c r="L273" s="10">
        <v>62745074</v>
      </c>
      <c r="M273" s="10">
        <v>7298257</v>
      </c>
      <c r="N273" s="10">
        <v>2613070</v>
      </c>
      <c r="O273" s="10">
        <v>0</v>
      </c>
      <c r="Q273" s="12">
        <v>713601085</v>
      </c>
    </row>
    <row r="274" spans="1:17" ht="10.5" customHeight="1">
      <c r="A274" s="8">
        <v>38169</v>
      </c>
      <c r="B274" s="10">
        <v>378962490</v>
      </c>
      <c r="C274" s="10">
        <v>19482018</v>
      </c>
      <c r="D274" s="10">
        <v>2029879</v>
      </c>
      <c r="E274" s="10">
        <v>178953731</v>
      </c>
      <c r="F274" s="10">
        <v>40392892</v>
      </c>
      <c r="G274" s="10">
        <v>29710177</v>
      </c>
      <c r="H274" s="10">
        <v>9640573</v>
      </c>
      <c r="I274" s="10">
        <v>1102585</v>
      </c>
      <c r="J274" s="10"/>
      <c r="K274" s="10">
        <v>7398987</v>
      </c>
      <c r="L274" s="10">
        <v>63256743</v>
      </c>
      <c r="M274" s="10">
        <v>8877639</v>
      </c>
      <c r="N274" s="10">
        <v>6228948</v>
      </c>
      <c r="O274" s="10">
        <v>0</v>
      </c>
      <c r="Q274" s="12">
        <v>746036662</v>
      </c>
    </row>
    <row r="275" spans="1:17" ht="10.5" customHeight="1">
      <c r="A275" s="8">
        <v>38200</v>
      </c>
      <c r="B275" s="10">
        <v>344471188</v>
      </c>
      <c r="C275" s="10">
        <v>20916450</v>
      </c>
      <c r="D275" s="10">
        <v>1609794</v>
      </c>
      <c r="E275" s="10">
        <v>192895455</v>
      </c>
      <c r="F275" s="10">
        <v>15584167</v>
      </c>
      <c r="G275" s="10">
        <v>33452726</v>
      </c>
      <c r="H275" s="10">
        <v>12656668</v>
      </c>
      <c r="I275" s="10">
        <v>907624</v>
      </c>
      <c r="J275" s="10"/>
      <c r="K275" s="10">
        <v>-18804944</v>
      </c>
      <c r="L275" s="10">
        <v>77577901</v>
      </c>
      <c r="M275" s="10">
        <v>6901833</v>
      </c>
      <c r="N275" s="10">
        <v>4711543</v>
      </c>
      <c r="O275" s="10">
        <v>0</v>
      </c>
      <c r="Q275" s="12">
        <v>692880405</v>
      </c>
    </row>
    <row r="276" spans="1:17" ht="10.5" customHeight="1">
      <c r="A276" s="8">
        <v>38231</v>
      </c>
      <c r="B276" s="10">
        <v>368596927</v>
      </c>
      <c r="C276" s="10">
        <v>11237348</v>
      </c>
      <c r="D276" s="10">
        <v>2697760</v>
      </c>
      <c r="E276" s="10">
        <v>203532030</v>
      </c>
      <c r="F276" s="10">
        <v>11579248</v>
      </c>
      <c r="G276" s="10">
        <v>3673645</v>
      </c>
      <c r="H276" s="10">
        <v>86515</v>
      </c>
      <c r="I276" s="10">
        <v>296428</v>
      </c>
      <c r="J276" s="10"/>
      <c r="K276" s="10">
        <v>-149382233</v>
      </c>
      <c r="L276" s="10">
        <v>8704533</v>
      </c>
      <c r="M276" s="10">
        <v>3821644</v>
      </c>
      <c r="N276" s="10">
        <v>1361857</v>
      </c>
      <c r="O276" s="10">
        <v>0</v>
      </c>
      <c r="Q276" s="12">
        <v>466205702</v>
      </c>
    </row>
    <row r="277" spans="1:17" ht="10.5" customHeight="1">
      <c r="A277" s="8">
        <v>38261</v>
      </c>
      <c r="B277" s="10">
        <v>359502766</v>
      </c>
      <c r="C277" s="10">
        <v>26343020</v>
      </c>
      <c r="D277" s="10">
        <v>75238</v>
      </c>
      <c r="E277" s="10">
        <v>191926268</v>
      </c>
      <c r="F277" s="10">
        <v>20082923</v>
      </c>
      <c r="G277" s="10">
        <v>59665139</v>
      </c>
      <c r="H277" s="10">
        <v>35008223</v>
      </c>
      <c r="I277" s="10">
        <v>1719969</v>
      </c>
      <c r="J277" s="10"/>
      <c r="K277" s="10">
        <v>41269040</v>
      </c>
      <c r="L277" s="10">
        <v>40639647</v>
      </c>
      <c r="M277" s="10">
        <v>5238476</v>
      </c>
      <c r="N277" s="10">
        <v>4000000</v>
      </c>
      <c r="O277" s="10">
        <v>0</v>
      </c>
      <c r="Q277" s="12">
        <v>785470709</v>
      </c>
    </row>
    <row r="278" spans="1:17" ht="10.5" customHeight="1">
      <c r="A278" s="8">
        <v>38292</v>
      </c>
      <c r="B278" s="10">
        <v>379316483</v>
      </c>
      <c r="C278" s="10">
        <v>21017510</v>
      </c>
      <c r="D278" s="10">
        <v>2545637</v>
      </c>
      <c r="E278" s="10">
        <v>206341505</v>
      </c>
      <c r="F278" s="10">
        <v>39874875</v>
      </c>
      <c r="G278" s="10">
        <v>43829393</v>
      </c>
      <c r="H278" s="10">
        <v>28696201</v>
      </c>
      <c r="I278" s="10">
        <v>1659307</v>
      </c>
      <c r="J278" s="10"/>
      <c r="K278" s="10">
        <v>112080287</v>
      </c>
      <c r="L278" s="10">
        <v>142441788</v>
      </c>
      <c r="M278" s="10">
        <v>15947387</v>
      </c>
      <c r="N278" s="10">
        <v>6002222</v>
      </c>
      <c r="O278" s="10">
        <v>0</v>
      </c>
      <c r="Q278" s="12">
        <v>999752595</v>
      </c>
    </row>
    <row r="279" spans="1:17" ht="10.5" customHeight="1">
      <c r="A279" s="8">
        <v>38322</v>
      </c>
      <c r="B279" s="10">
        <v>407317669</v>
      </c>
      <c r="C279" s="10">
        <v>21176082</v>
      </c>
      <c r="D279" s="10">
        <v>2685298</v>
      </c>
      <c r="E279" s="10">
        <v>207003824</v>
      </c>
      <c r="F279" s="10">
        <v>30579890</v>
      </c>
      <c r="G279" s="10">
        <v>38887946</v>
      </c>
      <c r="H279" s="10">
        <v>30088822</v>
      </c>
      <c r="I279" s="10">
        <v>4565895</v>
      </c>
      <c r="J279" s="10"/>
      <c r="K279" s="10">
        <v>165644795</v>
      </c>
      <c r="L279" s="10">
        <v>69656039</v>
      </c>
      <c r="M279" s="10">
        <v>10417450</v>
      </c>
      <c r="N279" s="10">
        <v>1302912</v>
      </c>
      <c r="O279" s="10">
        <v>0</v>
      </c>
      <c r="Q279" s="12">
        <v>989326622</v>
      </c>
    </row>
    <row r="280" spans="1:17" ht="10.5" customHeight="1">
      <c r="A280" s="8">
        <v>38353</v>
      </c>
      <c r="B280" s="10">
        <v>385369306</v>
      </c>
      <c r="C280" s="10">
        <v>22662028</v>
      </c>
      <c r="D280" s="10">
        <v>1379152</v>
      </c>
      <c r="E280" s="10">
        <v>295520961</v>
      </c>
      <c r="F280" s="10">
        <v>57753139</v>
      </c>
      <c r="G280" s="10">
        <v>62671042</v>
      </c>
      <c r="H280" s="10">
        <v>53596040</v>
      </c>
      <c r="I280" s="10">
        <v>6086531</v>
      </c>
      <c r="J280" s="10"/>
      <c r="K280" s="10">
        <v>-44879651</v>
      </c>
      <c r="L280" s="10">
        <v>88372585</v>
      </c>
      <c r="M280" s="10">
        <v>10072885</v>
      </c>
      <c r="N280" s="10">
        <v>1912079</v>
      </c>
      <c r="O280" s="10">
        <v>0</v>
      </c>
      <c r="Q280" s="12">
        <v>940516097</v>
      </c>
    </row>
    <row r="281" spans="1:17" ht="10.5" customHeight="1">
      <c r="A281" s="8">
        <v>38384</v>
      </c>
      <c r="B281" s="10">
        <v>483703362</v>
      </c>
      <c r="C281" s="10">
        <v>20758794</v>
      </c>
      <c r="D281" s="10">
        <v>5485807</v>
      </c>
      <c r="E281" s="10">
        <v>211992499</v>
      </c>
      <c r="F281" s="10">
        <v>15650500</v>
      </c>
      <c r="G281" s="10">
        <v>51009105</v>
      </c>
      <c r="H281" s="10">
        <v>33440900</v>
      </c>
      <c r="I281" s="10">
        <v>1566636</v>
      </c>
      <c r="J281" s="10"/>
      <c r="K281" s="10">
        <v>93028907</v>
      </c>
      <c r="L281" s="10">
        <v>72209239</v>
      </c>
      <c r="M281" s="10">
        <v>10731111</v>
      </c>
      <c r="N281" s="10">
        <v>1360895</v>
      </c>
      <c r="O281" s="10">
        <v>0</v>
      </c>
      <c r="Q281" s="12">
        <v>1000937755</v>
      </c>
    </row>
    <row r="282" spans="1:17" ht="10.5" customHeight="1">
      <c r="A282" s="8">
        <v>38412</v>
      </c>
      <c r="B282" s="10">
        <v>453738318</v>
      </c>
      <c r="C282" s="10">
        <v>23657171</v>
      </c>
      <c r="D282" s="10">
        <v>2689260</v>
      </c>
      <c r="E282" s="10">
        <v>198175676</v>
      </c>
      <c r="F282" s="10">
        <v>19700601</v>
      </c>
      <c r="G282" s="10">
        <v>45751693</v>
      </c>
      <c r="H282" s="10">
        <v>29018006</v>
      </c>
      <c r="I282" s="10">
        <v>945939</v>
      </c>
      <c r="J282" s="10"/>
      <c r="K282" s="10">
        <v>58646270</v>
      </c>
      <c r="L282" s="10">
        <v>47361489</v>
      </c>
      <c r="M282" s="10">
        <v>6824755</v>
      </c>
      <c r="N282" s="10">
        <v>4078545</v>
      </c>
      <c r="O282" s="10">
        <v>0</v>
      </c>
      <c r="Q282" s="12">
        <v>890587723</v>
      </c>
    </row>
    <row r="283" spans="1:17" ht="10.5" customHeight="1">
      <c r="A283" s="8">
        <v>38443</v>
      </c>
      <c r="B283" s="10">
        <v>419740519</v>
      </c>
      <c r="C283" s="10">
        <v>19965763</v>
      </c>
      <c r="D283" s="10">
        <v>2468668</v>
      </c>
      <c r="E283" s="10">
        <v>233461667</v>
      </c>
      <c r="F283" s="10">
        <v>28083361</v>
      </c>
      <c r="G283" s="10">
        <v>46605994</v>
      </c>
      <c r="H283" s="10">
        <v>29885314</v>
      </c>
      <c r="I283" s="10">
        <v>1413404</v>
      </c>
      <c r="J283" s="10"/>
      <c r="K283" s="10">
        <v>-109910364</v>
      </c>
      <c r="L283" s="10">
        <v>79311378</v>
      </c>
      <c r="M283" s="10">
        <v>8054258</v>
      </c>
      <c r="N283" s="10">
        <v>2404249</v>
      </c>
      <c r="O283" s="10">
        <v>0</v>
      </c>
      <c r="Q283" s="12">
        <v>761484211</v>
      </c>
    </row>
    <row r="284" spans="1:17" ht="10.5" customHeight="1">
      <c r="A284" s="8">
        <v>38473</v>
      </c>
      <c r="B284" s="10">
        <v>494397148</v>
      </c>
      <c r="C284" s="10">
        <v>21524483</v>
      </c>
      <c r="D284" s="10">
        <v>2434460</v>
      </c>
      <c r="E284" s="10">
        <v>200915291</v>
      </c>
      <c r="F284" s="10">
        <v>27332706</v>
      </c>
      <c r="G284" s="10">
        <v>40951336</v>
      </c>
      <c r="H284" s="10">
        <v>14017926</v>
      </c>
      <c r="I284" s="10">
        <v>1226130</v>
      </c>
      <c r="J284" s="10"/>
      <c r="K284" s="10">
        <v>52217188</v>
      </c>
      <c r="L284" s="10">
        <v>79454564</v>
      </c>
      <c r="M284" s="10">
        <v>7638068</v>
      </c>
      <c r="N284" s="10">
        <v>1826890</v>
      </c>
      <c r="O284" s="10">
        <v>0</v>
      </c>
      <c r="Q284" s="12">
        <v>943936190</v>
      </c>
    </row>
    <row r="285" spans="1:17" ht="10.5" customHeight="1">
      <c r="A285" s="8">
        <v>38504</v>
      </c>
      <c r="B285" s="10">
        <v>338859154</v>
      </c>
      <c r="C285" s="10">
        <v>21844737</v>
      </c>
      <c r="D285" s="10">
        <v>2111609</v>
      </c>
      <c r="E285" s="10">
        <v>261216911</v>
      </c>
      <c r="F285" s="10">
        <v>28887332</v>
      </c>
      <c r="G285" s="10">
        <v>39161756</v>
      </c>
      <c r="H285" s="10">
        <v>12395522</v>
      </c>
      <c r="I285" s="10">
        <v>1135574</v>
      </c>
      <c r="J285" s="10"/>
      <c r="K285" s="10">
        <v>-78270256</v>
      </c>
      <c r="L285" s="10">
        <v>85562081</v>
      </c>
      <c r="M285" s="10">
        <v>10870284</v>
      </c>
      <c r="N285" s="10">
        <v>1291410</v>
      </c>
      <c r="O285" s="10">
        <v>0</v>
      </c>
      <c r="Q285" s="12">
        <v>725066114</v>
      </c>
    </row>
    <row r="286" spans="1:17" ht="10.5" customHeight="1">
      <c r="A286" s="8">
        <v>38534</v>
      </c>
      <c r="B286" s="10">
        <v>385476301</v>
      </c>
      <c r="C286" s="10">
        <v>21537525</v>
      </c>
      <c r="D286" s="10">
        <v>2959135</v>
      </c>
      <c r="E286" s="10">
        <v>173982251</v>
      </c>
      <c r="F286" s="10">
        <v>34341301</v>
      </c>
      <c r="G286" s="10">
        <v>37246694</v>
      </c>
      <c r="H286" s="10">
        <v>12253097</v>
      </c>
      <c r="I286" s="10">
        <v>1239901</v>
      </c>
      <c r="J286" s="10"/>
      <c r="K286" s="10">
        <v>-116343686</v>
      </c>
      <c r="L286" s="10">
        <v>78181272</v>
      </c>
      <c r="M286" s="10">
        <v>7999766</v>
      </c>
      <c r="N286" s="10">
        <v>1622135</v>
      </c>
      <c r="O286" s="10">
        <v>0</v>
      </c>
      <c r="Q286" s="12">
        <v>640495692</v>
      </c>
    </row>
    <row r="287" spans="1:17" ht="10.5" customHeight="1">
      <c r="A287" s="8">
        <v>38565</v>
      </c>
      <c r="B287" s="10">
        <v>374193977</v>
      </c>
      <c r="C287" s="10">
        <v>13224257</v>
      </c>
      <c r="D287" s="10">
        <v>1904999</v>
      </c>
      <c r="E287" s="10">
        <v>214428336</v>
      </c>
      <c r="F287" s="10">
        <v>22962468</v>
      </c>
      <c r="G287" s="10">
        <v>17511246</v>
      </c>
      <c r="H287" s="10">
        <v>14398077</v>
      </c>
      <c r="I287" s="10">
        <v>1008708</v>
      </c>
      <c r="J287" s="10"/>
      <c r="K287" s="10">
        <v>133841336</v>
      </c>
      <c r="L287" s="10">
        <v>95768206</v>
      </c>
      <c r="M287" s="10">
        <v>9041707</v>
      </c>
      <c r="N287" s="10">
        <v>1419149</v>
      </c>
      <c r="O287" s="10">
        <v>0</v>
      </c>
      <c r="Q287" s="12">
        <v>899702466</v>
      </c>
    </row>
    <row r="288" spans="1:17" ht="10.5" customHeight="1">
      <c r="A288" s="8">
        <v>38596</v>
      </c>
      <c r="B288" s="10">
        <v>338809515</v>
      </c>
      <c r="C288" s="10">
        <v>45289519</v>
      </c>
      <c r="D288" s="10">
        <v>2884319</v>
      </c>
      <c r="E288" s="10">
        <v>227435960</v>
      </c>
      <c r="F288" s="10">
        <v>29083299</v>
      </c>
      <c r="G288" s="10">
        <v>37503541</v>
      </c>
      <c r="H288" s="10">
        <v>18203885</v>
      </c>
      <c r="I288" s="10">
        <v>1481535</v>
      </c>
      <c r="J288" s="10"/>
      <c r="K288" s="10">
        <v>-7416290</v>
      </c>
      <c r="L288" s="10">
        <v>81350833</v>
      </c>
      <c r="M288" s="10">
        <v>12911907</v>
      </c>
      <c r="N288" s="10">
        <v>572688</v>
      </c>
      <c r="O288" s="10">
        <v>0</v>
      </c>
      <c r="Q288" s="12">
        <v>788110711</v>
      </c>
    </row>
    <row r="289" spans="1:17" ht="10.5" customHeight="1">
      <c r="A289" s="8">
        <v>38626</v>
      </c>
      <c r="B289" s="10">
        <v>405900511</v>
      </c>
      <c r="C289" s="10">
        <v>25250305</v>
      </c>
      <c r="D289" s="10">
        <v>2660366</v>
      </c>
      <c r="E289" s="10">
        <v>212870207</v>
      </c>
      <c r="F289" s="10">
        <v>27530760</v>
      </c>
      <c r="G289" s="10">
        <v>41966002</v>
      </c>
      <c r="H289" s="10">
        <v>16385026</v>
      </c>
      <c r="I289" s="10">
        <v>1455256</v>
      </c>
      <c r="J289" s="10"/>
      <c r="K289" s="10">
        <v>14994925</v>
      </c>
      <c r="L289" s="10">
        <v>87461088</v>
      </c>
      <c r="M289" s="10">
        <v>9496059</v>
      </c>
      <c r="N289" s="10">
        <v>7600</v>
      </c>
      <c r="O289" s="10">
        <v>0</v>
      </c>
      <c r="Q289" s="12">
        <v>845978105</v>
      </c>
    </row>
    <row r="290" spans="1:17" ht="10.5" customHeight="1">
      <c r="A290" s="8">
        <v>38657</v>
      </c>
      <c r="B290" s="10">
        <v>422754781</v>
      </c>
      <c r="C290" s="10">
        <v>22163777</v>
      </c>
      <c r="D290" s="10">
        <v>3361270</v>
      </c>
      <c r="E290" s="10">
        <v>230189037</v>
      </c>
      <c r="F290" s="10">
        <v>26141459</v>
      </c>
      <c r="G290" s="10">
        <v>49009072</v>
      </c>
      <c r="H290" s="10">
        <v>32307753</v>
      </c>
      <c r="I290" s="10">
        <v>2280178</v>
      </c>
      <c r="J290" s="10"/>
      <c r="K290" s="10">
        <v>52630817</v>
      </c>
      <c r="L290" s="10">
        <v>79040423</v>
      </c>
      <c r="M290" s="10">
        <v>10785137</v>
      </c>
      <c r="N290" s="10">
        <v>0</v>
      </c>
      <c r="O290" s="10">
        <v>0</v>
      </c>
      <c r="Q290" s="12">
        <v>930663704</v>
      </c>
    </row>
    <row r="291" spans="1:17" ht="10.5" customHeight="1">
      <c r="A291" s="8">
        <v>38687</v>
      </c>
      <c r="B291" s="10">
        <v>397478694</v>
      </c>
      <c r="C291" s="10">
        <v>30850385</v>
      </c>
      <c r="D291" s="10">
        <v>3913649</v>
      </c>
      <c r="E291" s="10">
        <v>244603684</v>
      </c>
      <c r="F291" s="10">
        <v>34235759</v>
      </c>
      <c r="G291" s="10">
        <v>62665762</v>
      </c>
      <c r="H291" s="10">
        <v>41871363</v>
      </c>
      <c r="I291" s="10">
        <v>3289193</v>
      </c>
      <c r="J291" s="10"/>
      <c r="K291" s="10">
        <v>-39665398</v>
      </c>
      <c r="L291" s="10">
        <v>102832833</v>
      </c>
      <c r="M291" s="10">
        <v>14905436</v>
      </c>
      <c r="N291" s="10">
        <v>0</v>
      </c>
      <c r="O291" s="10">
        <v>0</v>
      </c>
      <c r="Q291" s="12">
        <v>896981360</v>
      </c>
    </row>
    <row r="292" spans="1:17" ht="10.5" customHeight="1">
      <c r="A292" s="8">
        <v>38718</v>
      </c>
      <c r="B292" s="10">
        <v>430644221</v>
      </c>
      <c r="C292" s="10">
        <v>21070355</v>
      </c>
      <c r="D292" s="10">
        <v>4824327</v>
      </c>
      <c r="E292" s="10">
        <v>307727953</v>
      </c>
      <c r="F292" s="10">
        <v>54073135</v>
      </c>
      <c r="G292" s="10">
        <v>78467639</v>
      </c>
      <c r="H292" s="10">
        <v>44108968</v>
      </c>
      <c r="I292" s="10">
        <v>5678396</v>
      </c>
      <c r="J292" s="10"/>
      <c r="K292" s="10">
        <v>-19466019</v>
      </c>
      <c r="L292" s="10">
        <v>99253875</v>
      </c>
      <c r="M292" s="10">
        <v>13064518</v>
      </c>
      <c r="N292" s="10">
        <v>0</v>
      </c>
      <c r="O292" s="10">
        <v>0</v>
      </c>
      <c r="Q292" s="12">
        <v>1039447368</v>
      </c>
    </row>
    <row r="293" spans="1:17" ht="10.5" customHeight="1">
      <c r="A293" s="8">
        <v>38749</v>
      </c>
      <c r="B293" s="10">
        <v>509489388</v>
      </c>
      <c r="C293" s="10">
        <v>20430279</v>
      </c>
      <c r="D293" s="10">
        <v>4167138</v>
      </c>
      <c r="E293" s="10">
        <v>250117048</v>
      </c>
      <c r="F293" s="10">
        <v>20461630</v>
      </c>
      <c r="G293" s="10">
        <v>54594531</v>
      </c>
      <c r="H293" s="10">
        <v>33411293</v>
      </c>
      <c r="I293" s="10">
        <v>3276663</v>
      </c>
      <c r="J293" s="10"/>
      <c r="K293" s="10">
        <v>28587400</v>
      </c>
      <c r="L293" s="10">
        <v>77800065</v>
      </c>
      <c r="M293" s="10">
        <v>9720075</v>
      </c>
      <c r="N293" s="10">
        <v>0</v>
      </c>
      <c r="O293" s="10">
        <v>0</v>
      </c>
      <c r="Q293" s="12">
        <v>1012055510</v>
      </c>
    </row>
    <row r="294" spans="1:17" ht="10.5" customHeight="1">
      <c r="A294" s="8">
        <v>38777</v>
      </c>
      <c r="B294" s="10">
        <v>477073718</v>
      </c>
      <c r="C294" s="10">
        <v>21995073</v>
      </c>
      <c r="D294" s="10">
        <v>4564001</v>
      </c>
      <c r="E294" s="10">
        <v>245847094</v>
      </c>
      <c r="F294" s="10">
        <v>20623964</v>
      </c>
      <c r="G294" s="10">
        <v>55484721</v>
      </c>
      <c r="H294" s="10">
        <v>33407642</v>
      </c>
      <c r="I294" s="10">
        <v>1506182</v>
      </c>
      <c r="J294" s="10"/>
      <c r="K294" s="10">
        <v>12859897</v>
      </c>
      <c r="L294" s="10">
        <v>66400926</v>
      </c>
      <c r="M294" s="10">
        <v>8495353</v>
      </c>
      <c r="N294" s="10">
        <v>12700</v>
      </c>
      <c r="O294" s="10">
        <v>0</v>
      </c>
      <c r="Q294" s="12">
        <v>948271271</v>
      </c>
    </row>
    <row r="295" spans="1:17" ht="10.5" customHeight="1">
      <c r="A295" s="8">
        <v>38808</v>
      </c>
      <c r="B295" s="10">
        <v>444523063</v>
      </c>
      <c r="C295" s="10">
        <v>24926537</v>
      </c>
      <c r="D295" s="10">
        <v>4247763</v>
      </c>
      <c r="E295" s="10">
        <v>244849541</v>
      </c>
      <c r="F295" s="10">
        <v>30036253</v>
      </c>
      <c r="G295" s="10">
        <v>54580840</v>
      </c>
      <c r="H295" s="10">
        <v>26031375</v>
      </c>
      <c r="I295" s="10">
        <v>1027784</v>
      </c>
      <c r="J295" s="10"/>
      <c r="K295" s="10">
        <v>-35208683</v>
      </c>
      <c r="L295" s="10">
        <v>84845984</v>
      </c>
      <c r="M295" s="10">
        <v>8649532</v>
      </c>
      <c r="N295" s="10">
        <v>0</v>
      </c>
      <c r="O295" s="10">
        <v>0</v>
      </c>
      <c r="Q295" s="12">
        <v>888509989</v>
      </c>
    </row>
    <row r="296" spans="1:17" ht="10.5" customHeight="1">
      <c r="A296" s="8">
        <v>38838</v>
      </c>
      <c r="B296" s="10">
        <v>491867248</v>
      </c>
      <c r="C296" s="10">
        <v>24835342</v>
      </c>
      <c r="D296" s="10">
        <v>3850580</v>
      </c>
      <c r="E296" s="10">
        <v>232172485</v>
      </c>
      <c r="F296" s="10">
        <v>26160541</v>
      </c>
      <c r="G296" s="10">
        <v>43857543</v>
      </c>
      <c r="H296" s="10">
        <v>28517286</v>
      </c>
      <c r="I296" s="10">
        <v>1081268</v>
      </c>
      <c r="J296" s="10"/>
      <c r="K296" s="10">
        <v>20661504</v>
      </c>
      <c r="L296" s="10">
        <v>73245040</v>
      </c>
      <c r="M296" s="10">
        <v>9440473</v>
      </c>
      <c r="N296" s="10">
        <v>0</v>
      </c>
      <c r="O296" s="10">
        <v>0</v>
      </c>
      <c r="Q296" s="12">
        <v>955689310</v>
      </c>
    </row>
    <row r="297" spans="1:17" ht="10.5" customHeight="1">
      <c r="A297" s="8">
        <v>38869</v>
      </c>
      <c r="B297" s="10">
        <v>449403477</v>
      </c>
      <c r="C297" s="10">
        <v>26701427</v>
      </c>
      <c r="D297" s="10">
        <v>3808921</v>
      </c>
      <c r="E297" s="10">
        <v>221959062</v>
      </c>
      <c r="F297" s="10">
        <v>30448938</v>
      </c>
      <c r="G297" s="10">
        <v>38867533</v>
      </c>
      <c r="H297" s="10">
        <v>18577136</v>
      </c>
      <c r="I297" s="10">
        <v>1648614</v>
      </c>
      <c r="J297" s="10"/>
      <c r="K297" s="10">
        <v>6953018</v>
      </c>
      <c r="L297" s="10">
        <v>91079911</v>
      </c>
      <c r="M297" s="10">
        <v>12339193</v>
      </c>
      <c r="N297" s="10">
        <v>0</v>
      </c>
      <c r="O297" s="10">
        <v>0</v>
      </c>
      <c r="Q297" s="12">
        <v>901787230</v>
      </c>
    </row>
    <row r="298" spans="1:17" ht="10.5" customHeight="1">
      <c r="A298" s="8">
        <v>38899</v>
      </c>
      <c r="B298" s="10">
        <v>413345435</v>
      </c>
      <c r="C298" s="10">
        <v>21170670</v>
      </c>
      <c r="D298" s="10">
        <v>3715564</v>
      </c>
      <c r="E298" s="10">
        <v>220601306</v>
      </c>
      <c r="F298" s="10">
        <v>33628566</v>
      </c>
      <c r="G298" s="10">
        <v>38996011</v>
      </c>
      <c r="H298" s="10">
        <v>18345708</v>
      </c>
      <c r="I298" s="10">
        <v>1140516</v>
      </c>
      <c r="J298" s="10"/>
      <c r="K298" s="10">
        <v>-32980370</v>
      </c>
      <c r="L298" s="10">
        <v>88089282</v>
      </c>
      <c r="M298" s="10">
        <v>9360854</v>
      </c>
      <c r="N298" s="10">
        <v>0</v>
      </c>
      <c r="O298" s="10">
        <v>0</v>
      </c>
      <c r="Q298" s="12">
        <v>815413542</v>
      </c>
    </row>
    <row r="299" spans="1:17" ht="10.5" customHeight="1">
      <c r="A299" s="8">
        <v>38930</v>
      </c>
      <c r="B299" s="10">
        <v>426891431</v>
      </c>
      <c r="C299" s="10">
        <v>18631553</v>
      </c>
      <c r="D299" s="10">
        <v>3417635</v>
      </c>
      <c r="E299" s="10">
        <v>217562954</v>
      </c>
      <c r="F299" s="10">
        <v>31697129</v>
      </c>
      <c r="G299" s="10">
        <v>45525734</v>
      </c>
      <c r="H299" s="10">
        <v>22354606</v>
      </c>
      <c r="I299" s="10">
        <v>1199900</v>
      </c>
      <c r="J299" s="10"/>
      <c r="K299" s="10">
        <v>-67115365</v>
      </c>
      <c r="L299" s="10">
        <v>91851579</v>
      </c>
      <c r="M299" s="10">
        <v>10481441</v>
      </c>
      <c r="N299" s="10">
        <v>0</v>
      </c>
      <c r="O299" s="10">
        <v>0</v>
      </c>
      <c r="Q299" s="12">
        <v>802498597</v>
      </c>
    </row>
    <row r="300" spans="1:17" ht="10.5" customHeight="1">
      <c r="A300" s="8">
        <v>38961</v>
      </c>
      <c r="B300" s="10">
        <v>434129373</v>
      </c>
      <c r="C300" s="10">
        <v>20826561</v>
      </c>
      <c r="D300" s="10">
        <v>3688678</v>
      </c>
      <c r="E300" s="10">
        <v>233196273</v>
      </c>
      <c r="F300" s="10">
        <v>31820110</v>
      </c>
      <c r="G300" s="10">
        <v>40413813</v>
      </c>
      <c r="H300" s="10">
        <v>26156864</v>
      </c>
      <c r="I300" s="10">
        <v>1308022</v>
      </c>
      <c r="J300" s="10"/>
      <c r="K300" s="10">
        <v>-310701</v>
      </c>
      <c r="L300" s="10">
        <v>83597324</v>
      </c>
      <c r="M300" s="10">
        <v>12836941</v>
      </c>
      <c r="N300" s="10">
        <v>0</v>
      </c>
      <c r="O300" s="10">
        <v>0</v>
      </c>
      <c r="Q300" s="12">
        <v>887663258</v>
      </c>
    </row>
    <row r="301" spans="1:17" ht="10.5" customHeight="1">
      <c r="A301" s="8">
        <v>38991</v>
      </c>
      <c r="B301" s="10">
        <v>393447790</v>
      </c>
      <c r="C301" s="10">
        <v>27589066</v>
      </c>
      <c r="D301" s="10">
        <v>4054243</v>
      </c>
      <c r="E301" s="10">
        <v>227444846</v>
      </c>
      <c r="F301" s="10">
        <v>27701731</v>
      </c>
      <c r="G301" s="10">
        <v>51877691</v>
      </c>
      <c r="H301" s="10">
        <v>19899154</v>
      </c>
      <c r="I301" s="10">
        <v>1226968</v>
      </c>
      <c r="J301" s="10"/>
      <c r="K301" s="10">
        <v>-28330236</v>
      </c>
      <c r="L301" s="10">
        <v>86156280</v>
      </c>
      <c r="M301" s="10">
        <v>11581017</v>
      </c>
      <c r="N301" s="10">
        <v>0</v>
      </c>
      <c r="O301" s="10">
        <v>0</v>
      </c>
      <c r="Q301" s="12">
        <v>822648550</v>
      </c>
    </row>
    <row r="302" spans="1:17" ht="10.5" customHeight="1">
      <c r="A302" s="8">
        <v>39022</v>
      </c>
      <c r="B302" s="10">
        <v>438136108</v>
      </c>
      <c r="C302" s="10">
        <v>19512945</v>
      </c>
      <c r="D302" s="10">
        <v>3845488</v>
      </c>
      <c r="E302" s="10">
        <v>248436022</v>
      </c>
      <c r="F302" s="10">
        <v>32168590</v>
      </c>
      <c r="G302" s="10">
        <v>59896915</v>
      </c>
      <c r="H302" s="10">
        <v>23409005</v>
      </c>
      <c r="I302" s="10">
        <v>2216390</v>
      </c>
      <c r="J302" s="10"/>
      <c r="K302" s="10">
        <v>47728596</v>
      </c>
      <c r="L302" s="10">
        <v>90587258</v>
      </c>
      <c r="M302" s="10">
        <v>13146826</v>
      </c>
      <c r="N302" s="10">
        <v>0</v>
      </c>
      <c r="O302" s="10">
        <v>0</v>
      </c>
      <c r="Q302" s="12">
        <v>979084143</v>
      </c>
    </row>
    <row r="303" spans="1:17" ht="10.5" customHeight="1">
      <c r="A303" s="8">
        <v>39052</v>
      </c>
      <c r="B303" s="10">
        <v>460945327</v>
      </c>
      <c r="C303" s="10">
        <v>24600899</v>
      </c>
      <c r="D303" s="10">
        <v>3895816</v>
      </c>
      <c r="E303" s="10">
        <v>265804726</v>
      </c>
      <c r="F303" s="10">
        <v>44109772</v>
      </c>
      <c r="G303" s="10">
        <v>72770321</v>
      </c>
      <c r="H303" s="10">
        <v>57458562</v>
      </c>
      <c r="I303" s="10">
        <v>3887436</v>
      </c>
      <c r="J303" s="10"/>
      <c r="K303" s="10">
        <v>97474866</v>
      </c>
      <c r="L303" s="10">
        <v>86801165</v>
      </c>
      <c r="M303" s="10">
        <v>13823828</v>
      </c>
      <c r="N303" s="10">
        <v>0</v>
      </c>
      <c r="O303" s="10">
        <v>0</v>
      </c>
      <c r="Q303" s="12">
        <v>1131572718</v>
      </c>
    </row>
    <row r="304" spans="1:17" ht="10.5" customHeight="1">
      <c r="A304" s="8">
        <v>39083</v>
      </c>
      <c r="B304" s="10">
        <v>609859080</v>
      </c>
      <c r="C304" s="10">
        <v>23857844</v>
      </c>
      <c r="D304" s="10">
        <v>5367237</v>
      </c>
      <c r="E304" s="10">
        <v>304442879</v>
      </c>
      <c r="F304" s="10">
        <v>52626504</v>
      </c>
      <c r="G304" s="10">
        <v>94711561</v>
      </c>
      <c r="H304" s="10">
        <v>61041081</v>
      </c>
      <c r="I304" s="10">
        <v>7669647</v>
      </c>
      <c r="J304" s="10"/>
      <c r="K304" s="10">
        <v>-169022964</v>
      </c>
      <c r="L304" s="10">
        <v>164091125</v>
      </c>
      <c r="M304" s="10">
        <v>15224959</v>
      </c>
      <c r="N304" s="10"/>
      <c r="O304" s="10">
        <v>0</v>
      </c>
      <c r="Q304" s="12">
        <v>1169868953</v>
      </c>
    </row>
    <row r="305" spans="1:17" ht="10.5" customHeight="1">
      <c r="A305" s="8">
        <v>39114</v>
      </c>
      <c r="B305" s="10">
        <v>550258748</v>
      </c>
      <c r="C305" s="10">
        <v>22465434</v>
      </c>
      <c r="D305" s="10">
        <v>5069403</v>
      </c>
      <c r="E305" s="10">
        <v>276656548</v>
      </c>
      <c r="F305" s="10">
        <v>21405733</v>
      </c>
      <c r="G305" s="10">
        <v>29006137</v>
      </c>
      <c r="H305" s="10">
        <v>39778347</v>
      </c>
      <c r="I305" s="10">
        <v>2040731</v>
      </c>
      <c r="J305" s="10"/>
      <c r="K305" s="10">
        <v>118377169</v>
      </c>
      <c r="L305" s="10">
        <v>97203101</v>
      </c>
      <c r="M305" s="10">
        <v>10685827</v>
      </c>
      <c r="N305" s="10"/>
      <c r="O305" s="10">
        <v>0</v>
      </c>
      <c r="Q305" s="12">
        <v>1172947178</v>
      </c>
    </row>
    <row r="306" spans="1:17" ht="10.5" customHeight="1">
      <c r="A306" s="8">
        <v>39142</v>
      </c>
      <c r="B306" s="10">
        <v>531315228</v>
      </c>
      <c r="C306" s="10">
        <v>25075681</v>
      </c>
      <c r="D306" s="10">
        <v>5404497</v>
      </c>
      <c r="E306" s="10">
        <v>253783287</v>
      </c>
      <c r="F306" s="10">
        <v>15078969</v>
      </c>
      <c r="G306" s="10">
        <v>113360199</v>
      </c>
      <c r="H306" s="10">
        <v>40603888</v>
      </c>
      <c r="I306" s="10">
        <v>3012882</v>
      </c>
      <c r="J306" s="10"/>
      <c r="K306" s="10">
        <v>23576411</v>
      </c>
      <c r="L306" s="10">
        <v>87962347</v>
      </c>
      <c r="M306" s="10">
        <v>9575807</v>
      </c>
      <c r="N306" s="10"/>
      <c r="O306" s="10">
        <v>0</v>
      </c>
      <c r="Q306" s="12">
        <v>1108749196</v>
      </c>
    </row>
    <row r="307" spans="1:17" ht="10.5" customHeight="1">
      <c r="A307" s="8">
        <v>39173</v>
      </c>
      <c r="B307" s="10">
        <v>592141459</v>
      </c>
      <c r="C307" s="10">
        <v>29953992</v>
      </c>
      <c r="D307" s="10">
        <v>4967052</v>
      </c>
      <c r="E307" s="10">
        <v>328243566</v>
      </c>
      <c r="F307" s="10">
        <v>42399495</v>
      </c>
      <c r="G307" s="10">
        <v>68097384</v>
      </c>
      <c r="H307" s="10">
        <v>33277243</v>
      </c>
      <c r="I307" s="10">
        <v>1533140</v>
      </c>
      <c r="J307" s="10"/>
      <c r="K307" s="10">
        <v>23593265</v>
      </c>
      <c r="L307" s="10">
        <v>96894604</v>
      </c>
      <c r="M307" s="10">
        <v>9628773</v>
      </c>
      <c r="N307" s="10"/>
      <c r="O307" s="10">
        <v>0</v>
      </c>
      <c r="Q307" s="12">
        <v>1230729973</v>
      </c>
    </row>
    <row r="308" spans="1:17" ht="10.5" customHeight="1">
      <c r="A308" s="8">
        <v>39203</v>
      </c>
      <c r="B308" s="10">
        <v>497015414</v>
      </c>
      <c r="C308" s="10">
        <v>21881453</v>
      </c>
      <c r="D308" s="10">
        <v>7263780</v>
      </c>
      <c r="E308" s="10">
        <v>232947231</v>
      </c>
      <c r="F308" s="10">
        <v>32089841</v>
      </c>
      <c r="G308" s="10">
        <v>68258618</v>
      </c>
      <c r="H308" s="10">
        <v>23119807</v>
      </c>
      <c r="I308" s="10">
        <v>1559167</v>
      </c>
      <c r="J308" s="10"/>
      <c r="K308" s="10">
        <v>-198164757</v>
      </c>
      <c r="L308" s="10">
        <v>94955992</v>
      </c>
      <c r="M308" s="10">
        <v>11045242</v>
      </c>
      <c r="N308" s="10"/>
      <c r="O308" s="10">
        <v>0</v>
      </c>
      <c r="Q308" s="12">
        <v>791971788</v>
      </c>
    </row>
    <row r="309" spans="1:17" ht="10.5" customHeight="1">
      <c r="A309" s="8">
        <v>39234</v>
      </c>
      <c r="B309" s="10">
        <v>510232468</v>
      </c>
      <c r="C309" s="10">
        <v>29085791</v>
      </c>
      <c r="D309" s="10">
        <v>4285617</v>
      </c>
      <c r="E309" s="10">
        <v>267869638</v>
      </c>
      <c r="F309" s="10">
        <v>30140676</v>
      </c>
      <c r="G309" s="10">
        <v>48011575</v>
      </c>
      <c r="H309" s="10">
        <v>16209640</v>
      </c>
      <c r="I309" s="10">
        <v>1679083</v>
      </c>
      <c r="J309" s="10"/>
      <c r="K309" s="10">
        <v>-216907367</v>
      </c>
      <c r="L309" s="10">
        <v>90487742</v>
      </c>
      <c r="M309" s="10">
        <v>10718406</v>
      </c>
      <c r="N309" s="10"/>
      <c r="O309" s="10">
        <v>0</v>
      </c>
      <c r="Q309" s="12">
        <v>791813269</v>
      </c>
    </row>
    <row r="310" spans="1:17" ht="10.5" customHeight="1">
      <c r="A310" s="8">
        <v>39264</v>
      </c>
      <c r="B310" s="10">
        <v>371126997</v>
      </c>
      <c r="C310" s="10">
        <v>30202605</v>
      </c>
      <c r="D310" s="10">
        <v>4201220</v>
      </c>
      <c r="E310" s="10">
        <v>294847927</v>
      </c>
      <c r="F310" s="10">
        <v>34830492</v>
      </c>
      <c r="G310" s="10">
        <v>95948191</v>
      </c>
      <c r="H310" s="10">
        <v>15085950</v>
      </c>
      <c r="I310" s="10">
        <v>1212296</v>
      </c>
      <c r="J310" s="10"/>
      <c r="K310" s="10">
        <v>-44375719</v>
      </c>
      <c r="L310" s="10">
        <v>106991571</v>
      </c>
      <c r="M310" s="10">
        <v>16138929</v>
      </c>
      <c r="N310" s="10"/>
      <c r="O310" s="10">
        <v>0</v>
      </c>
      <c r="Q310" s="12">
        <v>926210459</v>
      </c>
    </row>
    <row r="311" spans="1:17" ht="10.5" customHeight="1">
      <c r="A311" s="8">
        <v>39295</v>
      </c>
      <c r="B311" s="10">
        <v>407709623</v>
      </c>
      <c r="C311" s="10">
        <v>17347997</v>
      </c>
      <c r="D311" s="10">
        <v>8855018</v>
      </c>
      <c r="E311" s="10">
        <v>175104342</v>
      </c>
      <c r="F311" s="10">
        <v>39603031</v>
      </c>
      <c r="G311" s="10">
        <v>63775661</v>
      </c>
      <c r="H311" s="10">
        <v>858420</v>
      </c>
      <c r="I311" s="10">
        <v>1910690</v>
      </c>
      <c r="J311" s="10"/>
      <c r="K311" s="10">
        <v>24132174</v>
      </c>
      <c r="L311" s="10">
        <v>120233049</v>
      </c>
      <c r="M311" s="10">
        <v>10750927</v>
      </c>
      <c r="N311" s="10"/>
      <c r="O311" s="10">
        <v>0</v>
      </c>
      <c r="Q311" s="12">
        <v>870280932</v>
      </c>
    </row>
    <row r="312" spans="1:17" ht="10.5" customHeight="1">
      <c r="A312" s="8">
        <v>39326</v>
      </c>
      <c r="B312" s="10">
        <v>405700995</v>
      </c>
      <c r="C312" s="10">
        <v>28655988</v>
      </c>
      <c r="D312" s="10">
        <v>5941110</v>
      </c>
      <c r="E312" s="10">
        <v>230698055</v>
      </c>
      <c r="F312" s="10">
        <v>36697373</v>
      </c>
      <c r="G312" s="10">
        <v>61214848</v>
      </c>
      <c r="H312" s="10">
        <v>19835587</v>
      </c>
      <c r="I312" s="10">
        <v>1967630</v>
      </c>
      <c r="J312" s="10"/>
      <c r="K312" s="10">
        <v>114292555</v>
      </c>
      <c r="L312" s="10">
        <v>123997620</v>
      </c>
      <c r="M312" s="10">
        <v>13219023</v>
      </c>
      <c r="N312" s="10"/>
      <c r="O312" s="10">
        <v>0</v>
      </c>
      <c r="Q312" s="12">
        <v>1042220784</v>
      </c>
    </row>
    <row r="313" spans="1:17" ht="10.5" customHeight="1">
      <c r="A313" s="8">
        <v>39356</v>
      </c>
      <c r="B313" s="10">
        <v>388424889</v>
      </c>
      <c r="C313" s="10">
        <v>23601320</v>
      </c>
      <c r="D313" s="10">
        <v>5675434</v>
      </c>
      <c r="E313" s="10">
        <v>214724862</v>
      </c>
      <c r="F313" s="10">
        <v>32784820</v>
      </c>
      <c r="G313" s="10">
        <v>54110476</v>
      </c>
      <c r="H313" s="10">
        <v>29853297</v>
      </c>
      <c r="I313" s="10">
        <v>2031969</v>
      </c>
      <c r="J313" s="10"/>
      <c r="K313" s="10">
        <v>25401808</v>
      </c>
      <c r="L313" s="10">
        <v>106771026</v>
      </c>
      <c r="M313" s="10">
        <v>13950640</v>
      </c>
      <c r="N313" s="10"/>
      <c r="O313" s="10">
        <v>0</v>
      </c>
      <c r="Q313" s="12">
        <v>897330541</v>
      </c>
    </row>
    <row r="314" spans="1:17" ht="10.5" customHeight="1">
      <c r="A314" s="8">
        <v>39387</v>
      </c>
      <c r="B314" s="10">
        <v>381693085</v>
      </c>
      <c r="C314" s="10">
        <v>27704549</v>
      </c>
      <c r="D314" s="10">
        <v>5410965</v>
      </c>
      <c r="E314" s="10">
        <v>256394560</v>
      </c>
      <c r="F314" s="10">
        <v>31434622</v>
      </c>
      <c r="G314" s="10">
        <v>69579758</v>
      </c>
      <c r="H314" s="10">
        <v>44382389</v>
      </c>
      <c r="I314" s="10">
        <v>2953671</v>
      </c>
      <c r="J314" s="10"/>
      <c r="K314" s="10">
        <v>368592</v>
      </c>
      <c r="L314" s="10">
        <v>127690841</v>
      </c>
      <c r="M314" s="10">
        <v>16081743</v>
      </c>
      <c r="N314" s="10"/>
      <c r="O314" s="10">
        <v>0</v>
      </c>
      <c r="Q314" s="12">
        <v>963694775</v>
      </c>
    </row>
    <row r="315" spans="1:17" ht="10.5" customHeight="1">
      <c r="A315" s="8">
        <v>39417</v>
      </c>
      <c r="B315" s="10">
        <v>448466966</v>
      </c>
      <c r="C315" s="10">
        <v>25742492</v>
      </c>
      <c r="D315" s="10">
        <v>5163136</v>
      </c>
      <c r="E315" s="10">
        <v>249008640</v>
      </c>
      <c r="F315" s="10">
        <v>45891197</v>
      </c>
      <c r="G315" s="10">
        <v>38081312</v>
      </c>
      <c r="H315" s="10">
        <v>47907077</v>
      </c>
      <c r="I315" s="10">
        <v>5552583</v>
      </c>
      <c r="J315" s="10"/>
      <c r="K315" s="10">
        <v>48902657</v>
      </c>
      <c r="L315" s="10">
        <v>116010813</v>
      </c>
      <c r="M315" s="10">
        <v>16298506</v>
      </c>
      <c r="N315" s="10"/>
      <c r="O315" s="10">
        <v>0</v>
      </c>
      <c r="Q315" s="12">
        <v>1047025379</v>
      </c>
    </row>
    <row r="316" spans="1:17" ht="10.5" customHeight="1">
      <c r="A316" s="8">
        <v>39448</v>
      </c>
      <c r="B316" s="10">
        <v>451297434</v>
      </c>
      <c r="C316" s="10">
        <v>27830020</v>
      </c>
      <c r="D316" s="10">
        <v>5975085</v>
      </c>
      <c r="E316" s="10">
        <v>298639393</v>
      </c>
      <c r="F316" s="10">
        <v>67474006</v>
      </c>
      <c r="G316" s="10">
        <v>168907741</v>
      </c>
      <c r="H316" s="10">
        <v>71307236</v>
      </c>
      <c r="I316" s="10">
        <v>9839377</v>
      </c>
      <c r="J316" s="10"/>
      <c r="K316" s="10">
        <v>-200068419</v>
      </c>
      <c r="L316" s="10">
        <v>155089403</v>
      </c>
      <c r="M316" s="10">
        <v>16258719</v>
      </c>
      <c r="N316" s="10"/>
      <c r="O316" s="10">
        <v>0</v>
      </c>
      <c r="Q316" s="12">
        <v>1072549995</v>
      </c>
    </row>
    <row r="317" spans="1:17" ht="10.5" customHeight="1">
      <c r="A317" s="8">
        <v>39479</v>
      </c>
      <c r="B317" s="10">
        <v>383989264</v>
      </c>
      <c r="C317" s="10">
        <v>30775787</v>
      </c>
      <c r="D317" s="10">
        <v>6863031</v>
      </c>
      <c r="E317" s="10">
        <v>280473337</v>
      </c>
      <c r="F317" s="10">
        <v>30357953</v>
      </c>
      <c r="G317" s="10">
        <v>45207969</v>
      </c>
      <c r="H317" s="10">
        <v>43355544</v>
      </c>
      <c r="I317" s="10">
        <v>3928229</v>
      </c>
      <c r="J317" s="10"/>
      <c r="K317" s="10">
        <v>-57375327</v>
      </c>
      <c r="L317" s="10">
        <v>114515931</v>
      </c>
      <c r="M317" s="10">
        <v>13826810</v>
      </c>
      <c r="N317" s="10"/>
      <c r="O317" s="10">
        <v>0</v>
      </c>
      <c r="Q317" s="12">
        <v>895918528</v>
      </c>
    </row>
    <row r="318" spans="1:17" ht="10.5" customHeight="1">
      <c r="A318" s="8">
        <v>39508</v>
      </c>
      <c r="B318" s="10">
        <v>400540779</v>
      </c>
      <c r="C318" s="10">
        <v>26129492</v>
      </c>
      <c r="D318" s="10">
        <v>3030888</v>
      </c>
      <c r="E318" s="10">
        <v>236060698</v>
      </c>
      <c r="F318" s="10">
        <v>21872519</v>
      </c>
      <c r="G318" s="10">
        <v>43616411</v>
      </c>
      <c r="H318" s="10">
        <v>39676244</v>
      </c>
      <c r="I318" s="10">
        <v>2618955</v>
      </c>
      <c r="J318" s="10"/>
      <c r="K318" s="10">
        <v>59887220</v>
      </c>
      <c r="L318" s="10">
        <v>131516803</v>
      </c>
      <c r="M318" s="10">
        <v>11547749</v>
      </c>
      <c r="N318" s="10"/>
      <c r="O318" s="10">
        <v>0</v>
      </c>
      <c r="Q318" s="12">
        <v>976497758</v>
      </c>
    </row>
    <row r="319" spans="1:17" ht="10.5" customHeight="1">
      <c r="A319" s="8">
        <v>39539</v>
      </c>
      <c r="B319" s="10">
        <v>379625952</v>
      </c>
      <c r="C319" s="10">
        <v>25698840</v>
      </c>
      <c r="D319" s="10">
        <v>569021</v>
      </c>
      <c r="E319" s="10">
        <v>256442430</v>
      </c>
      <c r="F319" s="10">
        <v>35746875</v>
      </c>
      <c r="G319" s="10">
        <v>87086600</v>
      </c>
      <c r="H319" s="10">
        <v>32410370</v>
      </c>
      <c r="I319" s="10">
        <v>2695977</v>
      </c>
      <c r="J319" s="10"/>
      <c r="K319" s="10">
        <v>39030526</v>
      </c>
      <c r="L319" s="10">
        <v>95473059</v>
      </c>
      <c r="M319" s="10">
        <v>11290884</v>
      </c>
      <c r="N319" s="10"/>
      <c r="O319" s="10">
        <v>0</v>
      </c>
      <c r="Q319" s="12">
        <v>966070534</v>
      </c>
    </row>
    <row r="320" spans="1:17" ht="10.5" customHeight="1">
      <c r="A320" s="8">
        <v>39569</v>
      </c>
      <c r="B320" s="10">
        <v>375085737</v>
      </c>
      <c r="C320" s="10">
        <v>24396041</v>
      </c>
      <c r="D320" s="10">
        <v>307831</v>
      </c>
      <c r="E320" s="10">
        <v>234540171</v>
      </c>
      <c r="F320" s="10">
        <v>23978119</v>
      </c>
      <c r="G320" s="10">
        <v>119886642</v>
      </c>
      <c r="H320" s="10">
        <v>23974681</v>
      </c>
      <c r="I320" s="10">
        <v>2942187</v>
      </c>
      <c r="J320" s="10"/>
      <c r="K320" s="10">
        <v>-58144887</v>
      </c>
      <c r="L320" s="10">
        <v>133619524</v>
      </c>
      <c r="M320" s="10">
        <v>14366428</v>
      </c>
      <c r="N320" s="10"/>
      <c r="O320" s="10">
        <v>0</v>
      </c>
      <c r="Q320" s="12">
        <v>894952474</v>
      </c>
    </row>
    <row r="321" spans="1:17" ht="10.5" customHeight="1">
      <c r="A321" s="8">
        <v>39600</v>
      </c>
      <c r="B321" s="10">
        <v>347371312</v>
      </c>
      <c r="C321" s="10">
        <v>32398620</v>
      </c>
      <c r="D321" s="10">
        <v>0</v>
      </c>
      <c r="E321" s="10">
        <v>231939946</v>
      </c>
      <c r="F321" s="10">
        <v>78381444</v>
      </c>
      <c r="G321" s="10">
        <v>85597630</v>
      </c>
      <c r="H321" s="10">
        <v>20064215</v>
      </c>
      <c r="I321" s="10">
        <v>2631491</v>
      </c>
      <c r="J321" s="10"/>
      <c r="K321" s="10">
        <v>-156561254</v>
      </c>
      <c r="L321" s="10">
        <v>127306644</v>
      </c>
      <c r="M321" s="10">
        <v>13652603</v>
      </c>
      <c r="N321" s="10"/>
      <c r="O321" s="10">
        <v>0</v>
      </c>
      <c r="Q321" s="12">
        <v>782782651</v>
      </c>
    </row>
    <row r="322" spans="1:17" ht="10.5" customHeight="1">
      <c r="A322" s="8">
        <v>39630</v>
      </c>
      <c r="B322" s="10">
        <v>344423249</v>
      </c>
      <c r="C322" s="10">
        <v>25264759</v>
      </c>
      <c r="D322" s="10">
        <v>168246</v>
      </c>
      <c r="E322" s="10">
        <v>229932151</v>
      </c>
      <c r="F322" s="10">
        <v>40305396</v>
      </c>
      <c r="G322" s="10">
        <v>37594427</v>
      </c>
      <c r="H322" s="10">
        <v>16839519</v>
      </c>
      <c r="I322" s="10">
        <v>2715148</v>
      </c>
      <c r="J322" s="10"/>
      <c r="K322" s="10">
        <v>-7436200</v>
      </c>
      <c r="L322" s="10">
        <v>115230465</v>
      </c>
      <c r="M322" s="10">
        <v>8401736</v>
      </c>
      <c r="N322" s="10"/>
      <c r="O322" s="10">
        <v>0</v>
      </c>
      <c r="Q322" s="12">
        <v>813438896</v>
      </c>
    </row>
    <row r="323" spans="1:17" ht="10.5" customHeight="1">
      <c r="A323" s="8">
        <v>39661</v>
      </c>
      <c r="B323" s="10">
        <v>309544667</v>
      </c>
      <c r="C323" s="10">
        <v>32531665</v>
      </c>
      <c r="D323" s="10">
        <v>292695</v>
      </c>
      <c r="E323" s="10">
        <v>237624339</v>
      </c>
      <c r="F323" s="10">
        <v>41781816</v>
      </c>
      <c r="G323" s="10">
        <v>71850948</v>
      </c>
      <c r="H323" s="10">
        <v>26422038</v>
      </c>
      <c r="I323" s="10">
        <v>2234901</v>
      </c>
      <c r="J323" s="10"/>
      <c r="K323" s="10">
        <v>-20258504</v>
      </c>
      <c r="L323" s="10">
        <v>118520441</v>
      </c>
      <c r="M323" s="10">
        <v>9461714</v>
      </c>
      <c r="N323" s="10"/>
      <c r="O323" s="10">
        <v>0</v>
      </c>
      <c r="Q323" s="12">
        <v>830006720</v>
      </c>
    </row>
    <row r="324" spans="1:17" ht="10.5" customHeight="1">
      <c r="A324" s="8">
        <v>39692</v>
      </c>
      <c r="B324" s="10">
        <v>350799383</v>
      </c>
      <c r="C324" s="10">
        <v>28915970</v>
      </c>
      <c r="D324" s="10">
        <v>166303</v>
      </c>
      <c r="E324" s="10">
        <v>223889246</v>
      </c>
      <c r="F324" s="10">
        <v>21644727</v>
      </c>
      <c r="G324" s="10">
        <v>36977012</v>
      </c>
      <c r="H324" s="10">
        <v>21775141</v>
      </c>
      <c r="I324" s="10">
        <v>2751480</v>
      </c>
      <c r="J324" s="10"/>
      <c r="K324" s="10">
        <v>35534929</v>
      </c>
      <c r="L324" s="10">
        <v>160106182</v>
      </c>
      <c r="M324" s="10">
        <v>8797998</v>
      </c>
      <c r="N324" s="10"/>
      <c r="O324" s="10">
        <v>0</v>
      </c>
      <c r="Q324" s="12">
        <v>891358371</v>
      </c>
    </row>
    <row r="325" spans="1:17" ht="10.5" customHeight="1">
      <c r="A325" s="8">
        <v>39722</v>
      </c>
      <c r="B325" s="10">
        <v>345997439</v>
      </c>
      <c r="C325" s="10">
        <v>32017556</v>
      </c>
      <c r="D325" s="10">
        <v>125156</v>
      </c>
      <c r="E325" s="10">
        <v>247196863</v>
      </c>
      <c r="F325" s="10">
        <v>34510956</v>
      </c>
      <c r="G325" s="10">
        <v>86566485</v>
      </c>
      <c r="H325" s="10">
        <v>22818068</v>
      </c>
      <c r="I325" s="10">
        <v>3457250</v>
      </c>
      <c r="J325" s="10"/>
      <c r="K325" s="10">
        <v>60975682</v>
      </c>
      <c r="L325" s="10">
        <v>152379655</v>
      </c>
      <c r="M325" s="10">
        <v>12424796</v>
      </c>
      <c r="N325" s="10"/>
      <c r="O325" s="10">
        <v>0</v>
      </c>
      <c r="Q325" s="12">
        <v>998469906</v>
      </c>
    </row>
    <row r="326" spans="1:17" ht="11.25" customHeight="1">
      <c r="A326" s="8">
        <v>39753</v>
      </c>
      <c r="B326" s="10">
        <v>358838038</v>
      </c>
      <c r="C326" s="10">
        <v>29152874</v>
      </c>
      <c r="D326" s="10">
        <v>242691</v>
      </c>
      <c r="E326" s="10">
        <v>239430836</v>
      </c>
      <c r="F326" s="10">
        <v>39462194</v>
      </c>
      <c r="G326" s="10">
        <v>117452316</v>
      </c>
      <c r="H326" s="10">
        <v>35270524</v>
      </c>
      <c r="I326" s="10">
        <v>3834471</v>
      </c>
      <c r="J326" s="10"/>
      <c r="K326" s="10">
        <v>-34887869</v>
      </c>
      <c r="L326" s="10">
        <v>144744688</v>
      </c>
      <c r="M326" s="10">
        <v>12940591</v>
      </c>
      <c r="N326" s="10"/>
      <c r="O326" s="10">
        <v>0</v>
      </c>
      <c r="Q326" s="12">
        <v>946481354</v>
      </c>
    </row>
    <row r="327" spans="1:17" ht="10.5" customHeight="1">
      <c r="A327" s="8">
        <v>39783</v>
      </c>
      <c r="B327" s="10">
        <v>389351553</v>
      </c>
      <c r="C327" s="10">
        <v>28114374</v>
      </c>
      <c r="D327" s="10">
        <v>327882</v>
      </c>
      <c r="E327" s="10">
        <v>232042744</v>
      </c>
      <c r="F327" s="10">
        <v>49959870</v>
      </c>
      <c r="G327" s="10">
        <v>89228586</v>
      </c>
      <c r="H327" s="10">
        <v>47927106</v>
      </c>
      <c r="I327" s="10">
        <v>8235600</v>
      </c>
      <c r="J327" s="10"/>
      <c r="K327" s="10">
        <v>45803727</v>
      </c>
      <c r="L327" s="10">
        <v>167257781</v>
      </c>
      <c r="M327" s="10">
        <v>16043297</v>
      </c>
      <c r="N327" s="10"/>
      <c r="O327" s="10">
        <v>0</v>
      </c>
      <c r="Q327" s="12">
        <v>1074292520</v>
      </c>
    </row>
    <row r="328" spans="1:17" ht="10.5" customHeight="1">
      <c r="A328" s="8">
        <v>39814</v>
      </c>
      <c r="B328" s="10">
        <v>378170552</v>
      </c>
      <c r="C328" s="10">
        <v>28565984</v>
      </c>
      <c r="D328" s="10">
        <v>383237</v>
      </c>
      <c r="E328" s="10">
        <v>397294836</v>
      </c>
      <c r="F328" s="10">
        <v>73272105</v>
      </c>
      <c r="G328" s="10">
        <v>124754324</v>
      </c>
      <c r="H328" s="10">
        <v>80851110</v>
      </c>
      <c r="I328" s="10">
        <v>15566277</v>
      </c>
      <c r="J328" s="10"/>
      <c r="K328" s="10">
        <v>-38668487</v>
      </c>
      <c r="L328" s="10">
        <v>145299936</v>
      </c>
      <c r="M328" s="10">
        <v>17404800</v>
      </c>
      <c r="N328" s="10"/>
      <c r="O328" s="10">
        <v>0</v>
      </c>
      <c r="Q328" s="12">
        <v>1222894674</v>
      </c>
    </row>
    <row r="329" spans="1:17" ht="10.5" customHeight="1">
      <c r="A329" s="8">
        <v>39845</v>
      </c>
      <c r="B329" s="10">
        <v>481556270</v>
      </c>
      <c r="C329" s="10">
        <v>35132339</v>
      </c>
      <c r="D329" s="10">
        <v>502840</v>
      </c>
      <c r="E329" s="10">
        <v>232677888</v>
      </c>
      <c r="F329" s="10">
        <v>24642660</v>
      </c>
      <c r="G329" s="10">
        <v>173359485</v>
      </c>
      <c r="H329" s="10">
        <v>54873761</v>
      </c>
      <c r="I329" s="10">
        <v>3493285</v>
      </c>
      <c r="J329" s="10"/>
      <c r="K329" s="10">
        <v>-104700674</v>
      </c>
      <c r="L329" s="10">
        <v>125330514</v>
      </c>
      <c r="M329" s="10">
        <v>10736445</v>
      </c>
      <c r="N329" s="10"/>
      <c r="O329" s="10">
        <v>0</v>
      </c>
      <c r="Q329" s="12">
        <v>1037604813</v>
      </c>
    </row>
    <row r="330" spans="1:17" ht="10.5" customHeight="1">
      <c r="A330" s="8">
        <v>39873</v>
      </c>
      <c r="B330" s="10">
        <v>487599281</v>
      </c>
      <c r="C330" s="10">
        <v>27583498</v>
      </c>
      <c r="D330" s="10">
        <v>375834</v>
      </c>
      <c r="E330" s="10">
        <v>249429208</v>
      </c>
      <c r="F330" s="10">
        <v>28909476</v>
      </c>
      <c r="G330" s="10">
        <v>90810930</v>
      </c>
      <c r="H330" s="10">
        <v>46083765</v>
      </c>
      <c r="I330" s="10">
        <v>2380951</v>
      </c>
      <c r="J330" s="10"/>
      <c r="K330" s="10">
        <v>199076834</v>
      </c>
      <c r="L330" s="10">
        <v>84655269</v>
      </c>
      <c r="M330" s="10">
        <v>10990637</v>
      </c>
      <c r="N330" s="10"/>
      <c r="O330" s="10">
        <v>0</v>
      </c>
      <c r="Q330" s="12">
        <v>1227895683</v>
      </c>
    </row>
    <row r="331" spans="1:17" ht="10.5" customHeight="1">
      <c r="A331" s="8">
        <v>39904</v>
      </c>
      <c r="B331" s="10">
        <v>467938283</v>
      </c>
      <c r="C331" s="10">
        <v>26940494</v>
      </c>
      <c r="D331" s="10">
        <v>387297</v>
      </c>
      <c r="E331" s="10">
        <v>270169747</v>
      </c>
      <c r="F331" s="10">
        <v>42752239</v>
      </c>
      <c r="G331" s="10">
        <v>132789657</v>
      </c>
      <c r="H331" s="10">
        <v>37497558</v>
      </c>
      <c r="I331" s="10">
        <v>2249061</v>
      </c>
      <c r="J331" s="10"/>
      <c r="K331" s="10">
        <v>-153599989</v>
      </c>
      <c r="L331" s="10">
        <v>131873766</v>
      </c>
      <c r="M331" s="10">
        <v>11433719</v>
      </c>
      <c r="N331" s="10"/>
      <c r="O331" s="10">
        <v>0</v>
      </c>
      <c r="Q331" s="12">
        <v>970431832</v>
      </c>
    </row>
    <row r="332" spans="1:17" ht="10.5" customHeight="1">
      <c r="A332" s="8">
        <v>39934</v>
      </c>
      <c r="B332" s="10">
        <v>463916756</v>
      </c>
      <c r="C332" s="10">
        <v>29943339</v>
      </c>
      <c r="D332" s="10">
        <v>409475</v>
      </c>
      <c r="E332" s="10">
        <v>216060723</v>
      </c>
      <c r="F332" s="10">
        <v>34738099</v>
      </c>
      <c r="G332" s="10">
        <v>117293075</v>
      </c>
      <c r="H332" s="10">
        <v>29668888</v>
      </c>
      <c r="I332" s="10">
        <v>2943465</v>
      </c>
      <c r="J332" s="10"/>
      <c r="K332" s="10">
        <v>9475415</v>
      </c>
      <c r="L332" s="10">
        <v>110545761</v>
      </c>
      <c r="M332" s="10">
        <v>14895771</v>
      </c>
      <c r="N332" s="10"/>
      <c r="O332" s="10">
        <v>0</v>
      </c>
      <c r="Q332" s="12">
        <v>1029890767</v>
      </c>
    </row>
    <row r="333" spans="1:17" ht="10.5" customHeight="1">
      <c r="A333" s="8">
        <v>39965</v>
      </c>
      <c r="B333" s="10">
        <v>498765932</v>
      </c>
      <c r="C333" s="10">
        <v>25623408</v>
      </c>
      <c r="D333" s="10">
        <v>0</v>
      </c>
      <c r="E333" s="10">
        <v>261076988</v>
      </c>
      <c r="F333" s="10">
        <v>36624516</v>
      </c>
      <c r="G333" s="10">
        <v>82527382</v>
      </c>
      <c r="H333" s="10">
        <v>24266193</v>
      </c>
      <c r="I333" s="10">
        <v>2502055</v>
      </c>
      <c r="J333" s="10"/>
      <c r="K333" s="10">
        <v>-55918299</v>
      </c>
      <c r="L333" s="10">
        <v>120873392</v>
      </c>
      <c r="M333" s="10">
        <v>11203656</v>
      </c>
      <c r="N333" s="10"/>
      <c r="O333" s="10">
        <v>0</v>
      </c>
      <c r="Q333" s="12">
        <v>1007545223</v>
      </c>
    </row>
    <row r="334" spans="1:17" ht="10.5" customHeight="1">
      <c r="A334" s="8">
        <v>39995</v>
      </c>
      <c r="B334" s="10">
        <v>416196926</v>
      </c>
      <c r="C334" s="10">
        <v>30668979</v>
      </c>
      <c r="D334" s="10">
        <v>0</v>
      </c>
      <c r="E334" s="10">
        <v>229434347</v>
      </c>
      <c r="F334" s="10">
        <v>46635256</v>
      </c>
      <c r="G334" s="10">
        <v>69911684</v>
      </c>
      <c r="H334" s="10">
        <v>19669450</v>
      </c>
      <c r="I334" s="10">
        <v>2692003</v>
      </c>
      <c r="J334" s="10"/>
      <c r="K334" s="10">
        <v>-52227586</v>
      </c>
      <c r="L334" s="10">
        <v>127889292</v>
      </c>
      <c r="M334" s="10">
        <v>10395186</v>
      </c>
      <c r="O334" s="10">
        <v>0</v>
      </c>
      <c r="Q334" s="10">
        <v>901265537</v>
      </c>
    </row>
    <row r="335" spans="1:17" ht="10.5" customHeight="1">
      <c r="A335" s="8">
        <v>40026</v>
      </c>
      <c r="B335" s="10">
        <v>442685592</v>
      </c>
      <c r="C335" s="10">
        <v>31023964</v>
      </c>
      <c r="D335" s="10">
        <v>0</v>
      </c>
      <c r="E335" s="10">
        <v>254166332</v>
      </c>
      <c r="F335" s="10">
        <v>44718287</v>
      </c>
      <c r="G335" s="10">
        <v>74483321</v>
      </c>
      <c r="H335" s="10">
        <v>24175834</v>
      </c>
      <c r="I335" s="10">
        <v>2309333</v>
      </c>
      <c r="J335" s="10"/>
      <c r="K335" s="10">
        <v>-86789560</v>
      </c>
      <c r="L335" s="10">
        <v>149067175</v>
      </c>
      <c r="M335" s="10">
        <v>11650311</v>
      </c>
      <c r="O335" s="10">
        <v>0</v>
      </c>
      <c r="Q335" s="10">
        <v>947490589</v>
      </c>
    </row>
    <row r="336" spans="1:17" ht="10.5" customHeight="1">
      <c r="A336" s="8">
        <v>40057</v>
      </c>
      <c r="B336" s="10">
        <v>460969406</v>
      </c>
      <c r="C336" s="10">
        <v>30410519</v>
      </c>
      <c r="D336" s="10">
        <v>0</v>
      </c>
      <c r="E336" s="10">
        <v>252627693</v>
      </c>
      <c r="F336" s="10">
        <v>52231738</v>
      </c>
      <c r="G336" s="10">
        <v>74191002</v>
      </c>
      <c r="H336" s="10">
        <v>25558235</v>
      </c>
      <c r="I336" s="10">
        <v>2526266</v>
      </c>
      <c r="J336" s="10"/>
      <c r="K336" s="10">
        <v>2035433</v>
      </c>
      <c r="L336" s="10">
        <v>186919229</v>
      </c>
      <c r="M336" s="10">
        <v>11539701</v>
      </c>
      <c r="O336" s="10">
        <v>0</v>
      </c>
      <c r="Q336" s="10">
        <v>1099009222</v>
      </c>
    </row>
    <row r="337" spans="1:19" ht="10.5" customHeight="1">
      <c r="A337" s="8">
        <v>40087</v>
      </c>
      <c r="B337" s="10">
        <v>414653372</v>
      </c>
      <c r="C337" s="10">
        <v>29797009</v>
      </c>
      <c r="D337" s="10">
        <v>0</v>
      </c>
      <c r="E337" s="10">
        <v>274652066</v>
      </c>
      <c r="F337" s="10">
        <v>29075484</v>
      </c>
      <c r="G337" s="10">
        <v>103277634</v>
      </c>
      <c r="H337" s="10">
        <v>33770585</v>
      </c>
      <c r="I337" s="10">
        <v>3029449</v>
      </c>
      <c r="J337" s="10"/>
      <c r="K337" s="10">
        <v>-75645692</v>
      </c>
      <c r="L337" s="10">
        <v>167920641</v>
      </c>
      <c r="M337" s="10">
        <v>19436770</v>
      </c>
      <c r="O337" s="10">
        <v>0</v>
      </c>
      <c r="Q337" s="10">
        <v>999967318</v>
      </c>
    </row>
    <row r="338" spans="1:19" ht="10.5" customHeight="1">
      <c r="A338" s="8">
        <v>40118</v>
      </c>
      <c r="B338" s="10">
        <v>436892628</v>
      </c>
      <c r="C338" s="10">
        <v>30936821</v>
      </c>
      <c r="D338" s="10">
        <v>0</v>
      </c>
      <c r="E338" s="10">
        <v>305662442</v>
      </c>
      <c r="F338" s="10">
        <v>35831281</v>
      </c>
      <c r="G338" s="10">
        <v>87174954</v>
      </c>
      <c r="H338" s="10">
        <v>48487558</v>
      </c>
      <c r="I338" s="10">
        <v>3944377</v>
      </c>
      <c r="J338" s="10"/>
      <c r="K338" s="10">
        <v>-35999457</v>
      </c>
      <c r="L338" s="10">
        <v>160575251</v>
      </c>
      <c r="M338" s="10">
        <v>21758977</v>
      </c>
      <c r="O338" s="10">
        <v>0</v>
      </c>
      <c r="Q338" s="10">
        <v>1095264832</v>
      </c>
    </row>
    <row r="339" spans="1:19" ht="10.5" customHeight="1">
      <c r="A339" s="8">
        <v>40148</v>
      </c>
      <c r="B339" s="10">
        <v>512599273</v>
      </c>
      <c r="C339" s="10">
        <v>27058679</v>
      </c>
      <c r="D339" s="10">
        <v>0</v>
      </c>
      <c r="E339" s="10">
        <v>304720334</v>
      </c>
      <c r="F339" s="10">
        <v>154975270</v>
      </c>
      <c r="G339" s="10">
        <v>109385583</v>
      </c>
      <c r="H339" s="10">
        <v>55409560</v>
      </c>
      <c r="I339" s="10">
        <v>8683679</v>
      </c>
      <c r="J339" s="10"/>
      <c r="K339" s="10">
        <v>17853725</v>
      </c>
      <c r="L339" s="10">
        <v>151453365</v>
      </c>
      <c r="M339" s="10">
        <v>16352135</v>
      </c>
      <c r="O339" s="10">
        <v>0</v>
      </c>
      <c r="Q339" s="10">
        <v>1358491603</v>
      </c>
    </row>
    <row r="340" spans="1:19" ht="10.5" customHeight="1">
      <c r="A340" s="8">
        <v>40179</v>
      </c>
      <c r="B340" s="10">
        <v>476726498</v>
      </c>
      <c r="C340" s="10">
        <v>29222741</v>
      </c>
      <c r="D340" s="10">
        <v>0</v>
      </c>
      <c r="E340" s="10">
        <v>389998031</v>
      </c>
      <c r="F340" s="10">
        <v>74741256</v>
      </c>
      <c r="G340" s="10">
        <v>118216894</v>
      </c>
      <c r="H340" s="10">
        <v>68756382</v>
      </c>
      <c r="I340" s="10">
        <v>14641890</v>
      </c>
      <c r="J340" s="10">
        <v>0</v>
      </c>
      <c r="K340" s="10">
        <v>-57004383</v>
      </c>
      <c r="L340" s="10">
        <v>180962315</v>
      </c>
      <c r="M340" s="10">
        <v>24551810</v>
      </c>
      <c r="N340" s="10">
        <v>0</v>
      </c>
      <c r="O340" s="10">
        <v>0</v>
      </c>
      <c r="P340" s="10">
        <v>0</v>
      </c>
      <c r="Q340" s="10">
        <v>1320813434</v>
      </c>
    </row>
    <row r="341" spans="1:19" ht="10.5" customHeight="1">
      <c r="A341" s="8">
        <v>40210</v>
      </c>
      <c r="B341" s="10">
        <v>616760568</v>
      </c>
      <c r="C341" s="10">
        <v>31097841</v>
      </c>
      <c r="D341" s="10">
        <v>0</v>
      </c>
      <c r="E341" s="10">
        <v>269973664</v>
      </c>
      <c r="F341" s="10">
        <v>28437391</v>
      </c>
      <c r="G341" s="10">
        <v>69186701</v>
      </c>
      <c r="H341" s="10">
        <v>70066749</v>
      </c>
      <c r="I341" s="10">
        <v>1672625</v>
      </c>
      <c r="J341" s="10">
        <v>0</v>
      </c>
      <c r="K341" s="10">
        <v>31590634</v>
      </c>
      <c r="L341" s="10">
        <v>140139093</v>
      </c>
      <c r="M341" s="10">
        <v>16655637</v>
      </c>
      <c r="N341" s="10">
        <v>0</v>
      </c>
      <c r="O341" s="10">
        <v>0</v>
      </c>
      <c r="P341" s="10">
        <v>0</v>
      </c>
      <c r="Q341" s="10">
        <v>1275580903</v>
      </c>
    </row>
    <row r="342" spans="1:19" ht="10.5" customHeight="1">
      <c r="A342" s="8">
        <v>40238</v>
      </c>
      <c r="B342" s="10">
        <v>574323695</v>
      </c>
      <c r="C342" s="10">
        <v>29250359</v>
      </c>
      <c r="D342" s="10">
        <v>0</v>
      </c>
      <c r="E342" s="10">
        <v>333416971</v>
      </c>
      <c r="F342" s="10">
        <v>27909479</v>
      </c>
      <c r="G342" s="10">
        <v>153174486</v>
      </c>
      <c r="H342" s="10">
        <v>79239080</v>
      </c>
      <c r="I342" s="10">
        <v>998260</v>
      </c>
      <c r="J342" s="10">
        <v>0</v>
      </c>
      <c r="K342" s="10">
        <v>96204516</v>
      </c>
      <c r="L342" s="10">
        <v>151075761</v>
      </c>
      <c r="M342" s="10">
        <v>14138793</v>
      </c>
      <c r="N342" s="10">
        <v>0</v>
      </c>
      <c r="O342" s="10">
        <v>0</v>
      </c>
      <c r="P342" s="10">
        <v>0</v>
      </c>
      <c r="Q342" s="10">
        <v>1459731400</v>
      </c>
    </row>
    <row r="343" spans="1:19" ht="10.5" customHeight="1">
      <c r="A343" s="8">
        <v>40269</v>
      </c>
      <c r="B343" s="10">
        <v>541164304</v>
      </c>
      <c r="C343" s="10">
        <v>33136546</v>
      </c>
      <c r="D343" s="10">
        <v>0</v>
      </c>
      <c r="E343" s="10">
        <v>385155088</v>
      </c>
      <c r="F343" s="10">
        <v>40385882</v>
      </c>
      <c r="G343" s="10">
        <v>87828847</v>
      </c>
      <c r="H343" s="10">
        <v>2104386</v>
      </c>
      <c r="I343" s="10">
        <v>918495</v>
      </c>
      <c r="J343" s="10">
        <v>0</v>
      </c>
      <c r="K343" s="10">
        <v>-36447452</v>
      </c>
      <c r="L343" s="10">
        <v>128576740</v>
      </c>
      <c r="M343" s="10">
        <v>16169175</v>
      </c>
      <c r="N343" s="10">
        <v>0</v>
      </c>
      <c r="O343" s="10">
        <v>0</v>
      </c>
      <c r="P343" s="10">
        <v>0</v>
      </c>
      <c r="Q343" s="10">
        <v>1198992011</v>
      </c>
    </row>
    <row r="344" spans="1:19" ht="10.5" customHeight="1">
      <c r="A344" s="8">
        <v>40299</v>
      </c>
      <c r="B344" s="10">
        <v>607235633</v>
      </c>
      <c r="C344" s="10">
        <v>33494792</v>
      </c>
      <c r="D344" s="10">
        <v>0</v>
      </c>
      <c r="E344" s="10">
        <v>338333182</v>
      </c>
      <c r="F344" s="10">
        <v>41892354</v>
      </c>
      <c r="G344" s="10">
        <v>111056634</v>
      </c>
      <c r="H344" s="10">
        <v>112693271</v>
      </c>
      <c r="I344" s="10">
        <v>2694359</v>
      </c>
      <c r="J344" s="10">
        <v>0</v>
      </c>
      <c r="K344" s="10">
        <v>-104840166</v>
      </c>
      <c r="L344" s="10">
        <v>202651185</v>
      </c>
      <c r="M344" s="10">
        <v>18315082</v>
      </c>
      <c r="N344" s="10">
        <v>0</v>
      </c>
      <c r="O344" s="10">
        <v>0</v>
      </c>
      <c r="P344" s="10">
        <v>0</v>
      </c>
      <c r="Q344" s="10">
        <v>1363526326</v>
      </c>
    </row>
    <row r="345" spans="1:19" ht="10.5" customHeight="1">
      <c r="A345" s="8">
        <v>40330</v>
      </c>
      <c r="B345" s="10">
        <v>508345789</v>
      </c>
      <c r="C345" s="10">
        <v>29192895</v>
      </c>
      <c r="D345" s="10">
        <v>0</v>
      </c>
      <c r="E345" s="10">
        <v>332209842</v>
      </c>
      <c r="F345" s="10">
        <v>58080583</v>
      </c>
      <c r="G345" s="10">
        <v>91202161</v>
      </c>
      <c r="H345" s="10">
        <v>35643581</v>
      </c>
      <c r="I345" s="10">
        <v>1371885</v>
      </c>
      <c r="J345" s="10">
        <v>0</v>
      </c>
      <c r="K345" s="10">
        <v>-91724276</v>
      </c>
      <c r="L345" s="10">
        <v>206643042</v>
      </c>
      <c r="M345" s="10">
        <v>17344796</v>
      </c>
      <c r="N345" s="10">
        <v>0</v>
      </c>
      <c r="O345" s="10">
        <v>0</v>
      </c>
      <c r="P345" s="10">
        <v>0</v>
      </c>
      <c r="Q345" s="10">
        <v>1188310298</v>
      </c>
    </row>
    <row r="346" spans="1:19" ht="10.5" customHeight="1">
      <c r="A346" s="8">
        <v>40360</v>
      </c>
      <c r="B346" s="10">
        <v>501209728</v>
      </c>
      <c r="C346" s="10">
        <v>32319516</v>
      </c>
      <c r="D346" s="10">
        <v>0</v>
      </c>
      <c r="E346" s="10">
        <v>352203129</v>
      </c>
      <c r="F346" s="10">
        <v>50571008</v>
      </c>
      <c r="G346" s="10">
        <v>82389812</v>
      </c>
      <c r="H346" s="10">
        <v>33880325</v>
      </c>
      <c r="I346" s="10">
        <v>1055191</v>
      </c>
      <c r="J346" s="10">
        <v>0</v>
      </c>
      <c r="K346" s="10">
        <v>-103295232</v>
      </c>
      <c r="L346" s="10">
        <v>193915337</v>
      </c>
      <c r="M346" s="10">
        <v>15409600</v>
      </c>
      <c r="N346" s="10">
        <v>0</v>
      </c>
      <c r="O346" s="10">
        <v>0</v>
      </c>
      <c r="P346" s="10">
        <v>0</v>
      </c>
      <c r="Q346" s="10">
        <v>1159658414</v>
      </c>
    </row>
    <row r="347" spans="1:19" ht="10.5" customHeight="1">
      <c r="A347" s="8">
        <v>40391</v>
      </c>
      <c r="B347" s="10">
        <v>505510063</v>
      </c>
      <c r="C347" s="10">
        <v>36402205</v>
      </c>
      <c r="D347" s="10">
        <v>0</v>
      </c>
      <c r="E347" s="10">
        <v>368272165</v>
      </c>
      <c r="F347" s="10">
        <v>50187685</v>
      </c>
      <c r="G347" s="10">
        <v>85417307</v>
      </c>
      <c r="H347" s="10">
        <v>39547868</v>
      </c>
      <c r="I347" s="10">
        <v>1266317</v>
      </c>
      <c r="J347" s="10">
        <v>0</v>
      </c>
      <c r="K347" s="10">
        <v>-38909238</v>
      </c>
      <c r="L347" s="10">
        <v>206780662</v>
      </c>
      <c r="M347" s="10">
        <v>16911014</v>
      </c>
      <c r="N347" s="10">
        <v>0</v>
      </c>
      <c r="O347" s="10">
        <v>0</v>
      </c>
      <c r="P347" s="10">
        <v>0</v>
      </c>
      <c r="Q347" s="10">
        <v>1271386048</v>
      </c>
    </row>
    <row r="348" spans="1:19" ht="10.5" customHeight="1">
      <c r="A348" s="8">
        <v>40422</v>
      </c>
      <c r="B348" s="10">
        <v>529216224</v>
      </c>
      <c r="C348" s="10">
        <v>33107566</v>
      </c>
      <c r="D348" s="10">
        <v>0</v>
      </c>
      <c r="E348" s="10">
        <v>370982645</v>
      </c>
      <c r="F348" s="10">
        <v>40773705</v>
      </c>
      <c r="G348" s="10">
        <v>84958144</v>
      </c>
      <c r="H348" s="10">
        <v>43240062</v>
      </c>
      <c r="I348" s="10">
        <v>2560567</v>
      </c>
      <c r="J348" s="10">
        <v>0</v>
      </c>
      <c r="K348" s="10">
        <v>56607245</v>
      </c>
      <c r="L348" s="10">
        <v>191998118</v>
      </c>
      <c r="M348" s="10">
        <v>17276019</v>
      </c>
      <c r="N348" s="10">
        <v>0</v>
      </c>
      <c r="O348" s="10">
        <v>0</v>
      </c>
      <c r="P348" s="10">
        <v>0</v>
      </c>
      <c r="Q348" s="10">
        <v>1370720295</v>
      </c>
    </row>
    <row r="349" spans="1:19" ht="10.5" customHeight="1">
      <c r="A349" s="8">
        <v>40452</v>
      </c>
      <c r="B349" s="10">
        <v>542709663</v>
      </c>
      <c r="C349" s="10">
        <v>38653906</v>
      </c>
      <c r="D349" s="10">
        <v>0</v>
      </c>
      <c r="E349" s="10">
        <v>354876297</v>
      </c>
      <c r="F349" s="10">
        <v>39274729</v>
      </c>
      <c r="G349" s="10">
        <v>95589552</v>
      </c>
      <c r="H349" s="10">
        <v>43378744</v>
      </c>
      <c r="I349" s="10">
        <v>2122775</v>
      </c>
      <c r="J349" s="10">
        <v>0</v>
      </c>
      <c r="K349" s="10">
        <v>-23041718</v>
      </c>
      <c r="L349" s="10">
        <v>225793598</v>
      </c>
      <c r="M349" s="10">
        <v>43794366</v>
      </c>
      <c r="N349" s="10">
        <v>0</v>
      </c>
      <c r="O349" s="10">
        <v>0</v>
      </c>
      <c r="P349" s="10">
        <v>0</v>
      </c>
      <c r="Q349" s="10">
        <v>1363151912</v>
      </c>
    </row>
    <row r="350" spans="1:19" ht="10.5" customHeight="1">
      <c r="A350" s="8">
        <v>40483</v>
      </c>
      <c r="B350" s="10">
        <v>551488008</v>
      </c>
      <c r="C350" s="10">
        <v>30750074</v>
      </c>
      <c r="D350" s="10">
        <v>0</v>
      </c>
      <c r="E350" s="10">
        <v>361097695</v>
      </c>
      <c r="F350" s="10">
        <v>38690351</v>
      </c>
      <c r="G350" s="10">
        <v>90252576</v>
      </c>
      <c r="H350" s="10">
        <v>71571869</v>
      </c>
      <c r="I350" s="10">
        <v>2759653</v>
      </c>
      <c r="J350" s="10">
        <v>0</v>
      </c>
      <c r="K350" s="10">
        <v>102996933</v>
      </c>
      <c r="L350" s="10">
        <v>143092834</v>
      </c>
      <c r="M350" s="10">
        <v>20670649</v>
      </c>
      <c r="N350" s="10">
        <v>0</v>
      </c>
      <c r="O350" s="10">
        <v>0</v>
      </c>
      <c r="P350" s="10">
        <v>0</v>
      </c>
      <c r="Q350" s="10">
        <v>1413370642</v>
      </c>
    </row>
    <row r="351" spans="1:19" ht="10.5" customHeight="1">
      <c r="A351" s="8">
        <v>40513</v>
      </c>
      <c r="B351" s="10">
        <v>596557250</v>
      </c>
      <c r="C351" s="10">
        <v>33800014</v>
      </c>
      <c r="D351" s="10">
        <v>0</v>
      </c>
      <c r="E351" s="10">
        <v>379939210</v>
      </c>
      <c r="F351" s="10">
        <v>70684901</v>
      </c>
      <c r="G351" s="10">
        <v>102813744</v>
      </c>
      <c r="H351" s="10">
        <v>2191566</v>
      </c>
      <c r="I351" s="10">
        <v>7996215</v>
      </c>
      <c r="J351" s="10">
        <v>0</v>
      </c>
      <c r="K351" s="10">
        <v>31748542</v>
      </c>
      <c r="L351" s="10">
        <v>317864445</v>
      </c>
      <c r="M351" s="10">
        <v>21726600</v>
      </c>
      <c r="N351" s="10">
        <v>0</v>
      </c>
      <c r="O351" s="10">
        <v>0</v>
      </c>
      <c r="P351" s="10">
        <v>0</v>
      </c>
      <c r="Q351" s="10">
        <v>1565322487</v>
      </c>
      <c r="S351" s="10"/>
    </row>
    <row r="352" spans="1:19" s="15" customFormat="1" ht="10.5" customHeight="1">
      <c r="A352" s="13">
        <v>40544</v>
      </c>
      <c r="B352" s="14">
        <v>610066162</v>
      </c>
      <c r="C352" s="14">
        <v>31804414</v>
      </c>
      <c r="D352" s="14">
        <v>0</v>
      </c>
      <c r="E352" s="14">
        <v>515342411</v>
      </c>
      <c r="F352" s="14">
        <v>77662346</v>
      </c>
      <c r="G352" s="14">
        <v>184015214</v>
      </c>
      <c r="H352" s="14">
        <v>200524402</v>
      </c>
      <c r="I352" s="14">
        <v>8743298</v>
      </c>
      <c r="J352" s="14">
        <v>0</v>
      </c>
      <c r="K352" s="14">
        <v>-294465394</v>
      </c>
      <c r="L352" s="14">
        <v>339805334</v>
      </c>
      <c r="M352" s="14">
        <v>23316693</v>
      </c>
      <c r="N352" s="14">
        <v>0</v>
      </c>
      <c r="O352" s="10">
        <v>0</v>
      </c>
      <c r="P352" s="14">
        <v>0</v>
      </c>
      <c r="Q352" s="14">
        <v>1696814880</v>
      </c>
      <c r="S352" s="14"/>
    </row>
    <row r="353" spans="1:19" ht="10.5" customHeight="1">
      <c r="A353" s="8">
        <v>40575</v>
      </c>
      <c r="B353" s="10">
        <v>743770230</v>
      </c>
      <c r="C353" s="10">
        <v>28241112</v>
      </c>
      <c r="D353" s="10">
        <v>0</v>
      </c>
      <c r="E353" s="10">
        <v>414796342</v>
      </c>
      <c r="F353" s="10">
        <v>29358188</v>
      </c>
      <c r="G353" s="10">
        <v>103677085</v>
      </c>
      <c r="H353" s="10">
        <v>2331454</v>
      </c>
      <c r="I353" s="10">
        <v>1783916</v>
      </c>
      <c r="J353" s="10">
        <v>0</v>
      </c>
      <c r="K353" s="10">
        <v>127312091</v>
      </c>
      <c r="L353" s="10">
        <v>181826992</v>
      </c>
      <c r="M353" s="10">
        <v>18916300</v>
      </c>
      <c r="N353" s="10">
        <v>0</v>
      </c>
      <c r="O353" s="10">
        <v>0</v>
      </c>
      <c r="P353" s="10">
        <v>0</v>
      </c>
      <c r="Q353" s="10">
        <v>1652013710</v>
      </c>
      <c r="S353" s="10"/>
    </row>
    <row r="354" spans="1:19" ht="10.5" customHeight="1">
      <c r="A354" s="8">
        <v>40603</v>
      </c>
      <c r="B354" s="10">
        <v>1039728927</v>
      </c>
      <c r="C354" s="10">
        <v>35753787</v>
      </c>
      <c r="D354" s="10">
        <v>0</v>
      </c>
      <c r="E354" s="10">
        <v>406297553</v>
      </c>
      <c r="F354" s="10">
        <v>30417663</v>
      </c>
      <c r="G354" s="10">
        <v>134475832</v>
      </c>
      <c r="H354" s="10">
        <v>172601164</v>
      </c>
      <c r="I354" s="10">
        <v>1604115</v>
      </c>
      <c r="J354" s="10">
        <v>0</v>
      </c>
      <c r="K354" s="10">
        <v>-560351326</v>
      </c>
      <c r="L354" s="10">
        <v>241685003</v>
      </c>
      <c r="M354" s="10">
        <v>15740650</v>
      </c>
      <c r="N354" s="10">
        <v>0</v>
      </c>
      <c r="O354" s="10">
        <v>0</v>
      </c>
      <c r="P354" s="10">
        <v>0</v>
      </c>
      <c r="Q354" s="10">
        <v>1517953368</v>
      </c>
      <c r="S354" s="10"/>
    </row>
    <row r="355" spans="1:19" ht="10.5" customHeight="1">
      <c r="A355" s="8">
        <v>40634</v>
      </c>
      <c r="B355" s="10">
        <v>681303238</v>
      </c>
      <c r="C355" s="10">
        <v>37195404</v>
      </c>
      <c r="D355" s="10">
        <v>0</v>
      </c>
      <c r="E355" s="10">
        <v>402362702</v>
      </c>
      <c r="F355" s="10">
        <v>46078928</v>
      </c>
      <c r="G355" s="10">
        <v>114519506</v>
      </c>
      <c r="H355" s="10">
        <v>70789079</v>
      </c>
      <c r="I355" s="10">
        <v>1151047</v>
      </c>
      <c r="J355" s="10">
        <v>0</v>
      </c>
      <c r="K355" s="10">
        <v>-90739936</v>
      </c>
      <c r="L355" s="10">
        <v>195953007</v>
      </c>
      <c r="M355" s="10">
        <v>19221122</v>
      </c>
      <c r="N355" s="10">
        <v>0</v>
      </c>
      <c r="O355" s="10">
        <v>0</v>
      </c>
      <c r="P355" s="10">
        <v>0</v>
      </c>
      <c r="Q355" s="10">
        <v>1477834097</v>
      </c>
      <c r="S355" s="10"/>
    </row>
    <row r="356" spans="1:19" ht="10.5" customHeight="1">
      <c r="A356" s="8">
        <v>40664</v>
      </c>
      <c r="B356" s="10">
        <v>698865188</v>
      </c>
      <c r="C356" s="10">
        <v>32260445</v>
      </c>
      <c r="D356" s="10">
        <v>0</v>
      </c>
      <c r="E356" s="10">
        <v>391692395</v>
      </c>
      <c r="F356" s="10">
        <v>40380470</v>
      </c>
      <c r="G356" s="10">
        <v>114858315</v>
      </c>
      <c r="H356" s="10">
        <v>53197177</v>
      </c>
      <c r="I356" s="10">
        <v>2266259</v>
      </c>
      <c r="J356" s="10">
        <v>0</v>
      </c>
      <c r="K356" s="10">
        <v>26059494</v>
      </c>
      <c r="L356" s="10">
        <v>188334391</v>
      </c>
      <c r="M356" s="10">
        <v>20593897</v>
      </c>
      <c r="N356" s="10">
        <v>0</v>
      </c>
      <c r="O356" s="10">
        <v>0</v>
      </c>
      <c r="P356" s="10">
        <v>0</v>
      </c>
      <c r="Q356" s="10">
        <v>1568508031</v>
      </c>
      <c r="S356" s="10"/>
    </row>
    <row r="357" spans="1:19" ht="10.5" customHeight="1">
      <c r="A357" s="8">
        <v>40695</v>
      </c>
      <c r="B357" s="10">
        <v>667989217</v>
      </c>
      <c r="C357" s="10">
        <v>35688172</v>
      </c>
      <c r="D357" s="10">
        <v>0</v>
      </c>
      <c r="E357" s="10">
        <v>394896294</v>
      </c>
      <c r="F357" s="10">
        <v>47979424</v>
      </c>
      <c r="G357" s="10">
        <v>98993752</v>
      </c>
      <c r="H357" s="10">
        <v>36729577</v>
      </c>
      <c r="I357" s="10">
        <v>2174086</v>
      </c>
      <c r="J357" s="10">
        <v>0</v>
      </c>
      <c r="K357" s="10">
        <v>65601109</v>
      </c>
      <c r="L357" s="10">
        <v>177257592</v>
      </c>
      <c r="M357" s="10">
        <v>19992412</v>
      </c>
      <c r="N357" s="10">
        <v>0</v>
      </c>
      <c r="O357" s="10">
        <v>0</v>
      </c>
      <c r="P357" s="10">
        <v>0</v>
      </c>
      <c r="Q357" s="10">
        <v>1547301635</v>
      </c>
      <c r="S357" s="10"/>
    </row>
    <row r="358" spans="1:19" ht="10.5" customHeight="1">
      <c r="A358" s="8">
        <v>40725</v>
      </c>
      <c r="B358" s="10">
        <v>641346586</v>
      </c>
      <c r="C358" s="10">
        <v>43586922</v>
      </c>
      <c r="D358" s="10">
        <v>0</v>
      </c>
      <c r="E358" s="10">
        <v>368072930</v>
      </c>
      <c r="F358" s="10">
        <v>51799628</v>
      </c>
      <c r="G358" s="10">
        <v>111021026</v>
      </c>
      <c r="H358" s="10">
        <v>38352894</v>
      </c>
      <c r="I358" s="10">
        <v>1456837</v>
      </c>
      <c r="J358" s="10">
        <v>0</v>
      </c>
      <c r="K358" s="10">
        <v>-146202139</v>
      </c>
      <c r="L358" s="10">
        <v>222733422</v>
      </c>
      <c r="M358" s="10">
        <v>19222094</v>
      </c>
      <c r="N358" s="10">
        <v>0</v>
      </c>
      <c r="O358" s="10">
        <v>0</v>
      </c>
      <c r="P358" s="10">
        <v>0</v>
      </c>
      <c r="Q358" s="10">
        <v>1351390200</v>
      </c>
      <c r="S358" s="10"/>
    </row>
    <row r="359" spans="1:19" ht="10.5" customHeight="1">
      <c r="A359" s="8">
        <v>40756</v>
      </c>
      <c r="B359" s="10">
        <v>634340439</v>
      </c>
      <c r="C359" s="10">
        <v>34966204</v>
      </c>
      <c r="D359" s="10">
        <v>0</v>
      </c>
      <c r="E359" s="10">
        <v>376098989</v>
      </c>
      <c r="F359" s="10">
        <v>47923294</v>
      </c>
      <c r="G359" s="10">
        <v>95993004</v>
      </c>
      <c r="H359" s="10">
        <v>42106604</v>
      </c>
      <c r="I359" s="10">
        <v>2060496</v>
      </c>
      <c r="J359" s="10">
        <v>0</v>
      </c>
      <c r="K359" s="10">
        <v>2170287</v>
      </c>
      <c r="L359" s="10">
        <v>216129392</v>
      </c>
      <c r="M359" s="10">
        <v>18547672</v>
      </c>
      <c r="N359" s="10">
        <v>0</v>
      </c>
      <c r="O359" s="10">
        <v>0</v>
      </c>
      <c r="P359" s="10">
        <v>0</v>
      </c>
      <c r="Q359" s="10">
        <v>1470336381</v>
      </c>
    </row>
    <row r="360" spans="1:19" ht="10.5" customHeight="1">
      <c r="A360" s="8">
        <v>40787</v>
      </c>
      <c r="B360" s="10">
        <v>634245459</v>
      </c>
      <c r="C360" s="10">
        <v>35419879</v>
      </c>
      <c r="D360" s="10">
        <v>0</v>
      </c>
      <c r="E360" s="10">
        <v>414920306</v>
      </c>
      <c r="F360" s="10">
        <v>43555140</v>
      </c>
      <c r="G360" s="10">
        <v>105224129</v>
      </c>
      <c r="H360" s="10">
        <v>41424866</v>
      </c>
      <c r="I360" s="10">
        <v>2232876</v>
      </c>
      <c r="J360" s="10">
        <v>0</v>
      </c>
      <c r="K360" s="10">
        <v>-2650513</v>
      </c>
      <c r="L360" s="10">
        <v>229996512</v>
      </c>
      <c r="M360" s="10">
        <v>19460496</v>
      </c>
      <c r="N360" s="10">
        <v>0</v>
      </c>
      <c r="O360" s="10">
        <v>0</v>
      </c>
      <c r="P360" s="10">
        <v>0</v>
      </c>
      <c r="Q360" s="10">
        <v>1523829150</v>
      </c>
    </row>
    <row r="361" spans="1:19" ht="10.5" customHeight="1">
      <c r="A361" s="8">
        <v>40817</v>
      </c>
      <c r="B361" s="10">
        <v>675831743</v>
      </c>
      <c r="C361" s="10">
        <v>32386166</v>
      </c>
      <c r="D361" s="10">
        <v>0</v>
      </c>
      <c r="E361" s="10">
        <v>422644825</v>
      </c>
      <c r="F361" s="10">
        <v>43459334</v>
      </c>
      <c r="G361" s="10">
        <v>122789708</v>
      </c>
      <c r="H361" s="10">
        <v>48919867</v>
      </c>
      <c r="I361" s="10">
        <v>2716414</v>
      </c>
      <c r="J361" s="10">
        <v>0</v>
      </c>
      <c r="K361" s="10">
        <v>-80391559</v>
      </c>
      <c r="L361" s="10">
        <v>236657542</v>
      </c>
      <c r="M361" s="10">
        <v>22155212</v>
      </c>
      <c r="N361" s="10">
        <v>0</v>
      </c>
      <c r="O361" s="10">
        <v>0</v>
      </c>
      <c r="P361" s="10">
        <v>0</v>
      </c>
      <c r="Q361" s="10">
        <v>1527169252</v>
      </c>
    </row>
    <row r="362" spans="1:19" ht="10.5" customHeight="1">
      <c r="A362" s="8">
        <v>40848</v>
      </c>
      <c r="B362" s="10">
        <v>722859107</v>
      </c>
      <c r="C362" s="10">
        <v>36068450</v>
      </c>
      <c r="D362" s="10">
        <v>0</v>
      </c>
      <c r="E362" s="10">
        <v>395204100</v>
      </c>
      <c r="F362" s="10">
        <v>47257106</v>
      </c>
      <c r="G362" s="10">
        <v>125420268</v>
      </c>
      <c r="H362" s="10">
        <v>83725927</v>
      </c>
      <c r="I362" s="10">
        <v>3563221</v>
      </c>
      <c r="J362" s="10">
        <v>0</v>
      </c>
      <c r="K362" s="10">
        <v>120439205</v>
      </c>
      <c r="L362" s="10">
        <v>214373051</v>
      </c>
      <c r="M362" s="10">
        <v>21411461</v>
      </c>
      <c r="N362" s="10">
        <v>0</v>
      </c>
      <c r="O362" s="10">
        <v>0</v>
      </c>
      <c r="P362" s="10">
        <v>0</v>
      </c>
      <c r="Q362" s="10">
        <v>1770321896</v>
      </c>
    </row>
    <row r="363" spans="1:19" ht="10.5" customHeight="1">
      <c r="A363" s="8">
        <v>40878</v>
      </c>
      <c r="B363" s="10">
        <v>696327246</v>
      </c>
      <c r="C363" s="10">
        <v>36369018</v>
      </c>
      <c r="D363" s="10">
        <v>0</v>
      </c>
      <c r="E363" s="10">
        <v>422680152</v>
      </c>
      <c r="F363" s="10">
        <v>77560116</v>
      </c>
      <c r="G363" s="10">
        <v>140341528</v>
      </c>
      <c r="H363" s="10">
        <v>104756006</v>
      </c>
      <c r="I363" s="10">
        <v>8648704</v>
      </c>
      <c r="J363" s="10">
        <v>0</v>
      </c>
      <c r="K363" s="10">
        <v>-19205067</v>
      </c>
      <c r="L363" s="10">
        <v>265201140</v>
      </c>
      <c r="M363" s="10">
        <v>26470919</v>
      </c>
      <c r="N363" s="10">
        <v>0</v>
      </c>
      <c r="O363" s="10">
        <v>0</v>
      </c>
      <c r="P363" s="10">
        <v>0</v>
      </c>
      <c r="Q363" s="10">
        <v>1759149762</v>
      </c>
    </row>
    <row r="364" spans="1:19" s="15" customFormat="1" ht="10.5" customHeight="1">
      <c r="A364" s="13">
        <v>40909</v>
      </c>
      <c r="B364" s="14">
        <v>757902478</v>
      </c>
      <c r="C364" s="14">
        <v>36456582</v>
      </c>
      <c r="D364" s="14">
        <v>0</v>
      </c>
      <c r="E364" s="14">
        <v>458112394</v>
      </c>
      <c r="F364" s="14">
        <v>97523274</v>
      </c>
      <c r="G364" s="14">
        <v>172292204</v>
      </c>
      <c r="H364" s="14">
        <v>134821375</v>
      </c>
      <c r="I364" s="14">
        <v>9806554</v>
      </c>
      <c r="J364" s="14">
        <v>0</v>
      </c>
      <c r="K364" s="14">
        <v>-115143559</v>
      </c>
      <c r="L364" s="14">
        <v>314871888</v>
      </c>
      <c r="M364" s="14">
        <v>25487426</v>
      </c>
      <c r="N364" s="14">
        <v>0</v>
      </c>
      <c r="O364" s="10">
        <v>0</v>
      </c>
      <c r="P364" s="14">
        <v>0</v>
      </c>
      <c r="Q364" s="14">
        <v>1892130616</v>
      </c>
    </row>
    <row r="365" spans="1:19" ht="10.5" customHeight="1">
      <c r="A365" s="8">
        <v>40940</v>
      </c>
      <c r="B365" s="10">
        <v>871703324</v>
      </c>
      <c r="C365" s="10">
        <v>38105019</v>
      </c>
      <c r="D365" s="10">
        <v>0</v>
      </c>
      <c r="E365" s="10">
        <v>435921915</v>
      </c>
      <c r="F365" s="10">
        <v>31636572</v>
      </c>
      <c r="G365" s="10">
        <v>127712877</v>
      </c>
      <c r="H365" s="10">
        <v>87839841</v>
      </c>
      <c r="I365" s="10">
        <v>1855351</v>
      </c>
      <c r="J365" s="10">
        <v>0</v>
      </c>
      <c r="K365" s="10">
        <v>274062283</v>
      </c>
      <c r="L365" s="10">
        <v>110858253</v>
      </c>
      <c r="M365" s="10">
        <v>20894364</v>
      </c>
      <c r="N365" s="10">
        <v>0</v>
      </c>
      <c r="O365" s="10">
        <v>0</v>
      </c>
      <c r="P365" s="10">
        <v>0</v>
      </c>
      <c r="Q365" s="10">
        <v>2000589799</v>
      </c>
    </row>
    <row r="366" spans="1:19" ht="10.5" customHeight="1">
      <c r="A366" s="8">
        <v>40969</v>
      </c>
      <c r="B366" s="10">
        <v>841127905</v>
      </c>
      <c r="C366" s="10">
        <v>31909807</v>
      </c>
      <c r="D366" s="10">
        <v>0</v>
      </c>
      <c r="E366" s="10">
        <v>436767700</v>
      </c>
      <c r="F366" s="10">
        <v>34969398</v>
      </c>
      <c r="G366" s="10">
        <v>146395801</v>
      </c>
      <c r="H366" s="10">
        <v>76505178</v>
      </c>
      <c r="I366" s="10">
        <v>1249321</v>
      </c>
      <c r="J366" s="10">
        <v>0</v>
      </c>
      <c r="K366" s="10">
        <v>-86042241</v>
      </c>
      <c r="L366" s="10">
        <v>270996847</v>
      </c>
      <c r="M366" s="10">
        <v>19403915</v>
      </c>
      <c r="N366" s="10">
        <v>0</v>
      </c>
      <c r="O366" s="10">
        <v>0</v>
      </c>
      <c r="P366" s="10">
        <v>0</v>
      </c>
      <c r="Q366" s="10">
        <v>1773283631</v>
      </c>
    </row>
    <row r="367" spans="1:19" ht="10.5" customHeight="1">
      <c r="A367" s="8">
        <v>41000</v>
      </c>
      <c r="B367" s="10">
        <v>812556953</v>
      </c>
      <c r="C367" s="10">
        <v>52227294</v>
      </c>
      <c r="D367" s="10">
        <v>0</v>
      </c>
      <c r="E367" s="10">
        <v>481677603</v>
      </c>
      <c r="F367" s="10">
        <v>52329513</v>
      </c>
      <c r="G367" s="10">
        <v>146411390</v>
      </c>
      <c r="H367" s="10">
        <v>75839920</v>
      </c>
      <c r="I367" s="10">
        <v>1555386</v>
      </c>
      <c r="J367" s="10">
        <v>0</v>
      </c>
      <c r="K367" s="10">
        <v>-115703457</v>
      </c>
      <c r="L367" s="10">
        <v>254734990</v>
      </c>
      <c r="M367" s="10">
        <v>19942293</v>
      </c>
      <c r="N367" s="10">
        <v>0</v>
      </c>
      <c r="O367" s="10">
        <v>0</v>
      </c>
      <c r="P367" s="10">
        <v>0</v>
      </c>
      <c r="Q367" s="10">
        <v>1781571885</v>
      </c>
    </row>
    <row r="368" spans="1:19" ht="10.5" customHeight="1">
      <c r="A368" s="8">
        <v>41030</v>
      </c>
      <c r="B368" s="10">
        <v>792946773</v>
      </c>
      <c r="C368" s="10">
        <v>40570615</v>
      </c>
      <c r="D368" s="10">
        <v>0</v>
      </c>
      <c r="E368" s="10">
        <v>301821707</v>
      </c>
      <c r="F368" s="10">
        <v>47649520</v>
      </c>
      <c r="G368" s="10">
        <v>141595984</v>
      </c>
      <c r="H368" s="10">
        <v>52076204</v>
      </c>
      <c r="I368" s="10">
        <v>1946512</v>
      </c>
      <c r="J368" s="10">
        <v>0</v>
      </c>
      <c r="K368" s="10">
        <v>130175023</v>
      </c>
      <c r="L368" s="10">
        <v>157069949</v>
      </c>
      <c r="M368" s="10">
        <v>23755114</v>
      </c>
      <c r="N368" s="10">
        <v>0</v>
      </c>
      <c r="O368" s="10">
        <v>0</v>
      </c>
      <c r="P368" s="10">
        <v>0</v>
      </c>
      <c r="Q368" s="10">
        <v>1689607401</v>
      </c>
    </row>
    <row r="369" spans="1:17" ht="10.5" customHeight="1">
      <c r="A369" s="8">
        <v>41061</v>
      </c>
      <c r="B369" s="10">
        <v>725584979</v>
      </c>
      <c r="C369" s="10">
        <v>41544228</v>
      </c>
      <c r="D369" s="10">
        <v>0</v>
      </c>
      <c r="E369" s="10">
        <v>461050669</v>
      </c>
      <c r="F369" s="10">
        <v>51705793</v>
      </c>
      <c r="G369" s="10">
        <v>120817297</v>
      </c>
      <c r="H369" s="10">
        <v>46375665</v>
      </c>
      <c r="I369" s="10">
        <v>3128594</v>
      </c>
      <c r="J369" s="10">
        <v>0</v>
      </c>
      <c r="K369" s="10">
        <v>-203952554</v>
      </c>
      <c r="L369" s="10">
        <v>222699721</v>
      </c>
      <c r="M369" s="10">
        <v>24929740</v>
      </c>
      <c r="N369" s="10">
        <v>0</v>
      </c>
      <c r="O369" s="10">
        <v>0</v>
      </c>
      <c r="P369" s="10">
        <v>0</v>
      </c>
      <c r="Q369" s="10">
        <v>1493884132</v>
      </c>
    </row>
    <row r="370" spans="1:17" ht="10.5" customHeight="1">
      <c r="A370" s="8">
        <v>41091</v>
      </c>
      <c r="B370" s="10">
        <v>711185333</v>
      </c>
      <c r="C370" s="10">
        <v>43013052</v>
      </c>
      <c r="D370" s="10">
        <v>0</v>
      </c>
      <c r="E370" s="10">
        <v>313369713</v>
      </c>
      <c r="F370" s="10">
        <v>65535546</v>
      </c>
      <c r="G370" s="10">
        <v>108771434</v>
      </c>
      <c r="H370" s="10">
        <v>48117643</v>
      </c>
      <c r="I370" s="10">
        <v>1708405</v>
      </c>
      <c r="J370" s="10">
        <v>0</v>
      </c>
      <c r="K370" s="10">
        <v>-48186494</v>
      </c>
      <c r="L370" s="10">
        <v>185968260</v>
      </c>
      <c r="M370" s="10">
        <v>21725365</v>
      </c>
      <c r="N370" s="10">
        <v>0</v>
      </c>
      <c r="O370" s="10">
        <v>0</v>
      </c>
      <c r="P370" s="10">
        <v>0</v>
      </c>
      <c r="Q370" s="10">
        <v>1451208257</v>
      </c>
    </row>
    <row r="371" spans="1:17" ht="10.5" customHeight="1">
      <c r="A371" s="8">
        <v>41122</v>
      </c>
      <c r="B371" s="10">
        <v>693873266</v>
      </c>
      <c r="C371" s="10">
        <v>39788337</v>
      </c>
      <c r="D371" s="10">
        <v>0</v>
      </c>
      <c r="E371" s="10">
        <v>376852265</v>
      </c>
      <c r="F371" s="10">
        <v>48500372</v>
      </c>
      <c r="G371" s="10">
        <v>109139026</v>
      </c>
      <c r="H371" s="10">
        <v>43375004</v>
      </c>
      <c r="I371" s="10">
        <v>2703731</v>
      </c>
      <c r="J371" s="10">
        <v>0</v>
      </c>
      <c r="K371" s="10">
        <v>-42950005</v>
      </c>
      <c r="L371" s="10">
        <v>307531462</v>
      </c>
      <c r="M371" s="10">
        <v>22360809</v>
      </c>
      <c r="N371" s="10">
        <v>0</v>
      </c>
      <c r="O371" s="10">
        <v>0</v>
      </c>
      <c r="P371" s="10">
        <v>0</v>
      </c>
      <c r="Q371" s="10">
        <v>1601174267</v>
      </c>
    </row>
    <row r="372" spans="1:17" ht="10.5" customHeight="1">
      <c r="A372" s="8">
        <v>41153</v>
      </c>
      <c r="B372" s="10">
        <v>722335883</v>
      </c>
      <c r="C372" s="10">
        <v>35650769</v>
      </c>
      <c r="D372" s="10">
        <v>0</v>
      </c>
      <c r="E372" s="10">
        <v>374483820</v>
      </c>
      <c r="F372" s="10">
        <v>44386564</v>
      </c>
      <c r="G372" s="10">
        <v>116605891</v>
      </c>
      <c r="H372" s="10">
        <v>50108513</v>
      </c>
      <c r="I372" s="10">
        <v>2045746</v>
      </c>
      <c r="J372" s="10">
        <v>0</v>
      </c>
      <c r="K372" s="10">
        <v>137246097</v>
      </c>
      <c r="L372" s="10">
        <v>245224164</v>
      </c>
      <c r="M372" s="10">
        <v>22222756</v>
      </c>
      <c r="N372" s="10">
        <v>0</v>
      </c>
      <c r="O372" s="10">
        <v>0</v>
      </c>
      <c r="P372" s="10">
        <v>0</v>
      </c>
      <c r="Q372" s="10">
        <v>1750310203</v>
      </c>
    </row>
    <row r="373" spans="1:17" ht="10.5" customHeight="1">
      <c r="A373" s="8">
        <v>41183</v>
      </c>
      <c r="B373" s="10">
        <v>707691739</v>
      </c>
      <c r="C373" s="10">
        <v>41078110</v>
      </c>
      <c r="D373" s="10">
        <v>0</v>
      </c>
      <c r="E373" s="10">
        <v>325224047</v>
      </c>
      <c r="F373" s="10">
        <v>42004909</v>
      </c>
      <c r="G373" s="10">
        <v>132638860</v>
      </c>
      <c r="H373" s="10">
        <v>59097240</v>
      </c>
      <c r="I373" s="10">
        <v>1946343</v>
      </c>
      <c r="J373" s="10">
        <v>0</v>
      </c>
      <c r="K373" s="10">
        <v>-73151462</v>
      </c>
      <c r="L373" s="10">
        <v>584581042</v>
      </c>
      <c r="M373" s="10">
        <v>21998989</v>
      </c>
      <c r="N373" s="10">
        <v>0</v>
      </c>
      <c r="O373" s="10">
        <v>0</v>
      </c>
      <c r="P373" s="10">
        <v>0</v>
      </c>
      <c r="Q373" s="10">
        <v>1843109817</v>
      </c>
    </row>
    <row r="374" spans="1:17" ht="10.5" customHeight="1">
      <c r="A374" s="8">
        <v>41214</v>
      </c>
      <c r="B374" s="10">
        <v>733898608</v>
      </c>
      <c r="C374" s="10">
        <v>37443020</v>
      </c>
      <c r="D374" s="10">
        <v>0</v>
      </c>
      <c r="E374" s="10">
        <v>416928969</v>
      </c>
      <c r="F374" s="10">
        <v>55170913</v>
      </c>
      <c r="G374" s="10">
        <v>144319218</v>
      </c>
      <c r="H374" s="10">
        <v>95150590</v>
      </c>
      <c r="I374" s="10">
        <v>2445569</v>
      </c>
      <c r="J374" s="10">
        <v>0</v>
      </c>
      <c r="K374" s="10">
        <v>-135398516</v>
      </c>
      <c r="L374" s="10">
        <v>201483392</v>
      </c>
      <c r="M374" s="10">
        <v>24783885</v>
      </c>
      <c r="N374" s="10">
        <v>0</v>
      </c>
      <c r="O374" s="10">
        <v>0</v>
      </c>
      <c r="P374" s="10">
        <v>0</v>
      </c>
      <c r="Q374" s="10">
        <v>1576225648</v>
      </c>
    </row>
    <row r="375" spans="1:17" ht="10.5" customHeight="1">
      <c r="A375" s="8">
        <v>41244</v>
      </c>
      <c r="B375" s="10">
        <v>775717279</v>
      </c>
      <c r="C375" s="10">
        <v>42315010</v>
      </c>
      <c r="D375" s="10">
        <v>0</v>
      </c>
      <c r="E375" s="10">
        <v>385382112</v>
      </c>
      <c r="F375" s="10">
        <v>193664503</v>
      </c>
      <c r="G375" s="10">
        <v>51656611</v>
      </c>
      <c r="H375" s="10">
        <v>125881364</v>
      </c>
      <c r="I375" s="10">
        <v>4451522</v>
      </c>
      <c r="J375" s="10">
        <v>0</v>
      </c>
      <c r="K375" s="10">
        <v>139132060</v>
      </c>
      <c r="L375" s="10">
        <v>169397866</v>
      </c>
      <c r="M375" s="10">
        <v>27894948</v>
      </c>
      <c r="N375" s="10">
        <v>0</v>
      </c>
      <c r="O375" s="10">
        <v>0</v>
      </c>
      <c r="P375" s="10">
        <v>0</v>
      </c>
      <c r="Q375" s="10">
        <v>1915493275</v>
      </c>
    </row>
    <row r="376" spans="1:17" s="15" customFormat="1" ht="10.5" customHeight="1">
      <c r="A376" s="13">
        <v>41275</v>
      </c>
      <c r="B376" s="14">
        <v>831920401</v>
      </c>
      <c r="C376" s="14">
        <v>37796819</v>
      </c>
      <c r="D376" s="14">
        <v>0</v>
      </c>
      <c r="E376" s="14">
        <v>500738749</v>
      </c>
      <c r="F376" s="14">
        <v>109141927</v>
      </c>
      <c r="G376" s="14">
        <v>203237284</v>
      </c>
      <c r="H376" s="14">
        <v>162559528</v>
      </c>
      <c r="I376" s="14">
        <v>2964297</v>
      </c>
      <c r="J376" s="14">
        <v>0</v>
      </c>
      <c r="K376" s="14">
        <v>-84638854</v>
      </c>
      <c r="L376" s="14">
        <v>366005453</v>
      </c>
      <c r="M376" s="14">
        <v>24976041</v>
      </c>
      <c r="N376" s="14">
        <v>0</v>
      </c>
      <c r="O376" s="10">
        <v>0</v>
      </c>
      <c r="P376" s="14">
        <v>0</v>
      </c>
      <c r="Q376" s="14">
        <v>2154701645</v>
      </c>
    </row>
    <row r="377" spans="1:17" ht="10.5" customHeight="1">
      <c r="A377" s="8">
        <v>41306</v>
      </c>
      <c r="B377" s="10">
        <v>867935415</v>
      </c>
      <c r="C377" s="10">
        <v>34666972</v>
      </c>
      <c r="D377" s="10">
        <v>0</v>
      </c>
      <c r="E377" s="10">
        <v>408889490</v>
      </c>
      <c r="F377" s="10">
        <v>47048048</v>
      </c>
      <c r="G377" s="10">
        <v>183020013</v>
      </c>
      <c r="H377" s="10">
        <v>92889142</v>
      </c>
      <c r="I377" s="10">
        <v>1426915</v>
      </c>
      <c r="J377" s="10">
        <v>0</v>
      </c>
      <c r="K377" s="10">
        <v>16123170</v>
      </c>
      <c r="L377" s="10">
        <v>205163223</v>
      </c>
      <c r="M377" s="10">
        <v>13992273</v>
      </c>
      <c r="N377" s="10">
        <v>0</v>
      </c>
      <c r="O377" s="10">
        <v>0</v>
      </c>
      <c r="P377" s="10">
        <v>0</v>
      </c>
      <c r="Q377" s="10">
        <v>1871154661</v>
      </c>
    </row>
    <row r="378" spans="1:17" ht="10.5" customHeight="1">
      <c r="A378" s="8">
        <v>41334</v>
      </c>
      <c r="B378" s="10">
        <v>910006477</v>
      </c>
      <c r="C378" s="10">
        <v>35078200</v>
      </c>
      <c r="D378" s="10">
        <v>0</v>
      </c>
      <c r="E378" s="10">
        <v>380486540</v>
      </c>
      <c r="F378" s="10">
        <v>39096363</v>
      </c>
      <c r="G378" s="10">
        <v>122046539</v>
      </c>
      <c r="H378" s="10">
        <v>85282152</v>
      </c>
      <c r="I378" s="10">
        <v>875298</v>
      </c>
      <c r="J378" s="10">
        <v>0</v>
      </c>
      <c r="K378" s="10">
        <f>-158963797+2300</f>
        <v>-158961497</v>
      </c>
      <c r="L378" s="10">
        <v>215396303</v>
      </c>
      <c r="M378" s="10">
        <v>10038105</v>
      </c>
      <c r="N378" s="10">
        <v>0</v>
      </c>
      <c r="O378" s="10">
        <v>0</v>
      </c>
      <c r="P378" s="10">
        <v>0</v>
      </c>
      <c r="Q378" s="10">
        <v>1639344480</v>
      </c>
    </row>
    <row r="379" spans="1:17" ht="10.5" customHeight="1">
      <c r="A379" s="8">
        <v>41365</v>
      </c>
      <c r="B379" s="10">
        <v>835025166</v>
      </c>
      <c r="C379" s="10">
        <v>36920665</v>
      </c>
      <c r="D379" s="10">
        <v>0</v>
      </c>
      <c r="E379" s="10">
        <v>404036474</v>
      </c>
      <c r="F379" s="10">
        <v>122501317</v>
      </c>
      <c r="G379" s="10">
        <v>74192577</v>
      </c>
      <c r="H379" s="10">
        <v>58556925</v>
      </c>
      <c r="I379" s="10">
        <v>1591667</v>
      </c>
      <c r="J379" s="10">
        <v>0</v>
      </c>
      <c r="K379" s="10">
        <v>143357565</v>
      </c>
      <c r="L379" s="10">
        <v>245854405</v>
      </c>
      <c r="M379" s="10">
        <v>12191135</v>
      </c>
      <c r="N379" s="10">
        <v>0</v>
      </c>
      <c r="O379" s="10">
        <v>0</v>
      </c>
      <c r="P379" s="10">
        <v>0</v>
      </c>
      <c r="Q379" s="10">
        <v>1934227896</v>
      </c>
    </row>
    <row r="380" spans="1:17" ht="10.5" customHeight="1">
      <c r="A380" s="8">
        <v>41395</v>
      </c>
      <c r="B380" s="10">
        <v>874412089</v>
      </c>
      <c r="C380" s="10">
        <v>47246664</v>
      </c>
      <c r="D380" s="10">
        <v>0</v>
      </c>
      <c r="E380" s="10">
        <v>425753721</v>
      </c>
      <c r="F380" s="10">
        <v>34081990</v>
      </c>
      <c r="G380" s="10">
        <v>126743841</v>
      </c>
      <c r="H380" s="10">
        <v>50546496</v>
      </c>
      <c r="I380" s="10">
        <v>1706263</v>
      </c>
      <c r="J380" s="10">
        <v>0</v>
      </c>
      <c r="K380" s="10">
        <v>179222151</v>
      </c>
      <c r="L380" s="10">
        <v>187926760</v>
      </c>
      <c r="M380" s="10">
        <v>15833333</v>
      </c>
      <c r="N380" s="10">
        <v>0</v>
      </c>
      <c r="O380" s="10">
        <v>0</v>
      </c>
      <c r="P380" s="10">
        <v>0</v>
      </c>
      <c r="Q380" s="10">
        <v>1943473308</v>
      </c>
    </row>
    <row r="381" spans="1:17" ht="10.5" customHeight="1">
      <c r="A381" s="8">
        <v>41426</v>
      </c>
      <c r="B381" s="10">
        <v>859869533</v>
      </c>
      <c r="C381" s="10">
        <v>46935116</v>
      </c>
      <c r="D381" s="10">
        <v>0</v>
      </c>
      <c r="E381" s="10">
        <v>362374925</v>
      </c>
      <c r="F381" s="10">
        <v>76435689</v>
      </c>
      <c r="G381" s="10">
        <v>116330218</v>
      </c>
      <c r="H381" s="10">
        <v>54985632</v>
      </c>
      <c r="I381" s="10">
        <v>1661350</v>
      </c>
      <c r="J381" s="10">
        <v>0</v>
      </c>
      <c r="K381" s="10">
        <v>-398590968</v>
      </c>
      <c r="L381" s="10">
        <v>273446504</v>
      </c>
      <c r="M381" s="10">
        <v>15107764</v>
      </c>
      <c r="N381" s="10">
        <v>0</v>
      </c>
      <c r="O381" s="10">
        <v>0</v>
      </c>
      <c r="P381" s="10">
        <v>0</v>
      </c>
      <c r="Q381" s="10">
        <v>1408555763</v>
      </c>
    </row>
    <row r="382" spans="1:17" ht="10.5" customHeight="1">
      <c r="A382" s="8">
        <v>41456</v>
      </c>
      <c r="B382" s="10">
        <v>834411481</v>
      </c>
      <c r="C382" s="10">
        <v>35692722</v>
      </c>
      <c r="D382" s="10">
        <v>0</v>
      </c>
      <c r="E382" s="10">
        <v>331125078</v>
      </c>
      <c r="F382" s="10">
        <v>62610543</v>
      </c>
      <c r="G382" s="10">
        <v>114190438</v>
      </c>
      <c r="H382" s="10">
        <v>59471053</v>
      </c>
      <c r="I382" s="10">
        <v>2957530</v>
      </c>
      <c r="J382" s="10">
        <v>0</v>
      </c>
      <c r="K382" s="10">
        <v>161498282</v>
      </c>
      <c r="L382" s="10">
        <v>294284316</v>
      </c>
      <c r="M382" s="10">
        <v>12000754</v>
      </c>
      <c r="N382" s="10">
        <v>0</v>
      </c>
      <c r="O382" s="10">
        <v>0</v>
      </c>
      <c r="P382" s="10">
        <v>0</v>
      </c>
      <c r="Q382" s="10">
        <v>1908242197</v>
      </c>
    </row>
    <row r="383" spans="1:17" ht="10.5" customHeight="1">
      <c r="A383" s="8">
        <v>41487</v>
      </c>
      <c r="B383" s="10">
        <v>771896939</v>
      </c>
      <c r="C383" s="10">
        <v>36868798</v>
      </c>
      <c r="D383" s="10">
        <v>0</v>
      </c>
      <c r="E383" s="10">
        <v>370968140</v>
      </c>
      <c r="F383" s="10">
        <v>65742841</v>
      </c>
      <c r="G383" s="10">
        <v>124396333</v>
      </c>
      <c r="H383" s="10">
        <v>54424438</v>
      </c>
      <c r="I383" s="10">
        <v>2156371</v>
      </c>
      <c r="J383" s="10">
        <v>0</v>
      </c>
      <c r="K383" s="10">
        <v>-262178798</v>
      </c>
      <c r="L383" s="10">
        <v>305586895</v>
      </c>
      <c r="M383" s="10">
        <v>12713072</v>
      </c>
      <c r="N383" s="10">
        <v>0</v>
      </c>
      <c r="O383" s="10">
        <v>0</v>
      </c>
      <c r="P383" s="10">
        <v>0</v>
      </c>
      <c r="Q383" s="10">
        <v>1482575029</v>
      </c>
    </row>
    <row r="384" spans="1:17" ht="10.5" customHeight="1">
      <c r="A384" s="8">
        <v>41518</v>
      </c>
      <c r="B384" s="10">
        <v>850557044</v>
      </c>
      <c r="C384" s="10">
        <v>44408730</v>
      </c>
      <c r="D384" s="10">
        <v>0</v>
      </c>
      <c r="E384" s="10">
        <v>373023462</v>
      </c>
      <c r="F384" s="10">
        <v>53193057</v>
      </c>
      <c r="G384" s="10">
        <v>143127921</v>
      </c>
      <c r="H384" s="10">
        <v>53912460</v>
      </c>
      <c r="I384" s="10">
        <v>2635377</v>
      </c>
      <c r="J384" s="10">
        <v>0</v>
      </c>
      <c r="K384" s="10">
        <v>-111816037</v>
      </c>
      <c r="L384" s="10">
        <v>350407209</v>
      </c>
      <c r="M384" s="10">
        <v>15017889</v>
      </c>
      <c r="N384" s="10">
        <v>0</v>
      </c>
      <c r="O384" s="10">
        <v>0</v>
      </c>
      <c r="P384" s="10">
        <v>0</v>
      </c>
      <c r="Q384" s="10">
        <v>1774467112</v>
      </c>
    </row>
    <row r="385" spans="1:17" ht="10.5" customHeight="1">
      <c r="A385" s="8">
        <v>41548</v>
      </c>
      <c r="B385" s="10">
        <v>900115679</v>
      </c>
      <c r="C385" s="10">
        <v>42925023</v>
      </c>
      <c r="D385" s="10">
        <v>0</v>
      </c>
      <c r="E385" s="10">
        <v>410882538</v>
      </c>
      <c r="F385" s="10">
        <v>64917280</v>
      </c>
      <c r="G385" s="10">
        <v>147101938</v>
      </c>
      <c r="H385" s="10">
        <v>51992916</v>
      </c>
      <c r="I385" s="10">
        <v>3459444</v>
      </c>
      <c r="J385" s="10">
        <v>0</v>
      </c>
      <c r="K385" s="10">
        <v>601676778</v>
      </c>
      <c r="L385" s="10">
        <v>271776483</v>
      </c>
      <c r="M385" s="10">
        <v>16636076</v>
      </c>
      <c r="N385" s="10">
        <v>0</v>
      </c>
      <c r="O385" s="10">
        <v>0</v>
      </c>
      <c r="P385" s="10">
        <v>0</v>
      </c>
      <c r="Q385" s="10">
        <v>2511484155</v>
      </c>
    </row>
    <row r="386" spans="1:17" ht="10.5" customHeight="1">
      <c r="A386" s="8">
        <v>41579</v>
      </c>
      <c r="B386" s="10">
        <v>774070013</v>
      </c>
      <c r="C386" s="10">
        <v>44845257</v>
      </c>
      <c r="D386" s="10">
        <v>0</v>
      </c>
      <c r="E386" s="10">
        <v>405129279</v>
      </c>
      <c r="F386" s="10">
        <v>50636294</v>
      </c>
      <c r="G386" s="10">
        <v>166520994</v>
      </c>
      <c r="H386" s="10">
        <v>71135493</v>
      </c>
      <c r="I386" s="10">
        <v>4391565</v>
      </c>
      <c r="J386" s="10">
        <v>0</v>
      </c>
      <c r="K386" s="10">
        <v>-97763248</v>
      </c>
      <c r="L386" s="10">
        <v>328540877</v>
      </c>
      <c r="M386" s="10">
        <v>15597947</v>
      </c>
      <c r="N386" s="10">
        <v>0</v>
      </c>
      <c r="O386" s="10">
        <v>0</v>
      </c>
      <c r="P386" s="10">
        <v>0</v>
      </c>
      <c r="Q386" s="10">
        <v>1763104471</v>
      </c>
    </row>
    <row r="387" spans="1:17" ht="10.5" customHeight="1">
      <c r="A387" s="8">
        <v>41609</v>
      </c>
      <c r="B387" s="10">
        <v>958388544</v>
      </c>
      <c r="C387" s="10">
        <v>45796034</v>
      </c>
      <c r="D387" s="10">
        <v>0</v>
      </c>
      <c r="E387" s="10">
        <v>382048466</v>
      </c>
      <c r="F387" s="10">
        <v>85911922</v>
      </c>
      <c r="G387" s="10">
        <v>197571259</v>
      </c>
      <c r="H387" s="10">
        <v>228337760</v>
      </c>
      <c r="I387" s="10">
        <v>3333719</v>
      </c>
      <c r="J387" s="10">
        <v>0</v>
      </c>
      <c r="K387" s="10">
        <v>29605913</v>
      </c>
      <c r="L387" s="10">
        <v>343846809</v>
      </c>
      <c r="M387" s="10">
        <v>18678612</v>
      </c>
      <c r="N387" s="10">
        <v>0</v>
      </c>
      <c r="O387" s="10">
        <v>0</v>
      </c>
      <c r="P387" s="10">
        <v>0</v>
      </c>
      <c r="Q387" s="10">
        <v>2293519038</v>
      </c>
    </row>
    <row r="388" spans="1:17" s="15" customFormat="1" ht="10.5" customHeight="1">
      <c r="A388" s="13">
        <v>41640</v>
      </c>
      <c r="B388" s="14">
        <v>886285815</v>
      </c>
      <c r="C388" s="14">
        <v>35825014</v>
      </c>
      <c r="D388" s="14">
        <v>0</v>
      </c>
      <c r="E388" s="14">
        <v>502110890</v>
      </c>
      <c r="F388" s="14">
        <v>112699161</v>
      </c>
      <c r="G388" s="14">
        <v>219374382</v>
      </c>
      <c r="H388" s="14">
        <v>170279482</v>
      </c>
      <c r="I388" s="14">
        <v>9290667</v>
      </c>
      <c r="J388" s="14">
        <v>0</v>
      </c>
      <c r="K388" s="14">
        <v>80049238</v>
      </c>
      <c r="L388" s="14">
        <v>408998158</v>
      </c>
      <c r="M388" s="14">
        <v>16689286</v>
      </c>
      <c r="N388" s="14">
        <v>0</v>
      </c>
      <c r="O388" s="10">
        <v>0</v>
      </c>
      <c r="P388" s="14">
        <v>0</v>
      </c>
      <c r="Q388" s="14">
        <v>2441602093</v>
      </c>
    </row>
    <row r="389" spans="1:17" ht="10.5" customHeight="1">
      <c r="A389" s="8">
        <v>41671</v>
      </c>
      <c r="B389" s="10">
        <v>1082295041</v>
      </c>
      <c r="C389" s="10">
        <v>42720512</v>
      </c>
      <c r="D389" s="10">
        <v>0</v>
      </c>
      <c r="E389" s="10">
        <v>426134873</v>
      </c>
      <c r="F389" s="10">
        <v>40446894</v>
      </c>
      <c r="G389" s="10">
        <v>191990422</v>
      </c>
      <c r="H389" s="10">
        <v>101390387</v>
      </c>
      <c r="I389" s="10">
        <v>2797767</v>
      </c>
      <c r="J389" s="10">
        <v>0</v>
      </c>
      <c r="K389" s="10">
        <v>52322180</v>
      </c>
      <c r="L389" s="10">
        <v>303140079</v>
      </c>
      <c r="M389" s="10">
        <v>14793855</v>
      </c>
      <c r="N389" s="10">
        <v>0</v>
      </c>
      <c r="O389" s="10">
        <v>0</v>
      </c>
      <c r="P389" s="10">
        <v>0</v>
      </c>
      <c r="Q389" s="10">
        <v>2258032010</v>
      </c>
    </row>
    <row r="390" spans="1:17" ht="10.5" customHeight="1">
      <c r="A390" s="8">
        <v>41699</v>
      </c>
      <c r="B390" s="10">
        <v>1020813284</v>
      </c>
      <c r="C390" s="10">
        <v>37306066</v>
      </c>
      <c r="D390" s="10">
        <v>0</v>
      </c>
      <c r="E390" s="10">
        <v>420180295</v>
      </c>
      <c r="F390" s="10">
        <v>40330357</v>
      </c>
      <c r="G390" s="10">
        <v>132646756</v>
      </c>
      <c r="H390" s="10">
        <v>3239804</v>
      </c>
      <c r="I390" s="10">
        <v>1600234</v>
      </c>
      <c r="J390" s="10">
        <v>0</v>
      </c>
      <c r="K390" s="10">
        <v>130641140</v>
      </c>
      <c r="L390" s="10">
        <v>292076196</v>
      </c>
      <c r="M390" s="10">
        <v>10636870</v>
      </c>
      <c r="N390" s="10">
        <v>0</v>
      </c>
      <c r="O390" s="10">
        <v>0</v>
      </c>
      <c r="P390" s="10">
        <v>0</v>
      </c>
      <c r="Q390" s="10">
        <v>2089471002</v>
      </c>
    </row>
    <row r="391" spans="1:17" ht="10.5" customHeight="1">
      <c r="A391" s="8">
        <v>41730</v>
      </c>
      <c r="B391" s="10">
        <v>922482332</v>
      </c>
      <c r="C391" s="10">
        <v>38280531</v>
      </c>
      <c r="D391" s="10">
        <v>0</v>
      </c>
      <c r="E391" s="10">
        <v>357772604</v>
      </c>
      <c r="F391" s="10">
        <v>48067650</v>
      </c>
      <c r="G391" s="10">
        <v>181096303</v>
      </c>
      <c r="H391" s="10">
        <v>166018549</v>
      </c>
      <c r="I391" s="10">
        <v>1671152</v>
      </c>
      <c r="J391" s="10">
        <v>0</v>
      </c>
      <c r="K391" s="10">
        <v>50586034</v>
      </c>
      <c r="L391" s="10">
        <v>297413367</v>
      </c>
      <c r="M391" s="10">
        <v>12348563</v>
      </c>
      <c r="N391" s="10">
        <v>0</v>
      </c>
      <c r="O391" s="10">
        <v>0</v>
      </c>
      <c r="P391" s="10">
        <v>0</v>
      </c>
      <c r="Q391" s="10">
        <v>2075737085</v>
      </c>
    </row>
    <row r="392" spans="1:17" ht="10.5" customHeight="1">
      <c r="A392" s="8">
        <v>41760</v>
      </c>
      <c r="B392" s="10">
        <v>959916595</v>
      </c>
      <c r="C392" s="10">
        <v>40573757</v>
      </c>
      <c r="D392" s="10">
        <v>0</v>
      </c>
      <c r="E392" s="10">
        <v>415372358</v>
      </c>
      <c r="F392" s="10">
        <v>55850879</v>
      </c>
      <c r="G392" s="10">
        <v>160014743</v>
      </c>
      <c r="H392" s="10">
        <v>2075958</v>
      </c>
      <c r="I392" s="10">
        <v>1879566</v>
      </c>
      <c r="J392" s="10">
        <v>0</v>
      </c>
      <c r="K392" s="10">
        <v>-168568234</v>
      </c>
      <c r="L392" s="10">
        <v>281670841</v>
      </c>
      <c r="M392" s="10">
        <v>15699937</v>
      </c>
      <c r="N392" s="10">
        <v>0</v>
      </c>
      <c r="O392" s="10">
        <v>0</v>
      </c>
      <c r="P392" s="10">
        <v>0</v>
      </c>
      <c r="Q392" s="10">
        <v>1764486400</v>
      </c>
    </row>
    <row r="393" spans="1:17" ht="10.5" customHeight="1">
      <c r="A393" s="8">
        <v>41791</v>
      </c>
      <c r="B393" s="10">
        <v>1016993866</v>
      </c>
      <c r="C393" s="10">
        <v>47191978</v>
      </c>
      <c r="D393" s="10">
        <v>0</v>
      </c>
      <c r="E393" s="10">
        <v>381503362</v>
      </c>
      <c r="F393" s="10">
        <v>101803499</v>
      </c>
      <c r="G393" s="10">
        <v>123924487</v>
      </c>
      <c r="H393" s="10">
        <v>41740603</v>
      </c>
      <c r="I393" s="10">
        <v>2503590</v>
      </c>
      <c r="J393" s="10">
        <v>0</v>
      </c>
      <c r="K393" s="10">
        <v>-28481191</v>
      </c>
      <c r="L393" s="10">
        <v>347208870</v>
      </c>
      <c r="M393" s="10">
        <v>15128193</v>
      </c>
      <c r="N393" s="10">
        <v>0</v>
      </c>
      <c r="O393" s="10">
        <v>0</v>
      </c>
      <c r="P393" s="10">
        <v>0</v>
      </c>
      <c r="Q393" s="10">
        <v>2049517257</v>
      </c>
    </row>
    <row r="394" spans="1:17" ht="10.5" customHeight="1">
      <c r="A394" s="8">
        <v>41821</v>
      </c>
      <c r="B394" s="10">
        <v>957283857</v>
      </c>
      <c r="C394" s="10">
        <v>38914540</v>
      </c>
      <c r="D394" s="10">
        <v>0</v>
      </c>
      <c r="E394" s="10">
        <v>383380138</v>
      </c>
      <c r="F394" s="10">
        <v>71250152</v>
      </c>
      <c r="G394" s="10">
        <v>155233668</v>
      </c>
      <c r="H394" s="10">
        <v>51780123</v>
      </c>
      <c r="I394" s="10">
        <v>1705036</v>
      </c>
      <c r="J394" s="10">
        <v>0</v>
      </c>
      <c r="K394" s="10">
        <v>149559927</v>
      </c>
      <c r="L394" s="10">
        <v>337643992</v>
      </c>
      <c r="M394" s="10">
        <v>12466991</v>
      </c>
      <c r="N394" s="10">
        <v>0</v>
      </c>
      <c r="O394" s="10">
        <v>0</v>
      </c>
      <c r="P394" s="10">
        <v>0</v>
      </c>
      <c r="Q394" s="10">
        <v>2159218424</v>
      </c>
    </row>
    <row r="395" spans="1:17" ht="10.5" customHeight="1">
      <c r="A395" s="8">
        <v>41852</v>
      </c>
      <c r="B395" s="10">
        <v>917689816</v>
      </c>
      <c r="C395" s="10">
        <v>41627897</v>
      </c>
      <c r="D395" s="10">
        <v>0</v>
      </c>
      <c r="E395" s="10">
        <v>406927818</v>
      </c>
      <c r="F395" s="10">
        <v>145571049</v>
      </c>
      <c r="G395" s="10">
        <v>36074855</v>
      </c>
      <c r="H395" s="10">
        <v>48426910</v>
      </c>
      <c r="I395" s="10">
        <v>2027979</v>
      </c>
      <c r="J395" s="10">
        <v>0</v>
      </c>
      <c r="K395" s="10">
        <v>-280409404</v>
      </c>
      <c r="L395" s="10">
        <v>330941775</v>
      </c>
      <c r="M395" s="10">
        <v>13472059</v>
      </c>
      <c r="N395" s="10">
        <v>0</v>
      </c>
      <c r="O395" s="10">
        <v>0</v>
      </c>
      <c r="P395" s="10">
        <v>0</v>
      </c>
      <c r="Q395" s="10">
        <v>1662350754</v>
      </c>
    </row>
    <row r="396" spans="1:17" ht="10.5" customHeight="1">
      <c r="A396" s="8">
        <v>41883</v>
      </c>
      <c r="B396" s="10">
        <v>972129311</v>
      </c>
      <c r="C396" s="10">
        <v>42582064</v>
      </c>
      <c r="D396" s="10">
        <v>0</v>
      </c>
      <c r="E396" s="10">
        <v>394102510</v>
      </c>
      <c r="F396" s="10">
        <v>51473030</v>
      </c>
      <c r="G396" s="10">
        <v>180609355</v>
      </c>
      <c r="H396" s="10">
        <v>111983039</v>
      </c>
      <c r="I396" s="10">
        <v>1849283</v>
      </c>
      <c r="J396" s="10">
        <v>0</v>
      </c>
      <c r="K396" s="10">
        <v>224717298</v>
      </c>
      <c r="L396" s="10">
        <v>289416429</v>
      </c>
      <c r="M396" s="10">
        <v>13143638</v>
      </c>
      <c r="N396" s="10">
        <v>0</v>
      </c>
      <c r="O396" s="10">
        <v>0</v>
      </c>
      <c r="P396" s="10">
        <v>0</v>
      </c>
      <c r="Q396" s="10">
        <v>2282005957</v>
      </c>
    </row>
    <row r="397" spans="1:17" ht="10.5" customHeight="1">
      <c r="A397" s="8">
        <v>41913</v>
      </c>
      <c r="B397" s="10">
        <v>980417549</v>
      </c>
      <c r="C397" s="10">
        <v>46322843</v>
      </c>
      <c r="D397" s="10">
        <v>0</v>
      </c>
      <c r="E397" s="10">
        <v>390810288</v>
      </c>
      <c r="F397" s="10">
        <v>61906869</v>
      </c>
      <c r="G397" s="10">
        <v>142842192</v>
      </c>
      <c r="H397" s="10">
        <v>4045656</v>
      </c>
      <c r="I397" s="10">
        <v>1975292</v>
      </c>
      <c r="J397" s="10">
        <v>0</v>
      </c>
      <c r="K397" s="10">
        <v>12895678</v>
      </c>
      <c r="L397" s="10">
        <v>359431868</v>
      </c>
      <c r="M397" s="10">
        <v>17122212</v>
      </c>
      <c r="N397" s="10">
        <v>0</v>
      </c>
      <c r="O397" s="10">
        <v>0</v>
      </c>
      <c r="P397" s="10">
        <v>0</v>
      </c>
      <c r="Q397" s="10">
        <v>2017770447</v>
      </c>
    </row>
    <row r="398" spans="1:17" ht="10.5" customHeight="1">
      <c r="A398" s="8">
        <v>41944</v>
      </c>
      <c r="B398" s="10">
        <v>1034211795</v>
      </c>
      <c r="C398" s="10">
        <v>64439430</v>
      </c>
      <c r="D398" s="10">
        <v>0</v>
      </c>
      <c r="E398" s="10">
        <v>426275153</v>
      </c>
      <c r="F398" s="10">
        <v>65256251</v>
      </c>
      <c r="G398" s="10">
        <v>202082979</v>
      </c>
      <c r="H398" s="10">
        <v>185297879</v>
      </c>
      <c r="I398" s="10">
        <v>3148436</v>
      </c>
      <c r="J398" s="10">
        <v>0</v>
      </c>
      <c r="K398" s="10">
        <v>-224350655</v>
      </c>
      <c r="L398" s="10">
        <v>327818064</v>
      </c>
      <c r="M398" s="10">
        <v>17267063</v>
      </c>
      <c r="N398" s="10">
        <v>0</v>
      </c>
      <c r="O398" s="10">
        <v>0</v>
      </c>
      <c r="P398" s="10">
        <v>0</v>
      </c>
      <c r="Q398" s="10">
        <v>2101446395</v>
      </c>
    </row>
    <row r="399" spans="1:17" ht="10.5" customHeight="1">
      <c r="A399" s="8">
        <v>41974</v>
      </c>
      <c r="B399" s="10">
        <v>1065934227</v>
      </c>
      <c r="C399" s="10">
        <v>42881882</v>
      </c>
      <c r="D399" s="10">
        <v>0</v>
      </c>
      <c r="E399" s="10">
        <v>408835006</v>
      </c>
      <c r="F399" s="10">
        <v>87908576</v>
      </c>
      <c r="G399" s="10">
        <v>200233450</v>
      </c>
      <c r="H399" s="10">
        <v>148345412</v>
      </c>
      <c r="I399" s="10">
        <v>4790099</v>
      </c>
      <c r="J399" s="10">
        <v>0</v>
      </c>
      <c r="K399" s="10">
        <v>398783585</v>
      </c>
      <c r="L399" s="10">
        <v>348420258</v>
      </c>
      <c r="M399" s="10">
        <v>18662942</v>
      </c>
      <c r="N399" s="10">
        <v>0</v>
      </c>
      <c r="O399" s="10">
        <v>0</v>
      </c>
      <c r="P399" s="10">
        <v>0</v>
      </c>
      <c r="Q399" s="10">
        <v>2724795437</v>
      </c>
    </row>
    <row r="400" spans="1:17" s="15" customFormat="1" ht="10.5" customHeight="1">
      <c r="A400" s="13">
        <v>42005</v>
      </c>
      <c r="B400" s="14">
        <v>978566994</v>
      </c>
      <c r="C400" s="14">
        <v>44445105</v>
      </c>
      <c r="D400" s="14">
        <v>0</v>
      </c>
      <c r="E400" s="14">
        <v>612631919</v>
      </c>
      <c r="F400" s="14">
        <v>110998758</v>
      </c>
      <c r="G400" s="14">
        <v>258997470</v>
      </c>
      <c r="H400" s="14">
        <v>179609563</v>
      </c>
      <c r="I400" s="14">
        <v>3481713</v>
      </c>
      <c r="J400" s="14">
        <v>0</v>
      </c>
      <c r="K400" s="14">
        <v>-373230141</v>
      </c>
      <c r="L400" s="14">
        <v>417448634</v>
      </c>
      <c r="M400" s="14">
        <v>18999749</v>
      </c>
      <c r="N400" s="14">
        <v>0</v>
      </c>
      <c r="O400" s="10">
        <v>0</v>
      </c>
      <c r="P400" s="14">
        <v>0</v>
      </c>
      <c r="Q400" s="14">
        <v>2251949764</v>
      </c>
    </row>
    <row r="401" spans="1:17" ht="10.5" customHeight="1">
      <c r="A401" s="8">
        <v>42036</v>
      </c>
      <c r="B401" s="10">
        <v>1256931280</v>
      </c>
      <c r="C401" s="10">
        <v>45126409</v>
      </c>
      <c r="D401" s="10">
        <v>0</v>
      </c>
      <c r="E401" s="10">
        <v>445291492</v>
      </c>
      <c r="F401" s="10">
        <v>44206540</v>
      </c>
      <c r="G401" s="10">
        <v>182386455</v>
      </c>
      <c r="H401" s="10">
        <v>102595735</v>
      </c>
      <c r="I401" s="10">
        <v>1727711</v>
      </c>
      <c r="J401" s="10">
        <v>0</v>
      </c>
      <c r="K401" s="10">
        <v>13614696</v>
      </c>
      <c r="L401" s="10">
        <v>366821557</v>
      </c>
      <c r="M401" s="10">
        <v>15339628</v>
      </c>
      <c r="N401" s="10">
        <v>0</v>
      </c>
      <c r="O401" s="10">
        <v>0</v>
      </c>
      <c r="P401" s="10">
        <v>0</v>
      </c>
      <c r="Q401" s="10">
        <v>2474041503</v>
      </c>
    </row>
    <row r="402" spans="1:17" ht="10.5" customHeight="1">
      <c r="A402" s="8">
        <v>42064</v>
      </c>
      <c r="B402" s="10">
        <v>1215189135</v>
      </c>
      <c r="C402" s="10">
        <v>38752449</v>
      </c>
      <c r="D402" s="10">
        <v>0</v>
      </c>
      <c r="E402" s="10">
        <v>418652553</v>
      </c>
      <c r="F402" s="10">
        <v>49103984</v>
      </c>
      <c r="G402" s="10">
        <v>208687315</v>
      </c>
      <c r="H402" s="10">
        <v>93157309</v>
      </c>
      <c r="I402" s="10">
        <v>645922</v>
      </c>
      <c r="J402" s="10">
        <v>0</v>
      </c>
      <c r="K402" s="10">
        <v>563120086</v>
      </c>
      <c r="L402" s="10">
        <v>298333477</v>
      </c>
      <c r="M402" s="10">
        <v>12128548</v>
      </c>
      <c r="N402" s="10">
        <v>0</v>
      </c>
      <c r="O402" s="10">
        <v>0</v>
      </c>
      <c r="P402" s="10">
        <v>0</v>
      </c>
      <c r="Q402" s="10">
        <v>2897770778</v>
      </c>
    </row>
    <row r="403" spans="1:17" ht="10.5" customHeight="1">
      <c r="A403" s="8">
        <v>42095</v>
      </c>
      <c r="B403" s="10">
        <v>1180639817</v>
      </c>
      <c r="C403" s="10">
        <v>54289975</v>
      </c>
      <c r="D403" s="10">
        <v>0</v>
      </c>
      <c r="E403" s="10">
        <v>536294338</v>
      </c>
      <c r="F403" s="10">
        <v>58690601</v>
      </c>
      <c r="G403" s="10">
        <v>160405005</v>
      </c>
      <c r="H403" s="10">
        <v>96155203</v>
      </c>
      <c r="I403" s="10">
        <v>1938551</v>
      </c>
      <c r="J403" s="10">
        <v>0</v>
      </c>
      <c r="K403" s="10">
        <v>-57098098</v>
      </c>
      <c r="L403" s="10">
        <v>339908496</v>
      </c>
      <c r="M403" s="10">
        <v>15247493</v>
      </c>
      <c r="N403" s="10">
        <v>0</v>
      </c>
      <c r="O403" s="10">
        <v>0</v>
      </c>
      <c r="P403" s="10">
        <v>0</v>
      </c>
      <c r="Q403" s="10">
        <v>2386471381</v>
      </c>
    </row>
    <row r="404" spans="1:17" ht="10.5" customHeight="1">
      <c r="A404" s="8">
        <v>42125</v>
      </c>
      <c r="B404" s="10">
        <v>1280169774</v>
      </c>
      <c r="C404" s="10">
        <v>40097642</v>
      </c>
      <c r="D404" s="10">
        <v>0</v>
      </c>
      <c r="E404" s="10">
        <v>407132747</v>
      </c>
      <c r="F404" s="10">
        <v>52868106</v>
      </c>
      <c r="G404" s="10">
        <v>196554311</v>
      </c>
      <c r="H404" s="10">
        <v>73908526</v>
      </c>
      <c r="I404" s="10">
        <v>560701</v>
      </c>
      <c r="J404" s="10">
        <v>0</v>
      </c>
      <c r="K404" s="10">
        <v>-222495599</v>
      </c>
      <c r="L404" s="10">
        <v>378503614</v>
      </c>
      <c r="M404" s="10">
        <v>19404283</v>
      </c>
      <c r="N404" s="10">
        <v>0</v>
      </c>
      <c r="O404" s="10">
        <v>0</v>
      </c>
      <c r="P404" s="10">
        <v>0</v>
      </c>
      <c r="Q404" s="10">
        <v>2226704105</v>
      </c>
    </row>
    <row r="405" spans="1:17" ht="10.5" customHeight="1">
      <c r="A405" s="8">
        <v>42156</v>
      </c>
      <c r="B405" s="10">
        <v>1180041832</v>
      </c>
      <c r="C405" s="10">
        <v>46224122</v>
      </c>
      <c r="D405" s="10">
        <v>0</v>
      </c>
      <c r="E405" s="10">
        <v>494438948</v>
      </c>
      <c r="F405" s="10">
        <v>47983518</v>
      </c>
      <c r="G405" s="10">
        <v>156591729</v>
      </c>
      <c r="H405" s="10">
        <v>63872661</v>
      </c>
      <c r="I405" s="10">
        <v>1053681</v>
      </c>
      <c r="J405" s="10">
        <v>0</v>
      </c>
      <c r="K405" s="10">
        <v>255212301</v>
      </c>
      <c r="L405" s="10">
        <v>277049704</v>
      </c>
      <c r="M405" s="10">
        <v>15255773</v>
      </c>
      <c r="N405" s="10">
        <v>0</v>
      </c>
      <c r="O405" s="10">
        <v>0</v>
      </c>
      <c r="P405" s="10">
        <v>0</v>
      </c>
      <c r="Q405" s="10">
        <v>2537724269</v>
      </c>
    </row>
    <row r="406" spans="1:17" ht="10.5" customHeight="1">
      <c r="A406" s="8">
        <v>42186</v>
      </c>
      <c r="B406" s="10">
        <v>1105843467</v>
      </c>
      <c r="C406" s="10">
        <v>42442713</v>
      </c>
      <c r="D406" s="10">
        <v>0</v>
      </c>
      <c r="E406" s="10">
        <v>409118868</v>
      </c>
      <c r="F406" s="10">
        <v>68672098</v>
      </c>
      <c r="G406" s="10">
        <v>129922030</v>
      </c>
      <c r="H406" s="10">
        <v>47949867</v>
      </c>
      <c r="I406" s="10">
        <v>873542</v>
      </c>
      <c r="J406" s="10">
        <v>0</v>
      </c>
      <c r="K406" s="10">
        <v>-350407944</v>
      </c>
      <c r="L406" s="10">
        <v>389298904</v>
      </c>
      <c r="M406" s="10">
        <v>15063606</v>
      </c>
      <c r="N406" s="10">
        <v>0</v>
      </c>
      <c r="O406" s="10">
        <v>0</v>
      </c>
      <c r="P406" s="10">
        <v>0</v>
      </c>
      <c r="Q406" s="10">
        <v>1858777151</v>
      </c>
    </row>
    <row r="407" spans="1:17" ht="10.5" customHeight="1">
      <c r="A407" s="8">
        <v>42217</v>
      </c>
      <c r="B407" s="10">
        <v>1195885765</v>
      </c>
      <c r="C407" s="10">
        <v>38130008</v>
      </c>
      <c r="D407" s="10">
        <v>0</v>
      </c>
      <c r="E407" s="10">
        <v>472019027</v>
      </c>
      <c r="F407" s="10">
        <v>46669819</v>
      </c>
      <c r="G407" s="10">
        <v>165687238</v>
      </c>
      <c r="H407" s="10">
        <v>63134883</v>
      </c>
      <c r="I407" s="10">
        <v>1177831</v>
      </c>
      <c r="J407" s="10">
        <v>0</v>
      </c>
      <c r="K407" s="10">
        <v>-143744721</v>
      </c>
      <c r="L407" s="10">
        <v>316525002</v>
      </c>
      <c r="M407" s="10">
        <v>16036107</v>
      </c>
      <c r="N407" s="10">
        <v>0</v>
      </c>
      <c r="O407" s="10">
        <v>0</v>
      </c>
      <c r="P407" s="10">
        <v>0</v>
      </c>
      <c r="Q407" s="10">
        <v>2171520959</v>
      </c>
    </row>
    <row r="408" spans="1:17" ht="10.5" customHeight="1">
      <c r="A408" s="8">
        <v>42248</v>
      </c>
      <c r="B408" s="10">
        <v>1192184349</v>
      </c>
      <c r="C408" s="10">
        <v>41842691</v>
      </c>
      <c r="D408" s="10">
        <v>0</v>
      </c>
      <c r="E408" s="10">
        <v>478900559</v>
      </c>
      <c r="F408" s="10">
        <v>69983224</v>
      </c>
      <c r="G408" s="10">
        <v>151845603</v>
      </c>
      <c r="H408" s="10">
        <v>59637014</v>
      </c>
      <c r="I408" s="10">
        <v>2108006</v>
      </c>
      <c r="J408" s="10">
        <v>0</v>
      </c>
      <c r="K408" s="10">
        <v>503698344</v>
      </c>
      <c r="L408" s="10">
        <v>293508158</v>
      </c>
      <c r="M408" s="10">
        <v>16617460</v>
      </c>
      <c r="N408" s="10">
        <v>0</v>
      </c>
      <c r="O408" s="10">
        <v>0</v>
      </c>
      <c r="P408" s="10">
        <v>0</v>
      </c>
      <c r="Q408" s="10">
        <v>2810325408</v>
      </c>
    </row>
    <row r="409" spans="1:17" ht="10.5" customHeight="1">
      <c r="A409" s="8">
        <v>42278</v>
      </c>
      <c r="B409" s="10">
        <v>1090937020</v>
      </c>
      <c r="C409" s="10">
        <v>44648341</v>
      </c>
      <c r="D409" s="10">
        <v>0</v>
      </c>
      <c r="E409" s="10">
        <v>435455688</v>
      </c>
      <c r="F409" s="10">
        <v>69645584</v>
      </c>
      <c r="G409" s="10">
        <v>172956126</v>
      </c>
      <c r="H409" s="10">
        <v>77012730</v>
      </c>
      <c r="I409" s="10">
        <v>1323647</v>
      </c>
      <c r="J409" s="10">
        <v>0</v>
      </c>
      <c r="K409" s="10">
        <v>-385443956</v>
      </c>
      <c r="L409" s="10">
        <v>300615032</v>
      </c>
      <c r="M409" s="10">
        <v>19116523</v>
      </c>
      <c r="N409" s="10">
        <v>0</v>
      </c>
      <c r="O409" s="10">
        <v>0</v>
      </c>
      <c r="P409" s="10">
        <v>0</v>
      </c>
      <c r="Q409" s="10">
        <v>1826266735</v>
      </c>
    </row>
    <row r="410" spans="1:17" ht="10.5" customHeight="1">
      <c r="A410" s="8">
        <v>42309</v>
      </c>
      <c r="B410" s="10">
        <v>1153421143</v>
      </c>
      <c r="C410" s="10">
        <v>45584724</v>
      </c>
      <c r="D410" s="10">
        <v>0</v>
      </c>
      <c r="E410" s="10">
        <v>477743819</v>
      </c>
      <c r="F410" s="10">
        <v>69889559</v>
      </c>
      <c r="G410" s="10">
        <v>171738134</v>
      </c>
      <c r="H410" s="10">
        <v>85476113</v>
      </c>
      <c r="I410" s="10">
        <v>2749654</v>
      </c>
      <c r="J410" s="10">
        <v>0</v>
      </c>
      <c r="K410" s="10">
        <v>-125756</v>
      </c>
      <c r="L410" s="10">
        <v>304500292</v>
      </c>
      <c r="M410" s="10">
        <v>16614836</v>
      </c>
      <c r="N410" s="10">
        <v>0</v>
      </c>
      <c r="O410" s="10">
        <v>0</v>
      </c>
      <c r="P410" s="10">
        <v>0</v>
      </c>
      <c r="Q410" s="10">
        <v>2327592518</v>
      </c>
    </row>
    <row r="411" spans="1:17" ht="10.5" customHeight="1">
      <c r="A411" s="8">
        <v>42339</v>
      </c>
      <c r="B411" s="10">
        <v>1266644782</v>
      </c>
      <c r="C411" s="10">
        <v>42955095</v>
      </c>
      <c r="D411" s="10">
        <v>0</v>
      </c>
      <c r="E411" s="10">
        <v>589917084</v>
      </c>
      <c r="F411" s="10">
        <v>100470846</v>
      </c>
      <c r="G411" s="10">
        <v>175435968</v>
      </c>
      <c r="H411" s="10">
        <v>159390261</v>
      </c>
      <c r="I411" s="10">
        <v>3869767</v>
      </c>
      <c r="J411" s="10">
        <v>0</v>
      </c>
      <c r="K411" s="10">
        <v>509231114</v>
      </c>
      <c r="L411" s="10">
        <v>334757396</v>
      </c>
      <c r="M411" s="10">
        <v>22193565</v>
      </c>
      <c r="N411" s="10">
        <v>0</v>
      </c>
      <c r="O411" s="10">
        <v>0</v>
      </c>
      <c r="P411" s="10">
        <v>0</v>
      </c>
      <c r="Q411" s="10">
        <v>3204865878</v>
      </c>
    </row>
    <row r="412" spans="1:17" ht="10.5" customHeight="1">
      <c r="A412" s="8">
        <v>42370</v>
      </c>
      <c r="B412" s="10">
        <v>1182406744</v>
      </c>
      <c r="C412" s="10">
        <v>38647738</v>
      </c>
      <c r="D412" s="10">
        <v>0</v>
      </c>
      <c r="E412" s="10">
        <v>586898322</v>
      </c>
      <c r="F412" s="10">
        <v>106348213</v>
      </c>
      <c r="G412" s="10">
        <v>258123923</v>
      </c>
      <c r="H412" s="10">
        <v>200028100</v>
      </c>
      <c r="I412" s="10">
        <v>3578957</v>
      </c>
      <c r="J412" s="10">
        <v>0</v>
      </c>
      <c r="K412" s="10">
        <v>-474202111</v>
      </c>
      <c r="L412" s="10">
        <v>466541013</v>
      </c>
      <c r="M412" s="10">
        <v>22663134</v>
      </c>
      <c r="N412" s="10">
        <v>0</v>
      </c>
      <c r="O412" s="10">
        <v>0</v>
      </c>
      <c r="P412" s="10">
        <v>0</v>
      </c>
      <c r="Q412" s="10">
        <v>2391034033</v>
      </c>
    </row>
    <row r="413" spans="1:17" ht="10.5" customHeight="1">
      <c r="A413" s="8">
        <v>42401</v>
      </c>
      <c r="B413" s="10">
        <v>1489380450</v>
      </c>
      <c r="C413" s="10">
        <v>42210220</v>
      </c>
      <c r="D413" s="10">
        <v>0</v>
      </c>
      <c r="E413" s="10">
        <v>467873391</v>
      </c>
      <c r="F413" s="10">
        <v>37577441</v>
      </c>
      <c r="G413" s="10">
        <v>162688876</v>
      </c>
      <c r="H413" s="10">
        <v>82640931</v>
      </c>
      <c r="I413" s="10">
        <v>2322009</v>
      </c>
      <c r="J413" s="10">
        <v>0</v>
      </c>
      <c r="K413" s="10">
        <v>-40131961</v>
      </c>
      <c r="L413" s="10">
        <v>299655246</v>
      </c>
      <c r="M413" s="10">
        <v>14668220</v>
      </c>
      <c r="N413" s="10">
        <v>0</v>
      </c>
      <c r="O413" s="10">
        <v>0</v>
      </c>
      <c r="P413" s="10">
        <v>0</v>
      </c>
      <c r="Q413" s="10">
        <v>2558884823</v>
      </c>
    </row>
    <row r="414" spans="1:17" ht="10.5" customHeight="1">
      <c r="A414" s="8">
        <v>42430</v>
      </c>
      <c r="B414" s="10">
        <v>1275111367</v>
      </c>
      <c r="C414" s="10">
        <v>40374626</v>
      </c>
      <c r="D414" s="10">
        <v>0</v>
      </c>
      <c r="E414" s="10">
        <v>445900559</v>
      </c>
      <c r="F414" s="10">
        <v>56340541</v>
      </c>
      <c r="G414" s="10">
        <v>234406398</v>
      </c>
      <c r="H414" s="10">
        <v>99555134</v>
      </c>
      <c r="I414" s="10">
        <v>1323897</v>
      </c>
      <c r="J414" s="10">
        <v>0</v>
      </c>
      <c r="K414" s="10">
        <v>551760758</v>
      </c>
      <c r="L414" s="10">
        <v>267445282</v>
      </c>
      <c r="M414" s="10">
        <v>14571254</v>
      </c>
      <c r="N414" s="10">
        <v>0</v>
      </c>
      <c r="O414" s="10">
        <v>0</v>
      </c>
      <c r="P414" s="10">
        <v>0</v>
      </c>
      <c r="Q414" s="10">
        <v>2986789816</v>
      </c>
    </row>
    <row r="415" spans="1:17" ht="10.5" customHeight="1">
      <c r="A415" s="8">
        <v>42461</v>
      </c>
      <c r="B415" s="10">
        <v>1287488560</v>
      </c>
      <c r="C415" s="10">
        <v>52209088</v>
      </c>
      <c r="D415" s="10">
        <v>0</v>
      </c>
      <c r="E415" s="10">
        <v>536063801</v>
      </c>
      <c r="F415" s="10">
        <v>58257609</v>
      </c>
      <c r="G415" s="10">
        <v>205038044</v>
      </c>
      <c r="H415" s="10">
        <v>91585428</v>
      </c>
      <c r="I415" s="10">
        <v>2205991</v>
      </c>
      <c r="J415" s="10">
        <v>0</v>
      </c>
      <c r="K415" s="10">
        <v>-369083221</v>
      </c>
      <c r="L415" s="10">
        <v>376050202</v>
      </c>
      <c r="M415" s="10">
        <v>16747112</v>
      </c>
      <c r="N415" s="10">
        <v>0</v>
      </c>
      <c r="O415" s="10">
        <v>0</v>
      </c>
      <c r="P415" s="10">
        <v>0</v>
      </c>
      <c r="Q415" s="10">
        <v>2256562614</v>
      </c>
    </row>
    <row r="416" spans="1:17" ht="10.5" customHeight="1">
      <c r="A416" s="8">
        <v>42491</v>
      </c>
      <c r="B416" s="10">
        <v>1322929737</v>
      </c>
      <c r="C416" s="10">
        <v>46580545</v>
      </c>
      <c r="D416" s="10">
        <v>0</v>
      </c>
      <c r="E416" s="10">
        <v>492242073</v>
      </c>
      <c r="F416" s="10">
        <v>51013118</v>
      </c>
      <c r="G416" s="10">
        <v>181696015</v>
      </c>
      <c r="H416" s="10">
        <v>48229602</v>
      </c>
      <c r="I416" s="10">
        <v>439268</v>
      </c>
      <c r="J416" s="10">
        <v>0</v>
      </c>
      <c r="K416" s="10">
        <v>305271452</v>
      </c>
      <c r="L416" s="10">
        <v>292869771</v>
      </c>
      <c r="M416" s="10">
        <v>22359085</v>
      </c>
      <c r="N416" s="10">
        <v>0</v>
      </c>
      <c r="O416" s="10">
        <v>0</v>
      </c>
      <c r="P416" s="10">
        <v>0</v>
      </c>
      <c r="Q416" s="10">
        <v>2763630666</v>
      </c>
    </row>
    <row r="417" spans="1:19" ht="10.5" customHeight="1">
      <c r="A417" s="8">
        <v>42522</v>
      </c>
      <c r="B417" s="10">
        <v>1147212331</v>
      </c>
      <c r="C417" s="10">
        <v>55424897</v>
      </c>
      <c r="D417" s="10">
        <v>0</v>
      </c>
      <c r="E417" s="10">
        <v>591699743</v>
      </c>
      <c r="F417" s="10">
        <v>57605322</v>
      </c>
      <c r="G417" s="10">
        <v>175765775</v>
      </c>
      <c r="H417" s="10">
        <v>52831837</v>
      </c>
      <c r="I417" s="10">
        <v>828545</v>
      </c>
      <c r="J417" s="10">
        <v>0</v>
      </c>
      <c r="K417" s="10">
        <v>-466706966</v>
      </c>
      <c r="L417" s="10">
        <v>373304650</v>
      </c>
      <c r="M417" s="10">
        <v>21710865</v>
      </c>
      <c r="N417" s="10">
        <v>0</v>
      </c>
      <c r="O417" s="10">
        <v>0</v>
      </c>
      <c r="P417" s="10">
        <v>0</v>
      </c>
      <c r="Q417" s="10">
        <v>2009676999</v>
      </c>
    </row>
    <row r="418" spans="1:19" ht="10.5" customHeight="1">
      <c r="A418" s="8">
        <v>42552</v>
      </c>
      <c r="B418" s="10">
        <v>1232756209</v>
      </c>
      <c r="C418" s="10">
        <v>45013102</v>
      </c>
      <c r="D418" s="10">
        <v>0</v>
      </c>
      <c r="E418" s="10">
        <v>471209688</v>
      </c>
      <c r="F418" s="10">
        <v>70470838</v>
      </c>
      <c r="G418" s="10">
        <v>131981701</v>
      </c>
      <c r="H418" s="10">
        <v>38356636</v>
      </c>
      <c r="I418" s="10">
        <v>1001981</v>
      </c>
      <c r="J418" s="10">
        <v>0</v>
      </c>
      <c r="K418" s="10">
        <v>-154196697</v>
      </c>
      <c r="L418" s="10">
        <v>243704594</v>
      </c>
      <c r="M418" s="10">
        <v>18810909</v>
      </c>
      <c r="N418" s="10">
        <v>0</v>
      </c>
      <c r="O418" s="10">
        <v>0</v>
      </c>
      <c r="P418" s="10">
        <v>0</v>
      </c>
      <c r="Q418" s="10">
        <v>2099108961</v>
      </c>
    </row>
    <row r="419" spans="1:19" ht="10.5" customHeight="1">
      <c r="A419" s="8">
        <v>42583</v>
      </c>
      <c r="B419" s="10">
        <v>1251996073</v>
      </c>
      <c r="C419" s="10">
        <v>37217623</v>
      </c>
      <c r="D419" s="10">
        <v>0</v>
      </c>
      <c r="E419" s="10">
        <v>497174563</v>
      </c>
      <c r="F419" s="10">
        <v>39628759</v>
      </c>
      <c r="G419" s="10">
        <v>155042470</v>
      </c>
      <c r="H419" s="10">
        <v>62291866</v>
      </c>
      <c r="I419" s="10">
        <v>1389203</v>
      </c>
      <c r="J419" s="10">
        <v>0</v>
      </c>
      <c r="K419" s="10">
        <v>328054052</v>
      </c>
      <c r="L419" s="10">
        <v>341379418</v>
      </c>
      <c r="M419" s="10">
        <v>18927340</v>
      </c>
      <c r="N419" s="10">
        <v>0</v>
      </c>
      <c r="O419" s="10">
        <v>0</v>
      </c>
      <c r="P419" s="10">
        <v>0</v>
      </c>
      <c r="Q419" s="10">
        <v>2733101367</v>
      </c>
    </row>
    <row r="420" spans="1:19" ht="10.5" customHeight="1">
      <c r="A420" s="8">
        <v>42614</v>
      </c>
      <c r="B420" s="10">
        <v>1196523869</v>
      </c>
      <c r="C420" s="10">
        <v>40189641</v>
      </c>
      <c r="D420" s="10">
        <v>0</v>
      </c>
      <c r="E420" s="10">
        <v>517020068</v>
      </c>
      <c r="F420" s="10">
        <v>78495426</v>
      </c>
      <c r="G420" s="10">
        <v>204750479</v>
      </c>
      <c r="H420" s="10">
        <v>73633008</v>
      </c>
      <c r="I420" s="10">
        <v>2183725</v>
      </c>
      <c r="J420" s="10">
        <v>0</v>
      </c>
      <c r="K420" s="10">
        <v>-214437985</v>
      </c>
      <c r="L420" s="10">
        <v>308840680</v>
      </c>
      <c r="M420" s="10">
        <v>18938488</v>
      </c>
      <c r="N420" s="10">
        <v>0</v>
      </c>
      <c r="O420" s="10">
        <v>0</v>
      </c>
      <c r="P420" s="10">
        <v>0</v>
      </c>
      <c r="Q420" s="10">
        <v>2226137399</v>
      </c>
    </row>
    <row r="421" spans="1:19" ht="10.5" customHeight="1">
      <c r="A421" s="8">
        <v>42644</v>
      </c>
      <c r="B421" s="10">
        <v>1287994389</v>
      </c>
      <c r="C421" s="10">
        <v>50753871</v>
      </c>
      <c r="D421" s="10">
        <v>0</v>
      </c>
      <c r="E421" s="10">
        <v>545540482</v>
      </c>
      <c r="F421" s="10">
        <v>36200761</v>
      </c>
      <c r="G421" s="10">
        <v>199118305</v>
      </c>
      <c r="H421" s="10">
        <v>80850371</v>
      </c>
      <c r="I421" s="10">
        <v>1355388</v>
      </c>
      <c r="J421" s="10">
        <v>0</v>
      </c>
      <c r="K421" s="10">
        <v>-51151741</v>
      </c>
      <c r="L421" s="10">
        <v>346983505</v>
      </c>
      <c r="M421" s="10">
        <v>20478647</v>
      </c>
      <c r="N421" s="10">
        <v>0</v>
      </c>
      <c r="O421" s="10">
        <v>0</v>
      </c>
      <c r="P421" s="10">
        <v>0</v>
      </c>
      <c r="Q421" s="10">
        <v>2518123978</v>
      </c>
    </row>
    <row r="422" spans="1:19" ht="10.5" customHeight="1">
      <c r="A422" s="8">
        <v>42675</v>
      </c>
      <c r="B422" s="10">
        <v>1305729618</v>
      </c>
      <c r="C422" s="10">
        <v>56764365</v>
      </c>
      <c r="D422" s="10">
        <v>0</v>
      </c>
      <c r="E422" s="10">
        <v>486525356</v>
      </c>
      <c r="F422" s="10">
        <v>80851323</v>
      </c>
      <c r="G422" s="10">
        <v>190847075</v>
      </c>
      <c r="H422" s="10">
        <v>101580507</v>
      </c>
      <c r="I422" s="10">
        <v>2404905</v>
      </c>
      <c r="J422" s="10">
        <v>0</v>
      </c>
      <c r="K422" s="10">
        <v>643767482</v>
      </c>
      <c r="L422" s="10">
        <v>249236875</v>
      </c>
      <c r="M422" s="10">
        <v>19236785</v>
      </c>
      <c r="N422" s="10">
        <v>0</v>
      </c>
      <c r="O422" s="10">
        <v>0</v>
      </c>
      <c r="P422" s="10">
        <v>0</v>
      </c>
      <c r="Q422" s="10">
        <v>3136944291</v>
      </c>
    </row>
    <row r="423" spans="1:19" ht="10.5" customHeight="1">
      <c r="A423" s="8">
        <v>42705</v>
      </c>
      <c r="B423" s="10">
        <v>1242774669</v>
      </c>
      <c r="C423" s="10">
        <v>53294846</v>
      </c>
      <c r="D423" s="10">
        <v>0</v>
      </c>
      <c r="E423" s="10">
        <v>505997549</v>
      </c>
      <c r="F423" s="10">
        <v>101225437</v>
      </c>
      <c r="G423" s="10">
        <v>230695460</v>
      </c>
      <c r="H423" s="10">
        <v>177711607</v>
      </c>
      <c r="I423" s="10">
        <v>4596060</v>
      </c>
      <c r="J423" s="10">
        <v>0</v>
      </c>
      <c r="K423" s="10">
        <v>-120789084</v>
      </c>
      <c r="L423" s="10">
        <v>394135616</v>
      </c>
      <c r="M423" s="10">
        <v>31880581</v>
      </c>
      <c r="N423" s="10">
        <v>0</v>
      </c>
      <c r="O423" s="10">
        <v>0</v>
      </c>
      <c r="P423" s="10">
        <v>0</v>
      </c>
      <c r="Q423" s="10">
        <v>2621522741</v>
      </c>
    </row>
    <row r="424" spans="1:19" ht="10.5" customHeight="1">
      <c r="A424" s="8">
        <v>42736</v>
      </c>
      <c r="B424" s="10">
        <v>1368372673</v>
      </c>
      <c r="C424" s="10">
        <v>50878477</v>
      </c>
      <c r="D424" s="10">
        <v>0</v>
      </c>
      <c r="E424" s="10">
        <v>791605207</v>
      </c>
      <c r="F424" s="10">
        <v>108581667</v>
      </c>
      <c r="G424" s="10">
        <v>288051792</v>
      </c>
      <c r="H424" s="10">
        <v>202144116</v>
      </c>
      <c r="I424" s="10">
        <v>3609949</v>
      </c>
      <c r="J424" s="10">
        <v>0</v>
      </c>
      <c r="K424" s="10">
        <v>208469266</v>
      </c>
      <c r="L424" s="10">
        <v>430460371</v>
      </c>
      <c r="M424" s="10">
        <v>26535643</v>
      </c>
      <c r="N424" s="10">
        <v>0</v>
      </c>
      <c r="O424" s="10">
        <v>0</v>
      </c>
      <c r="P424" s="10">
        <v>0</v>
      </c>
      <c r="Q424" s="10">
        <v>3478709161</v>
      </c>
    </row>
    <row r="425" spans="1:19" ht="10.5" customHeight="1">
      <c r="A425" s="8">
        <v>42767</v>
      </c>
      <c r="B425" s="10">
        <v>1552921736</v>
      </c>
      <c r="C425" s="10">
        <v>55987348</v>
      </c>
      <c r="D425" s="10">
        <v>0</v>
      </c>
      <c r="E425" s="10">
        <v>507352217</v>
      </c>
      <c r="F425" s="10">
        <v>41803075</v>
      </c>
      <c r="G425" s="10">
        <v>224005558</v>
      </c>
      <c r="H425" s="10">
        <v>118744451</v>
      </c>
      <c r="I425" s="10">
        <v>755725</v>
      </c>
      <c r="J425" s="10">
        <v>0</v>
      </c>
      <c r="K425" s="10">
        <v>-140952781</v>
      </c>
      <c r="L425" s="10">
        <v>345223725</v>
      </c>
      <c r="M425" s="10">
        <v>20501254</v>
      </c>
      <c r="N425" s="10">
        <v>0</v>
      </c>
      <c r="O425" s="10">
        <v>0</v>
      </c>
      <c r="P425" s="10">
        <v>0</v>
      </c>
      <c r="Q425" s="10">
        <v>2726342308</v>
      </c>
    </row>
    <row r="426" spans="1:19" ht="10.5" customHeight="1">
      <c r="A426" s="8">
        <v>42795</v>
      </c>
      <c r="B426" s="10">
        <v>1446771674</v>
      </c>
      <c r="C426" s="10">
        <v>45924102</v>
      </c>
      <c r="D426" s="10">
        <v>0</v>
      </c>
      <c r="E426" s="10">
        <v>501679963</v>
      </c>
      <c r="F426" s="10">
        <v>46563582</v>
      </c>
      <c r="G426" s="10">
        <v>222279553</v>
      </c>
      <c r="H426" s="10">
        <v>118553334</v>
      </c>
      <c r="I426" s="10">
        <v>475745</v>
      </c>
      <c r="J426" s="10">
        <v>0</v>
      </c>
      <c r="K426" s="10">
        <v>264362856</v>
      </c>
      <c r="L426" s="10">
        <v>306442721</v>
      </c>
      <c r="M426" s="10">
        <v>15828252</v>
      </c>
      <c r="N426" s="10">
        <v>0</v>
      </c>
      <c r="O426" s="10">
        <v>0</v>
      </c>
      <c r="P426" s="10">
        <v>0</v>
      </c>
      <c r="Q426" s="10">
        <v>2968881782</v>
      </c>
    </row>
    <row r="427" spans="1:19" ht="10.5" customHeight="1">
      <c r="A427" s="8">
        <v>42826</v>
      </c>
      <c r="B427" s="10">
        <v>1410514906</v>
      </c>
      <c r="C427" s="10">
        <v>53419232</v>
      </c>
      <c r="D427" s="10">
        <v>0</v>
      </c>
      <c r="E427" s="10">
        <v>620301137</v>
      </c>
      <c r="F427" s="10">
        <v>64718572</v>
      </c>
      <c r="G427" s="10">
        <v>224606862</v>
      </c>
      <c r="H427" s="10">
        <v>120084978</v>
      </c>
      <c r="I427" s="10">
        <v>2875604</v>
      </c>
      <c r="J427" s="10">
        <v>0</v>
      </c>
      <c r="K427" s="10">
        <v>-175390395</v>
      </c>
      <c r="L427" s="10">
        <v>359649825</v>
      </c>
      <c r="M427" s="10">
        <v>18558577</v>
      </c>
      <c r="N427" s="10">
        <v>0</v>
      </c>
      <c r="O427" s="10">
        <v>0</v>
      </c>
      <c r="P427" s="10">
        <v>0</v>
      </c>
      <c r="Q427" s="10">
        <v>2699339298</v>
      </c>
    </row>
    <row r="428" spans="1:19" ht="10.5" customHeight="1">
      <c r="A428" s="8">
        <v>42856</v>
      </c>
      <c r="B428" s="10">
        <v>1588489616</v>
      </c>
      <c r="C428" s="10">
        <v>50798369</v>
      </c>
      <c r="D428" s="10">
        <v>0</v>
      </c>
      <c r="E428" s="10">
        <v>578785845</v>
      </c>
      <c r="F428" s="10">
        <v>45618268</v>
      </c>
      <c r="G428" s="10">
        <v>192795571</v>
      </c>
      <c r="H428" s="10">
        <v>86802883</v>
      </c>
      <c r="I428" s="10">
        <v>542769</v>
      </c>
      <c r="J428" s="10">
        <v>0</v>
      </c>
      <c r="K428" s="10">
        <v>691776193</v>
      </c>
      <c r="L428" s="10">
        <v>315957247</v>
      </c>
      <c r="M428" s="10">
        <v>27022633</v>
      </c>
      <c r="N428" s="10">
        <v>0</v>
      </c>
      <c r="O428" s="10">
        <v>0</v>
      </c>
      <c r="P428" s="10">
        <v>0</v>
      </c>
      <c r="Q428" s="10">
        <v>3578589394</v>
      </c>
    </row>
    <row r="429" spans="1:19" ht="10.5" customHeight="1">
      <c r="A429" s="8">
        <v>42887</v>
      </c>
      <c r="B429" s="10">
        <v>1308638569</v>
      </c>
      <c r="C429" s="10">
        <v>58322206</v>
      </c>
      <c r="D429" s="10">
        <v>0</v>
      </c>
      <c r="E429" s="10">
        <v>544623207</v>
      </c>
      <c r="F429" s="10">
        <v>52238508</v>
      </c>
      <c r="G429" s="10">
        <v>181941232</v>
      </c>
      <c r="H429" s="10">
        <v>72195192</v>
      </c>
      <c r="I429" s="10">
        <v>1049867</v>
      </c>
      <c r="J429" s="10">
        <v>0</v>
      </c>
      <c r="K429" s="10">
        <v>-352464778</v>
      </c>
      <c r="L429" s="10">
        <v>397447237</v>
      </c>
      <c r="M429" s="10">
        <v>23206967</v>
      </c>
      <c r="N429" s="10">
        <v>0</v>
      </c>
      <c r="O429" s="10">
        <v>0</v>
      </c>
      <c r="P429" s="10">
        <v>0</v>
      </c>
      <c r="Q429" s="10">
        <v>2287198207</v>
      </c>
    </row>
    <row r="430" spans="1:19" ht="10.5" customHeight="1">
      <c r="A430" s="8">
        <v>42917</v>
      </c>
      <c r="B430" s="10">
        <v>1398387055</v>
      </c>
      <c r="C430" s="10">
        <v>54802573</v>
      </c>
      <c r="D430" s="10">
        <v>0</v>
      </c>
      <c r="E430" s="10">
        <v>550465506</v>
      </c>
      <c r="F430" s="10">
        <v>65923871</v>
      </c>
      <c r="G430" s="10">
        <v>175241410</v>
      </c>
      <c r="H430" s="10">
        <v>76575829</v>
      </c>
      <c r="I430" s="10">
        <v>1383939</v>
      </c>
      <c r="J430" s="10">
        <v>0</v>
      </c>
      <c r="K430" s="10">
        <v>-228901329</v>
      </c>
      <c r="L430" s="10">
        <v>353142157</v>
      </c>
      <c r="M430" s="10">
        <v>19990274</v>
      </c>
      <c r="N430" s="10">
        <v>0</v>
      </c>
      <c r="O430" s="10">
        <v>0</v>
      </c>
      <c r="P430" s="10">
        <v>0</v>
      </c>
      <c r="Q430" s="10">
        <v>2467011285</v>
      </c>
      <c r="S430" s="33">
        <f>SUM(B430:P430)-Q430</f>
        <v>0</v>
      </c>
    </row>
    <row r="431" spans="1:19" ht="10.5" customHeight="1">
      <c r="A431" s="8">
        <v>42948</v>
      </c>
      <c r="B431" s="10">
        <v>1389723742</v>
      </c>
      <c r="C431" s="10">
        <v>41546526</v>
      </c>
      <c r="D431" s="10">
        <v>0</v>
      </c>
      <c r="E431" s="10">
        <v>500592918</v>
      </c>
      <c r="F431" s="10">
        <v>53996291</v>
      </c>
      <c r="G431" s="10">
        <v>175659027</v>
      </c>
      <c r="H431" s="10">
        <v>69874674</v>
      </c>
      <c r="I431" s="10">
        <v>414107</v>
      </c>
      <c r="J431" s="10">
        <v>0</v>
      </c>
      <c r="K431" s="10">
        <v>662817065</v>
      </c>
      <c r="L431" s="10">
        <v>299752007</v>
      </c>
      <c r="M431" s="10">
        <v>21288578</v>
      </c>
      <c r="N431" s="10">
        <v>0</v>
      </c>
      <c r="O431" s="10">
        <v>0</v>
      </c>
      <c r="P431" s="10">
        <v>0</v>
      </c>
      <c r="Q431" s="10">
        <v>3215664935</v>
      </c>
      <c r="S431" s="33">
        <f t="shared" ref="S431:S435" si="0">SUM(B431:P431)-Q431</f>
        <v>0</v>
      </c>
    </row>
    <row r="432" spans="1:19" ht="10.5" customHeight="1">
      <c r="A432" s="8">
        <v>42979</v>
      </c>
      <c r="B432" s="10">
        <v>1334531183</v>
      </c>
      <c r="C432" s="10">
        <v>52487338</v>
      </c>
      <c r="D432" s="10">
        <v>0</v>
      </c>
      <c r="E432" s="10">
        <v>565684901</v>
      </c>
      <c r="F432" s="10">
        <v>74192520</v>
      </c>
      <c r="G432" s="10">
        <v>192047636</v>
      </c>
      <c r="H432" s="10">
        <v>81857091</v>
      </c>
      <c r="I432" s="10">
        <v>3932182</v>
      </c>
      <c r="J432" s="10">
        <v>0</v>
      </c>
      <c r="K432" s="10">
        <v>-255234726</v>
      </c>
      <c r="L432" s="10">
        <v>356832553</v>
      </c>
      <c r="M432" s="10">
        <v>22719566</v>
      </c>
      <c r="N432" s="10">
        <v>0</v>
      </c>
      <c r="O432" s="10">
        <v>0</v>
      </c>
      <c r="P432" s="10">
        <v>0</v>
      </c>
      <c r="Q432" s="10">
        <v>2429050244</v>
      </c>
      <c r="S432" s="33">
        <f t="shared" si="0"/>
        <v>0</v>
      </c>
    </row>
    <row r="433" spans="1:19" ht="10.5" customHeight="1">
      <c r="A433" s="8">
        <v>43009</v>
      </c>
      <c r="B433" s="10">
        <v>1410746941</v>
      </c>
      <c r="C433" s="10">
        <v>48495944</v>
      </c>
      <c r="D433" s="10">
        <v>0</v>
      </c>
      <c r="E433" s="10">
        <v>530332245</v>
      </c>
      <c r="F433" s="10">
        <v>52411121</v>
      </c>
      <c r="G433" s="10">
        <v>201787771</v>
      </c>
      <c r="H433" s="10">
        <v>92043557</v>
      </c>
      <c r="I433" s="10">
        <v>8465147</v>
      </c>
      <c r="J433" s="10">
        <v>0</v>
      </c>
      <c r="K433" s="10">
        <v>392750695</v>
      </c>
      <c r="L433" s="10">
        <v>346810307</v>
      </c>
      <c r="M433" s="10">
        <v>22775178</v>
      </c>
      <c r="N433" s="10">
        <v>0</v>
      </c>
      <c r="O433" s="10">
        <v>0</v>
      </c>
      <c r="P433" s="10">
        <v>0</v>
      </c>
      <c r="Q433" s="10">
        <v>3106618906</v>
      </c>
      <c r="S433" s="33">
        <f t="shared" si="0"/>
        <v>0</v>
      </c>
    </row>
    <row r="434" spans="1:19" ht="10.5" customHeight="1">
      <c r="A434" s="8">
        <v>43040</v>
      </c>
      <c r="B434" s="10">
        <v>1408218831</v>
      </c>
      <c r="C434" s="10">
        <v>51634881</v>
      </c>
      <c r="D434" s="10">
        <v>0</v>
      </c>
      <c r="E434" s="10">
        <v>610998525</v>
      </c>
      <c r="F434" s="10">
        <v>55240402</v>
      </c>
      <c r="G434" s="10">
        <v>216970766</v>
      </c>
      <c r="H434" s="10">
        <v>118792732</v>
      </c>
      <c r="I434" s="10">
        <v>9993005</v>
      </c>
      <c r="J434" s="10">
        <v>0</v>
      </c>
      <c r="K434" s="10">
        <v>213614475</v>
      </c>
      <c r="L434" s="10">
        <v>399736162</v>
      </c>
      <c r="M434" s="10">
        <v>23092061</v>
      </c>
      <c r="N434" s="10">
        <v>0</v>
      </c>
      <c r="O434" s="10">
        <v>0</v>
      </c>
      <c r="P434" s="10">
        <v>0</v>
      </c>
      <c r="Q434" s="10">
        <v>3108291840</v>
      </c>
      <c r="S434" s="33">
        <f t="shared" si="0"/>
        <v>0</v>
      </c>
    </row>
    <row r="435" spans="1:19" ht="10.5" customHeight="1">
      <c r="A435" s="8">
        <v>43070</v>
      </c>
      <c r="B435" s="10">
        <v>1511372671</v>
      </c>
      <c r="C435" s="10">
        <v>58451819</v>
      </c>
      <c r="D435" s="10">
        <v>0</v>
      </c>
      <c r="E435" s="10">
        <v>692317336</v>
      </c>
      <c r="F435" s="10">
        <v>105181503</v>
      </c>
      <c r="G435" s="10">
        <v>251407650</v>
      </c>
      <c r="H435" s="10">
        <v>199383620</v>
      </c>
      <c r="I435" s="10">
        <v>3351236</v>
      </c>
      <c r="J435" s="10">
        <v>0</v>
      </c>
      <c r="K435" s="10">
        <v>90672055</v>
      </c>
      <c r="L435" s="10">
        <v>401153529</v>
      </c>
      <c r="M435" s="10">
        <v>30439109</v>
      </c>
      <c r="N435" s="10">
        <v>0</v>
      </c>
      <c r="O435" s="10">
        <v>0</v>
      </c>
      <c r="P435" s="10">
        <v>0</v>
      </c>
      <c r="Q435" s="10">
        <v>3343730528</v>
      </c>
      <c r="S435" s="33">
        <f t="shared" si="0"/>
        <v>0</v>
      </c>
    </row>
    <row r="436" spans="1:19" ht="10.5" customHeight="1">
      <c r="A436" s="8">
        <v>43101</v>
      </c>
      <c r="B436" s="10">
        <v>1521260601</v>
      </c>
      <c r="C436" s="10">
        <v>54998844</v>
      </c>
      <c r="D436" s="10">
        <v>0</v>
      </c>
      <c r="E436" s="10">
        <v>952380240</v>
      </c>
      <c r="F436" s="10">
        <v>89948530</v>
      </c>
      <c r="G436" s="10">
        <v>303330597</v>
      </c>
      <c r="H436" s="10">
        <v>240506629</v>
      </c>
      <c r="I436" s="10">
        <v>13328017</v>
      </c>
      <c r="J436" s="10">
        <v>0</v>
      </c>
      <c r="K436" s="10">
        <v>50141435</v>
      </c>
      <c r="L436" s="10">
        <v>549540680</v>
      </c>
      <c r="M436" s="10">
        <v>29148813</v>
      </c>
      <c r="N436" s="10">
        <v>0</v>
      </c>
      <c r="O436" s="10">
        <v>0</v>
      </c>
      <c r="P436" s="10">
        <v>0</v>
      </c>
      <c r="Q436" s="10">
        <v>3804584386</v>
      </c>
      <c r="S436" s="33">
        <f t="shared" ref="S436:S445" si="1">SUM(B436:P436)-Q436</f>
        <v>0</v>
      </c>
    </row>
    <row r="437" spans="1:19" ht="10.5" customHeight="1">
      <c r="A437" s="8">
        <v>43132</v>
      </c>
      <c r="B437" s="10">
        <v>1777268174</v>
      </c>
      <c r="C437" s="10">
        <v>53079906</v>
      </c>
      <c r="D437" s="10">
        <v>0</v>
      </c>
      <c r="E437" s="10">
        <v>482052651</v>
      </c>
      <c r="F437" s="10">
        <v>37140681</v>
      </c>
      <c r="G437" s="10">
        <v>251052833</v>
      </c>
      <c r="H437" s="10">
        <v>135549201</v>
      </c>
      <c r="I437" s="10">
        <v>14109736</v>
      </c>
      <c r="J437" s="10">
        <v>0</v>
      </c>
      <c r="K437" s="10">
        <v>526955630</v>
      </c>
      <c r="L437" s="10">
        <v>243250689</v>
      </c>
      <c r="M437" s="10">
        <v>19159794</v>
      </c>
      <c r="N437" s="10">
        <v>0</v>
      </c>
      <c r="O437" s="10">
        <v>0</v>
      </c>
      <c r="P437" s="10">
        <v>0</v>
      </c>
      <c r="Q437" s="10">
        <v>3539619295</v>
      </c>
      <c r="S437" s="33">
        <f t="shared" si="1"/>
        <v>0</v>
      </c>
    </row>
    <row r="438" spans="1:19">
      <c r="A438" s="8">
        <v>43160</v>
      </c>
      <c r="B438" s="10">
        <v>1653526207</v>
      </c>
      <c r="C438" s="10">
        <v>48808365</v>
      </c>
      <c r="D438" s="10">
        <v>0</v>
      </c>
      <c r="E438" s="10">
        <v>443374957</v>
      </c>
      <c r="F438" s="10">
        <v>37142826</v>
      </c>
      <c r="G438" s="10">
        <v>236766712</v>
      </c>
      <c r="H438" s="10">
        <v>136648378</v>
      </c>
      <c r="I438" s="10">
        <v>8407126</v>
      </c>
      <c r="J438" s="10">
        <v>0</v>
      </c>
      <c r="K438" s="10">
        <v>-227005229</v>
      </c>
      <c r="L438" s="10">
        <v>306203690</v>
      </c>
      <c r="M438" s="10">
        <v>19433406</v>
      </c>
      <c r="N438" s="10">
        <v>0</v>
      </c>
      <c r="O438" s="10">
        <v>0</v>
      </c>
      <c r="P438" s="10">
        <v>0</v>
      </c>
      <c r="Q438" s="10">
        <v>2663306438</v>
      </c>
      <c r="S438" s="33">
        <f t="shared" si="1"/>
        <v>0</v>
      </c>
    </row>
    <row r="439" spans="1:19">
      <c r="A439" s="8">
        <v>43191</v>
      </c>
      <c r="B439" s="10">
        <v>1518459704</v>
      </c>
      <c r="C439" s="10">
        <v>57667827</v>
      </c>
      <c r="D439" s="10">
        <v>0</v>
      </c>
      <c r="E439" s="10">
        <v>620253961</v>
      </c>
      <c r="F439" s="10">
        <v>41568623</v>
      </c>
      <c r="G439" s="10">
        <v>232506945</v>
      </c>
      <c r="H439" s="10">
        <v>134554339</v>
      </c>
      <c r="I439" s="10">
        <v>11152152</v>
      </c>
      <c r="J439" s="10">
        <v>0</v>
      </c>
      <c r="K439" s="10">
        <v>-129077133</v>
      </c>
      <c r="L439" s="10">
        <v>269016576</v>
      </c>
      <c r="M439" s="10">
        <v>20784265</v>
      </c>
      <c r="N439" s="10">
        <v>0</v>
      </c>
      <c r="O439" s="10">
        <v>0</v>
      </c>
      <c r="P439" s="10">
        <v>0</v>
      </c>
      <c r="Q439" s="10">
        <v>2776887259</v>
      </c>
      <c r="S439" s="33">
        <f t="shared" si="1"/>
        <v>0</v>
      </c>
    </row>
    <row r="440" spans="1:19">
      <c r="A440" s="8">
        <v>43221</v>
      </c>
      <c r="B440" s="10">
        <v>1653828948</v>
      </c>
      <c r="C440" s="10">
        <v>56729382</v>
      </c>
      <c r="D440" s="10">
        <v>0</v>
      </c>
      <c r="E440" s="10">
        <v>649717018</v>
      </c>
      <c r="F440" s="10">
        <v>40507925</v>
      </c>
      <c r="G440" s="10">
        <v>219902715</v>
      </c>
      <c r="H440" s="10">
        <v>96247768</v>
      </c>
      <c r="I440" s="10">
        <v>11524682</v>
      </c>
      <c r="J440" s="10">
        <v>0</v>
      </c>
      <c r="K440" s="10">
        <v>328112882</v>
      </c>
      <c r="L440" s="10">
        <v>311757085</v>
      </c>
      <c r="M440" s="10">
        <v>28081884</v>
      </c>
      <c r="N440" s="10">
        <v>0</v>
      </c>
      <c r="O440" s="10">
        <v>0</v>
      </c>
      <c r="P440" s="10">
        <v>0</v>
      </c>
      <c r="Q440" s="10">
        <v>3396410289</v>
      </c>
      <c r="S440" s="33">
        <f t="shared" si="1"/>
        <v>0</v>
      </c>
    </row>
    <row r="441" spans="1:19">
      <c r="A441" s="8">
        <v>43252</v>
      </c>
      <c r="B441" s="10">
        <v>1467014561</v>
      </c>
      <c r="C441" s="10">
        <v>59559364</v>
      </c>
      <c r="D441" s="10">
        <v>0</v>
      </c>
      <c r="E441" s="10">
        <v>624314010</v>
      </c>
      <c r="F441" s="10">
        <v>50014423</v>
      </c>
      <c r="G441" s="10">
        <v>201396035</v>
      </c>
      <c r="H441" s="10">
        <v>75477895</v>
      </c>
      <c r="I441" s="10">
        <v>11324600</v>
      </c>
      <c r="J441" s="10">
        <v>0</v>
      </c>
      <c r="K441" s="10">
        <v>-337975677</v>
      </c>
      <c r="L441" s="10">
        <v>359997879</v>
      </c>
      <c r="M441" s="10">
        <v>24346143</v>
      </c>
      <c r="N441" s="10">
        <v>0</v>
      </c>
      <c r="O441" s="10">
        <v>0</v>
      </c>
      <c r="P441" s="10">
        <v>0</v>
      </c>
      <c r="Q441" s="10">
        <v>2535469233</v>
      </c>
      <c r="S441" s="33">
        <f t="shared" si="1"/>
        <v>0</v>
      </c>
    </row>
    <row r="442" spans="1:19">
      <c r="A442" s="8">
        <v>43282</v>
      </c>
      <c r="B442" s="10">
        <v>1594714544</v>
      </c>
      <c r="C442" s="10">
        <v>56804389</v>
      </c>
      <c r="D442" s="10">
        <v>0</v>
      </c>
      <c r="E442" s="10">
        <v>549731285</v>
      </c>
      <c r="F442" s="10">
        <v>49489610</v>
      </c>
      <c r="G442" s="10">
        <v>172975994</v>
      </c>
      <c r="H442" s="10">
        <v>87692555</v>
      </c>
      <c r="I442" s="10">
        <v>12677375</v>
      </c>
      <c r="J442" s="10">
        <v>0</v>
      </c>
      <c r="K442" s="10">
        <v>299904125</v>
      </c>
      <c r="L442" s="10">
        <v>289947336</v>
      </c>
      <c r="M442" s="10">
        <v>21949105</v>
      </c>
      <c r="N442" s="10">
        <v>0</v>
      </c>
      <c r="O442" s="10">
        <v>0</v>
      </c>
      <c r="P442" s="10">
        <v>0</v>
      </c>
      <c r="Q442" s="10">
        <v>3135886318</v>
      </c>
      <c r="S442" s="33">
        <f t="shared" si="1"/>
        <v>0</v>
      </c>
    </row>
    <row r="443" spans="1:19">
      <c r="A443" s="8">
        <v>43313</v>
      </c>
      <c r="B443" s="10">
        <v>1468923895</v>
      </c>
      <c r="C443" s="10">
        <v>45318672</v>
      </c>
      <c r="D443" s="10">
        <v>0</v>
      </c>
      <c r="E443" s="10">
        <v>589129753</v>
      </c>
      <c r="F443" s="10">
        <v>40580299</v>
      </c>
      <c r="G443" s="10">
        <v>177059379</v>
      </c>
      <c r="H443" s="10">
        <v>75006708</v>
      </c>
      <c r="I443" s="10">
        <v>16003282</v>
      </c>
      <c r="J443" s="10">
        <v>0</v>
      </c>
      <c r="K443" s="10">
        <v>-150438181</v>
      </c>
      <c r="L443" s="10">
        <v>252124196</v>
      </c>
      <c r="M443" s="10">
        <v>22865984</v>
      </c>
      <c r="N443" s="10">
        <v>0</v>
      </c>
      <c r="O443" s="10">
        <v>0</v>
      </c>
      <c r="P443" s="10">
        <v>0</v>
      </c>
      <c r="Q443" s="10">
        <v>2536573987</v>
      </c>
      <c r="S443" s="33">
        <f t="shared" si="1"/>
        <v>0</v>
      </c>
    </row>
    <row r="444" spans="1:19">
      <c r="A444" s="8">
        <v>43344</v>
      </c>
      <c r="B444" s="10">
        <v>1376468716</v>
      </c>
      <c r="C444" s="10">
        <v>52455689</v>
      </c>
      <c r="D444" s="10">
        <v>0</v>
      </c>
      <c r="E444" s="10">
        <v>616530015</v>
      </c>
      <c r="F444" s="10">
        <v>45027497</v>
      </c>
      <c r="G444" s="10">
        <v>192676956</v>
      </c>
      <c r="H444" s="10">
        <v>83323170</v>
      </c>
      <c r="I444" s="10">
        <v>12600523</v>
      </c>
      <c r="J444" s="10">
        <v>0</v>
      </c>
      <c r="K444" s="10">
        <v>-193937753</v>
      </c>
      <c r="L444" s="10">
        <v>335172511</v>
      </c>
      <c r="M444" s="10">
        <v>24172758</v>
      </c>
      <c r="N444" s="10">
        <v>0</v>
      </c>
      <c r="O444" s="10">
        <v>0</v>
      </c>
      <c r="P444" s="10">
        <v>0</v>
      </c>
      <c r="Q444" s="10">
        <v>2544490082</v>
      </c>
      <c r="S444" s="33">
        <f t="shared" si="1"/>
        <v>0</v>
      </c>
    </row>
    <row r="445" spans="1:19">
      <c r="A445" s="8">
        <v>43374</v>
      </c>
      <c r="B445" s="10">
        <v>1580491789</v>
      </c>
      <c r="C445" s="10">
        <v>49357729</v>
      </c>
      <c r="D445" s="10">
        <v>0</v>
      </c>
      <c r="E445" s="10">
        <v>552553043</v>
      </c>
      <c r="F445" s="10">
        <v>48052929</v>
      </c>
      <c r="G445" s="10">
        <v>202793255</v>
      </c>
      <c r="H445" s="10">
        <v>97702637</v>
      </c>
      <c r="I445" s="10">
        <v>8069716</v>
      </c>
      <c r="J445" s="10">
        <v>0</v>
      </c>
      <c r="K445" s="10">
        <v>627400949</v>
      </c>
      <c r="L445" s="10">
        <v>292477276</v>
      </c>
      <c r="M445" s="10">
        <v>21022640</v>
      </c>
      <c r="N445" s="10">
        <v>0</v>
      </c>
      <c r="O445" s="10">
        <v>0</v>
      </c>
      <c r="P445" s="10">
        <v>0</v>
      </c>
      <c r="Q445" s="10">
        <v>3479921963</v>
      </c>
      <c r="S445" s="33">
        <f t="shared" si="1"/>
        <v>0</v>
      </c>
    </row>
    <row r="446" spans="1:19">
      <c r="A446" s="8">
        <v>43405</v>
      </c>
      <c r="B446" s="10">
        <v>1400767747</v>
      </c>
      <c r="C446" s="10">
        <v>56491947</v>
      </c>
      <c r="D446" s="10">
        <v>0</v>
      </c>
      <c r="E446" s="10">
        <v>746567208</v>
      </c>
      <c r="F446" s="10">
        <v>55612936</v>
      </c>
      <c r="G446" s="10">
        <v>234105415</v>
      </c>
      <c r="H446" s="10">
        <v>137080811</v>
      </c>
      <c r="I446" s="10">
        <v>11095216</v>
      </c>
      <c r="J446" s="10">
        <v>0</v>
      </c>
      <c r="K446" s="10">
        <v>-247745292</v>
      </c>
      <c r="L446" s="10">
        <v>301971879</v>
      </c>
      <c r="M446" s="10">
        <v>27055096</v>
      </c>
      <c r="N446" s="10">
        <v>0</v>
      </c>
      <c r="O446" s="10">
        <v>0</v>
      </c>
      <c r="P446" s="10">
        <v>0</v>
      </c>
      <c r="Q446" s="10">
        <v>2723002963</v>
      </c>
      <c r="S446" s="33">
        <f>SUM(B446:P446)-Q446</f>
        <v>0</v>
      </c>
    </row>
    <row r="447" spans="1:19">
      <c r="A447" s="8">
        <v>43435</v>
      </c>
      <c r="B447" s="10">
        <v>1649514743</v>
      </c>
      <c r="C447" s="10">
        <v>60410188</v>
      </c>
      <c r="D447" s="10">
        <v>0</v>
      </c>
      <c r="E447" s="10">
        <v>690897144</v>
      </c>
      <c r="F447" s="10">
        <v>82005027</v>
      </c>
      <c r="G447" s="10">
        <v>262042339</v>
      </c>
      <c r="H447" s="10">
        <v>226060791</v>
      </c>
      <c r="I447" s="10">
        <v>6370538</v>
      </c>
      <c r="J447" s="10">
        <v>0</v>
      </c>
      <c r="K447" s="10">
        <v>157917400</v>
      </c>
      <c r="L447" s="10">
        <v>277579695</v>
      </c>
      <c r="M447" s="10">
        <v>28584088</v>
      </c>
      <c r="N447" s="10">
        <v>0</v>
      </c>
      <c r="O447" s="10">
        <v>0</v>
      </c>
      <c r="P447" s="10">
        <v>0</v>
      </c>
      <c r="Q447" s="10">
        <v>3441381953</v>
      </c>
      <c r="S447" s="33">
        <f>SUM(B447:P447)-Q447</f>
        <v>0</v>
      </c>
    </row>
    <row r="448" spans="1:19">
      <c r="A448" s="8">
        <v>43466</v>
      </c>
      <c r="B448" s="10">
        <v>1616898256</v>
      </c>
      <c r="C448" s="10">
        <v>49933403</v>
      </c>
      <c r="D448" s="10">
        <v>0</v>
      </c>
      <c r="E448" s="10">
        <v>1049488990</v>
      </c>
      <c r="F448" s="10">
        <v>112013701</v>
      </c>
      <c r="G448" s="10">
        <v>306372481</v>
      </c>
      <c r="H448" s="10">
        <v>219253505</v>
      </c>
      <c r="I448" s="10">
        <v>2886269</v>
      </c>
      <c r="J448" s="10">
        <v>0</v>
      </c>
      <c r="K448" s="10">
        <v>519502903</v>
      </c>
      <c r="L448" s="10">
        <v>417721102</v>
      </c>
      <c r="M448" s="10">
        <v>29419665</v>
      </c>
      <c r="N448" s="10">
        <v>0</v>
      </c>
      <c r="O448" s="10">
        <v>0</v>
      </c>
      <c r="P448" s="10">
        <v>0</v>
      </c>
      <c r="Q448" s="10">
        <v>4323490275</v>
      </c>
      <c r="S448" s="33">
        <f t="shared" ref="S448:S488" si="2">SUM(B448:P448)-Q448</f>
        <v>0</v>
      </c>
    </row>
    <row r="449" spans="1:19">
      <c r="A449" s="8">
        <v>43497</v>
      </c>
      <c r="B449" s="10">
        <v>1726540426</v>
      </c>
      <c r="C449" s="10">
        <v>47649586</v>
      </c>
      <c r="D449" s="10">
        <v>0</v>
      </c>
      <c r="E449" s="10">
        <v>358742620</v>
      </c>
      <c r="F449" s="10">
        <v>31910988</v>
      </c>
      <c r="G449" s="10">
        <v>224786964</v>
      </c>
      <c r="H449" s="10">
        <v>129627225</v>
      </c>
      <c r="I449" s="10">
        <v>8927029</v>
      </c>
      <c r="J449" s="10">
        <v>0</v>
      </c>
      <c r="K449" s="10">
        <v>43271852</v>
      </c>
      <c r="L449" s="10">
        <v>224548353</v>
      </c>
      <c r="M449" s="10">
        <v>21337794</v>
      </c>
      <c r="N449" s="10">
        <v>0</v>
      </c>
      <c r="O449" s="10">
        <v>0</v>
      </c>
      <c r="P449" s="10">
        <v>0</v>
      </c>
      <c r="Q449" s="10">
        <v>2817342837</v>
      </c>
      <c r="S449" s="33">
        <f t="shared" si="2"/>
        <v>0</v>
      </c>
    </row>
    <row r="450" spans="1:19">
      <c r="A450" s="8">
        <v>43525</v>
      </c>
      <c r="B450" s="10">
        <v>1673640411</v>
      </c>
      <c r="C450" s="10">
        <v>53356072</v>
      </c>
      <c r="D450" s="10">
        <v>0</v>
      </c>
      <c r="E450" s="10">
        <v>634680824</v>
      </c>
      <c r="F450" s="10">
        <v>51912961</v>
      </c>
      <c r="G450" s="10">
        <v>264270608</v>
      </c>
      <c r="H450" s="10">
        <v>145186444</v>
      </c>
      <c r="I450" s="10">
        <v>786401</v>
      </c>
      <c r="J450" s="10">
        <v>0</v>
      </c>
      <c r="K450" s="10">
        <v>-87643643</v>
      </c>
      <c r="L450" s="10">
        <v>324578773</v>
      </c>
      <c r="M450" s="10">
        <v>20664291</v>
      </c>
      <c r="N450" s="10">
        <v>0</v>
      </c>
      <c r="O450" s="10">
        <v>0</v>
      </c>
      <c r="P450" s="10">
        <v>0</v>
      </c>
      <c r="Q450" s="10">
        <v>3081433142</v>
      </c>
      <c r="S450" s="33">
        <f t="shared" si="2"/>
        <v>0</v>
      </c>
    </row>
    <row r="451" spans="1:19">
      <c r="A451" s="8">
        <v>43556</v>
      </c>
      <c r="B451" s="10">
        <v>1684562994</v>
      </c>
      <c r="C451" s="10">
        <v>55425082</v>
      </c>
      <c r="D451" s="10">
        <v>0</v>
      </c>
      <c r="E451" s="10">
        <v>480969848</v>
      </c>
      <c r="F451" s="10">
        <v>40198122</v>
      </c>
      <c r="G451" s="10">
        <v>227110644</v>
      </c>
      <c r="H451" s="10">
        <v>133361905</v>
      </c>
      <c r="I451" s="10">
        <v>14492183</v>
      </c>
      <c r="J451" s="10">
        <v>0</v>
      </c>
      <c r="K451" s="10">
        <v>571170426</v>
      </c>
      <c r="L451" s="10">
        <v>201730062</v>
      </c>
      <c r="M451" s="10">
        <v>20885205</v>
      </c>
      <c r="N451" s="10">
        <v>0</v>
      </c>
      <c r="O451" s="10">
        <v>0</v>
      </c>
      <c r="P451" s="10">
        <v>0</v>
      </c>
      <c r="Q451" s="10">
        <v>3429906471</v>
      </c>
      <c r="S451" s="33">
        <f t="shared" si="2"/>
        <v>0</v>
      </c>
    </row>
    <row r="452" spans="1:19">
      <c r="A452" s="8">
        <v>43586</v>
      </c>
      <c r="B452" s="10">
        <v>1702750448</v>
      </c>
      <c r="C452" s="10">
        <v>64461250</v>
      </c>
      <c r="D452" s="10">
        <v>0</v>
      </c>
      <c r="E452" s="10">
        <v>645602459</v>
      </c>
      <c r="F452" s="10">
        <v>42400425</v>
      </c>
      <c r="G452" s="10">
        <v>215055480</v>
      </c>
      <c r="H452" s="10">
        <v>81484754</v>
      </c>
      <c r="I452" s="10">
        <v>8368659</v>
      </c>
      <c r="J452" s="10">
        <v>0</v>
      </c>
      <c r="K452" s="10">
        <v>-168099701</v>
      </c>
      <c r="L452" s="10">
        <v>308890778</v>
      </c>
      <c r="M452" s="10">
        <v>28948530</v>
      </c>
      <c r="N452" s="10">
        <v>0</v>
      </c>
      <c r="O452" s="10">
        <v>0</v>
      </c>
      <c r="P452" s="10">
        <v>0</v>
      </c>
      <c r="Q452" s="10">
        <v>2929863082</v>
      </c>
      <c r="S452" s="33">
        <f t="shared" si="2"/>
        <v>0</v>
      </c>
    </row>
    <row r="453" spans="1:19">
      <c r="A453" s="8">
        <v>43617</v>
      </c>
      <c r="B453" s="10">
        <v>1740823402</v>
      </c>
      <c r="C453" s="10">
        <v>66491431</v>
      </c>
      <c r="D453" s="10">
        <v>0</v>
      </c>
      <c r="E453" s="10">
        <v>648799876</v>
      </c>
      <c r="F453" s="10">
        <v>52464668</v>
      </c>
      <c r="G453" s="10">
        <v>196999065</v>
      </c>
      <c r="H453" s="10">
        <v>89140541</v>
      </c>
      <c r="I453" s="10">
        <v>13937651</v>
      </c>
      <c r="J453" s="10">
        <v>0</v>
      </c>
      <c r="K453" s="10">
        <v>-28245257</v>
      </c>
      <c r="L453" s="10">
        <v>312818516</v>
      </c>
      <c r="M453" s="10">
        <v>24970383</v>
      </c>
      <c r="N453" s="10">
        <v>0</v>
      </c>
      <c r="O453" s="10">
        <v>0</v>
      </c>
      <c r="P453" s="10">
        <v>0</v>
      </c>
      <c r="Q453" s="10">
        <v>3118200276</v>
      </c>
      <c r="S453" s="33">
        <f t="shared" si="2"/>
        <v>0</v>
      </c>
    </row>
    <row r="454" spans="1:19">
      <c r="A454" s="8">
        <v>43647</v>
      </c>
      <c r="B454" s="10">
        <v>1658669637</v>
      </c>
      <c r="C454" s="10">
        <v>51486594</v>
      </c>
      <c r="D454" s="10">
        <v>0</v>
      </c>
      <c r="E454" s="10">
        <v>550178781</v>
      </c>
      <c r="F454" s="10">
        <v>56104639</v>
      </c>
      <c r="G454" s="10">
        <v>179355025</v>
      </c>
      <c r="H454" s="10">
        <v>93628948</v>
      </c>
      <c r="I454" s="10">
        <v>877478</v>
      </c>
      <c r="J454" s="10">
        <v>0</v>
      </c>
      <c r="K454" s="10">
        <v>484219150</v>
      </c>
      <c r="L454" s="10">
        <v>301911320</v>
      </c>
      <c r="M454" s="10">
        <v>24688177</v>
      </c>
      <c r="N454" s="10">
        <v>0</v>
      </c>
      <c r="O454" s="10">
        <v>0</v>
      </c>
      <c r="P454" s="10">
        <v>0</v>
      </c>
      <c r="Q454" s="10">
        <v>3401119749</v>
      </c>
      <c r="S454" s="33">
        <f t="shared" si="2"/>
        <v>0</v>
      </c>
    </row>
    <row r="455" spans="1:19">
      <c r="A455" s="8">
        <v>43678</v>
      </c>
      <c r="B455" s="10">
        <v>1485559717</v>
      </c>
      <c r="C455" s="10">
        <v>50316655</v>
      </c>
      <c r="D455" s="10">
        <v>0</v>
      </c>
      <c r="E455" s="10">
        <v>657475602</v>
      </c>
      <c r="F455" s="10">
        <v>56759500</v>
      </c>
      <c r="G455" s="10">
        <v>195644974</v>
      </c>
      <c r="H455" s="10">
        <v>54110608</v>
      </c>
      <c r="I455" s="10">
        <v>1765952</v>
      </c>
      <c r="J455" s="10">
        <v>0</v>
      </c>
      <c r="K455" s="10">
        <v>-353787649</v>
      </c>
      <c r="L455" s="10">
        <v>323183982</v>
      </c>
      <c r="M455" s="10">
        <v>24407400</v>
      </c>
      <c r="N455" s="10">
        <v>0</v>
      </c>
      <c r="O455" s="10">
        <v>0</v>
      </c>
      <c r="P455" s="10">
        <v>0</v>
      </c>
      <c r="Q455" s="10">
        <v>2495436741</v>
      </c>
      <c r="S455" s="33">
        <f t="shared" si="2"/>
        <v>0</v>
      </c>
    </row>
    <row r="456" spans="1:19" ht="12.6" customHeight="1">
      <c r="A456" s="8">
        <v>43709</v>
      </c>
      <c r="B456" s="10">
        <v>1678640179</v>
      </c>
      <c r="C456" s="10">
        <v>58054980</v>
      </c>
      <c r="D456" s="10">
        <v>0</v>
      </c>
      <c r="E456" s="10">
        <v>611232829</v>
      </c>
      <c r="F456" s="10">
        <v>45664242</v>
      </c>
      <c r="G456" s="10">
        <v>203618875</v>
      </c>
      <c r="H456" s="10">
        <v>92991915</v>
      </c>
      <c r="I456" s="10">
        <v>7999038</v>
      </c>
      <c r="J456" s="10">
        <v>0</v>
      </c>
      <c r="K456" s="10">
        <v>51678311</v>
      </c>
      <c r="L456" s="10">
        <v>284106334</v>
      </c>
      <c r="M456" s="10">
        <v>25034332</v>
      </c>
      <c r="N456" s="10">
        <v>0</v>
      </c>
      <c r="O456" s="10">
        <v>0</v>
      </c>
      <c r="P456" s="10">
        <v>0</v>
      </c>
      <c r="Q456" s="10">
        <v>3059021035</v>
      </c>
      <c r="S456" s="33">
        <f t="shared" si="2"/>
        <v>0</v>
      </c>
    </row>
    <row r="457" spans="1:19">
      <c r="A457" s="8">
        <v>43739</v>
      </c>
      <c r="B457" s="10">
        <v>1714597614</v>
      </c>
      <c r="C457" s="10">
        <v>57047093</v>
      </c>
      <c r="D457" s="10">
        <v>0</v>
      </c>
      <c r="E457" s="10">
        <v>623663267</v>
      </c>
      <c r="F457" s="10">
        <v>42432360</v>
      </c>
      <c r="G457" s="10">
        <v>213297120</v>
      </c>
      <c r="H457" s="10">
        <v>100938725</v>
      </c>
      <c r="I457" s="10">
        <v>9315337</v>
      </c>
      <c r="J457" s="10">
        <v>0</v>
      </c>
      <c r="K457" s="10">
        <v>787223163</v>
      </c>
      <c r="L457" s="10">
        <v>322942447</v>
      </c>
      <c r="M457" s="10">
        <v>24470992</v>
      </c>
      <c r="N457" s="10">
        <v>0</v>
      </c>
      <c r="O457" s="10">
        <v>0</v>
      </c>
      <c r="P457" s="10">
        <v>0</v>
      </c>
      <c r="Q457" s="10">
        <v>3895928118</v>
      </c>
      <c r="S457" s="33">
        <f t="shared" si="2"/>
        <v>0</v>
      </c>
    </row>
    <row r="458" spans="1:19">
      <c r="A458" s="8">
        <v>43770</v>
      </c>
      <c r="B458" s="10">
        <v>1651240361</v>
      </c>
      <c r="C458" s="10">
        <v>60221593</v>
      </c>
      <c r="D458" s="10">
        <v>0</v>
      </c>
      <c r="E458" s="10">
        <v>692497786</v>
      </c>
      <c r="F458" s="10">
        <v>62395580</v>
      </c>
      <c r="G458" s="10">
        <v>244663350</v>
      </c>
      <c r="H458" s="10">
        <v>138949312</v>
      </c>
      <c r="I458" s="10">
        <v>8140048</v>
      </c>
      <c r="J458" s="10">
        <v>0</v>
      </c>
      <c r="K458" s="10">
        <v>-301282151</v>
      </c>
      <c r="L458" s="10">
        <v>384039608</v>
      </c>
      <c r="M458" s="10">
        <v>27888098</v>
      </c>
      <c r="N458" s="10">
        <v>0</v>
      </c>
      <c r="O458" s="10">
        <v>0</v>
      </c>
      <c r="P458" s="10">
        <v>0</v>
      </c>
      <c r="Q458" s="10">
        <v>2968753585</v>
      </c>
      <c r="S458" s="33">
        <f t="shared" si="2"/>
        <v>0</v>
      </c>
    </row>
    <row r="459" spans="1:19">
      <c r="A459" s="8">
        <v>43800</v>
      </c>
      <c r="B459" s="10">
        <v>1760098119</v>
      </c>
      <c r="C459" s="10">
        <v>62507379</v>
      </c>
      <c r="D459" s="10">
        <v>0</v>
      </c>
      <c r="E459" s="10">
        <v>749345867</v>
      </c>
      <c r="F459" s="10">
        <v>83032943</v>
      </c>
      <c r="G459" s="10">
        <v>282400938</v>
      </c>
      <c r="H459" s="10">
        <v>215065104</v>
      </c>
      <c r="I459" s="10">
        <v>13236896</v>
      </c>
      <c r="J459" s="10">
        <v>0</v>
      </c>
      <c r="K459" s="10">
        <v>72718162</v>
      </c>
      <c r="L459" s="10">
        <v>392110948</v>
      </c>
      <c r="M459" s="10">
        <v>33904689</v>
      </c>
      <c r="N459" s="10">
        <v>0</v>
      </c>
      <c r="O459" s="10">
        <v>0</v>
      </c>
      <c r="P459" s="10">
        <v>0</v>
      </c>
      <c r="Q459" s="10">
        <v>3664421045</v>
      </c>
      <c r="S459" s="33">
        <f t="shared" si="2"/>
        <v>0</v>
      </c>
    </row>
    <row r="460" spans="1:19">
      <c r="A460" s="8">
        <v>43831</v>
      </c>
      <c r="B460" s="10">
        <v>1800389019</v>
      </c>
      <c r="C460" s="10">
        <v>60761965</v>
      </c>
      <c r="D460" s="10">
        <v>0</v>
      </c>
      <c r="E460" s="10">
        <v>1052459038</v>
      </c>
      <c r="F460" s="10">
        <v>97449922</v>
      </c>
      <c r="G460" s="10">
        <v>345066570</v>
      </c>
      <c r="H460" s="10">
        <v>249731845</v>
      </c>
      <c r="I460" s="10">
        <v>15900652</v>
      </c>
      <c r="J460" s="10">
        <v>0</v>
      </c>
      <c r="K460" s="10">
        <v>16147955</v>
      </c>
      <c r="L460" s="10">
        <v>463397276</v>
      </c>
      <c r="M460" s="10">
        <v>26892908</v>
      </c>
      <c r="N460" s="10">
        <v>0</v>
      </c>
      <c r="O460" s="10">
        <v>0</v>
      </c>
      <c r="P460" s="10">
        <v>0</v>
      </c>
      <c r="Q460" s="10">
        <v>4128197150</v>
      </c>
      <c r="S460" s="33">
        <f t="shared" si="2"/>
        <v>0</v>
      </c>
    </row>
    <row r="461" spans="1:19">
      <c r="A461" s="8">
        <v>43862</v>
      </c>
      <c r="B461" s="10">
        <v>1988892446</v>
      </c>
      <c r="C461" s="10">
        <v>50452020</v>
      </c>
      <c r="D461" s="10">
        <v>0</v>
      </c>
      <c r="E461" s="10">
        <v>495825528</v>
      </c>
      <c r="F461" s="10">
        <v>44926439</v>
      </c>
      <c r="G461" s="10">
        <v>247339442</v>
      </c>
      <c r="H461" s="10">
        <v>131263271</v>
      </c>
      <c r="I461" s="10">
        <v>8367379</v>
      </c>
      <c r="J461" s="10">
        <v>0</v>
      </c>
      <c r="K461" s="10">
        <v>117075329</v>
      </c>
      <c r="L461" s="10">
        <v>311910604</v>
      </c>
      <c r="M461" s="10">
        <v>22952471</v>
      </c>
      <c r="N461" s="10">
        <v>0</v>
      </c>
      <c r="O461" s="10">
        <v>0</v>
      </c>
      <c r="P461" s="10">
        <v>0</v>
      </c>
      <c r="Q461" s="10">
        <v>3419004929</v>
      </c>
      <c r="S461" s="33">
        <f t="shared" si="2"/>
        <v>0</v>
      </c>
    </row>
    <row r="462" spans="1:19">
      <c r="A462" s="8">
        <v>43891</v>
      </c>
      <c r="B462" s="10">
        <v>1874388010</v>
      </c>
      <c r="C462" s="10">
        <v>55064709</v>
      </c>
      <c r="D462" s="10">
        <v>0</v>
      </c>
      <c r="E462" s="10">
        <v>521689655</v>
      </c>
      <c r="F462" s="10">
        <v>35969979</v>
      </c>
      <c r="G462" s="10">
        <v>253244800</v>
      </c>
      <c r="H462" s="10">
        <v>155231388</v>
      </c>
      <c r="I462" s="10">
        <v>6972081</v>
      </c>
      <c r="J462" s="10">
        <v>0</v>
      </c>
      <c r="K462" s="10">
        <v>618515348</v>
      </c>
      <c r="L462" s="10">
        <v>360510476</v>
      </c>
      <c r="M462" s="10">
        <v>21125793</v>
      </c>
      <c r="N462" s="10">
        <v>0</v>
      </c>
      <c r="O462" s="10">
        <v>0</v>
      </c>
      <c r="P462" s="10">
        <v>0</v>
      </c>
      <c r="Q462" s="10">
        <v>3902712239</v>
      </c>
      <c r="S462" s="33">
        <f t="shared" si="2"/>
        <v>0</v>
      </c>
    </row>
    <row r="463" spans="1:19">
      <c r="A463" s="8">
        <v>43922</v>
      </c>
      <c r="B463" s="10">
        <v>1744830717</v>
      </c>
      <c r="C463" s="10">
        <v>52480737</v>
      </c>
      <c r="D463" s="10">
        <v>0</v>
      </c>
      <c r="E463" s="10">
        <v>633412254</v>
      </c>
      <c r="F463" s="10">
        <v>39204276</v>
      </c>
      <c r="G463" s="10">
        <v>247584680</v>
      </c>
      <c r="H463" s="10">
        <v>114565576</v>
      </c>
      <c r="I463" s="10">
        <v>12224844</v>
      </c>
      <c r="J463" s="10">
        <v>0</v>
      </c>
      <c r="K463" s="10">
        <v>-406164355</v>
      </c>
      <c r="L463" s="10">
        <v>329870443</v>
      </c>
      <c r="M463" s="10">
        <v>21242977</v>
      </c>
      <c r="N463" s="10">
        <v>0</v>
      </c>
      <c r="O463" s="10">
        <v>0</v>
      </c>
      <c r="P463" s="10">
        <v>0</v>
      </c>
      <c r="Q463" s="10">
        <v>2789252149</v>
      </c>
      <c r="S463" s="33">
        <f t="shared" si="2"/>
        <v>0</v>
      </c>
    </row>
    <row r="464" spans="1:19">
      <c r="A464" s="8">
        <v>43952</v>
      </c>
      <c r="B464" s="10">
        <v>1386136883</v>
      </c>
      <c r="C464" s="10">
        <v>50931638</v>
      </c>
      <c r="D464" s="10">
        <v>0</v>
      </c>
      <c r="E464" s="10">
        <v>532842958</v>
      </c>
      <c r="F464" s="10">
        <v>33656154</v>
      </c>
      <c r="G464" s="10">
        <v>188504567</v>
      </c>
      <c r="H464" s="10">
        <v>71531532</v>
      </c>
      <c r="I464" s="10">
        <v>11408030</v>
      </c>
      <c r="J464" s="10">
        <v>0</v>
      </c>
      <c r="K464" s="10">
        <v>-656263892</v>
      </c>
      <c r="L464" s="10">
        <v>152746890</v>
      </c>
      <c r="M464" s="10">
        <v>16792808</v>
      </c>
      <c r="N464" s="10">
        <v>0</v>
      </c>
      <c r="O464" s="10">
        <v>0</v>
      </c>
      <c r="P464" s="10">
        <v>0</v>
      </c>
      <c r="Q464" s="10">
        <v>1788287568</v>
      </c>
      <c r="S464" s="33">
        <f t="shared" si="2"/>
        <v>0</v>
      </c>
    </row>
    <row r="465" spans="1:19">
      <c r="A465" s="8">
        <v>43983</v>
      </c>
      <c r="B465" s="10">
        <v>1119522325</v>
      </c>
      <c r="C465" s="10">
        <v>62015432</v>
      </c>
      <c r="D465" s="10">
        <v>0</v>
      </c>
      <c r="E465" s="10">
        <v>559431313</v>
      </c>
      <c r="F465" s="10">
        <v>46689607</v>
      </c>
      <c r="G465" s="10">
        <v>186176193</v>
      </c>
      <c r="H465" s="10">
        <v>79233856</v>
      </c>
      <c r="I465" s="10">
        <v>12259348</v>
      </c>
      <c r="J465" s="10">
        <v>0</v>
      </c>
      <c r="K465" s="10">
        <v>-199218200</v>
      </c>
      <c r="L465" s="10">
        <v>209061652</v>
      </c>
      <c r="M465" s="10">
        <v>24248896</v>
      </c>
      <c r="N465" s="10">
        <v>0</v>
      </c>
      <c r="O465" s="10">
        <v>0</v>
      </c>
      <c r="P465" s="10">
        <v>0</v>
      </c>
      <c r="Q465" s="10">
        <v>2099420422</v>
      </c>
      <c r="S465" s="33">
        <f t="shared" si="2"/>
        <v>0</v>
      </c>
    </row>
    <row r="466" spans="1:19">
      <c r="A466" s="8">
        <v>44013</v>
      </c>
      <c r="B466" s="10">
        <v>1426472095</v>
      </c>
      <c r="C466" s="10">
        <v>64032300</v>
      </c>
      <c r="D466" s="10">
        <v>0</v>
      </c>
      <c r="E466" s="10">
        <v>641935775</v>
      </c>
      <c r="F466" s="10">
        <v>61531684</v>
      </c>
      <c r="G466" s="10">
        <v>204835864</v>
      </c>
      <c r="H466" s="10">
        <v>76665984</v>
      </c>
      <c r="I466" s="10">
        <v>9689013</v>
      </c>
      <c r="J466" s="10">
        <v>0</v>
      </c>
      <c r="K466" s="10">
        <v>45044710</v>
      </c>
      <c r="L466" s="10">
        <v>248214931</v>
      </c>
      <c r="M466" s="10">
        <v>29568877</v>
      </c>
      <c r="N466" s="10">
        <v>0</v>
      </c>
      <c r="O466" s="10">
        <v>0</v>
      </c>
      <c r="P466" s="10">
        <v>0</v>
      </c>
      <c r="Q466" s="10">
        <v>2807991233</v>
      </c>
      <c r="S466" s="33">
        <f t="shared" si="2"/>
        <v>0</v>
      </c>
    </row>
    <row r="467" spans="1:19">
      <c r="A467" s="8">
        <v>44044</v>
      </c>
      <c r="B467" s="10">
        <v>1984510710</v>
      </c>
      <c r="C467" s="10">
        <v>78774886</v>
      </c>
      <c r="D467" s="10">
        <v>0</v>
      </c>
      <c r="E467" s="10">
        <v>689657572</v>
      </c>
      <c r="F467" s="10">
        <v>72812975</v>
      </c>
      <c r="G467" s="10">
        <v>201345022</v>
      </c>
      <c r="H467" s="10">
        <v>106746504</v>
      </c>
      <c r="I467" s="10">
        <v>41769994</v>
      </c>
      <c r="J467" s="10">
        <v>0</v>
      </c>
      <c r="K467" s="10">
        <v>0</v>
      </c>
      <c r="L467" s="10">
        <v>457690207</v>
      </c>
      <c r="M467" s="10">
        <v>37738119</v>
      </c>
      <c r="N467" s="10">
        <v>0</v>
      </c>
      <c r="O467" s="10">
        <v>0</v>
      </c>
      <c r="P467" s="10">
        <v>0</v>
      </c>
      <c r="Q467" s="10">
        <v>3671045989</v>
      </c>
      <c r="S467" s="33">
        <f t="shared" si="2"/>
        <v>0</v>
      </c>
    </row>
    <row r="468" spans="1:19">
      <c r="A468" s="8">
        <v>44075</v>
      </c>
      <c r="B468" s="10">
        <v>2737541750</v>
      </c>
      <c r="C468" s="10">
        <v>74786917</v>
      </c>
      <c r="D468" s="10">
        <v>0</v>
      </c>
      <c r="E468" s="10">
        <v>676919658</v>
      </c>
      <c r="F468" s="10">
        <v>77563916</v>
      </c>
      <c r="G468" s="10">
        <v>239408373</v>
      </c>
      <c r="H468" s="10">
        <v>168004021</v>
      </c>
      <c r="I468" s="10">
        <v>21519994</v>
      </c>
      <c r="J468" s="10">
        <v>0</v>
      </c>
      <c r="K468" s="10">
        <v>0</v>
      </c>
      <c r="L468" s="10">
        <v>431653581</v>
      </c>
      <c r="M468" s="10">
        <v>42721198</v>
      </c>
      <c r="N468" s="10">
        <v>0</v>
      </c>
      <c r="O468" s="10">
        <v>0</v>
      </c>
      <c r="P468" s="10">
        <v>0</v>
      </c>
      <c r="Q468" s="10">
        <v>4470119408</v>
      </c>
      <c r="S468" s="33">
        <f t="shared" si="2"/>
        <v>0</v>
      </c>
    </row>
    <row r="469" spans="1:19">
      <c r="A469" s="8">
        <v>44105</v>
      </c>
      <c r="B469" s="10">
        <v>1596738163</v>
      </c>
      <c r="C469" s="10">
        <v>85607988</v>
      </c>
      <c r="D469" s="10">
        <v>0</v>
      </c>
      <c r="E469" s="10">
        <v>688963331</v>
      </c>
      <c r="F469" s="10">
        <v>66891300</v>
      </c>
      <c r="G469" s="10">
        <v>241199101</v>
      </c>
      <c r="H469" s="10">
        <v>141543396</v>
      </c>
      <c r="I469" s="10">
        <v>24018057</v>
      </c>
      <c r="J469" s="10">
        <v>0</v>
      </c>
      <c r="K469" s="10">
        <v>0</v>
      </c>
      <c r="L469" s="10">
        <v>509738012</v>
      </c>
      <c r="M469" s="10">
        <v>38312175</v>
      </c>
      <c r="N469" s="10">
        <v>0</v>
      </c>
      <c r="O469" s="10">
        <v>0</v>
      </c>
      <c r="P469" s="10">
        <v>0</v>
      </c>
      <c r="Q469" s="10">
        <v>3393011523</v>
      </c>
      <c r="S469" s="33">
        <f t="shared" si="2"/>
        <v>0</v>
      </c>
    </row>
    <row r="470" spans="1:19">
      <c r="A470" s="8">
        <v>44136</v>
      </c>
      <c r="B470" s="10">
        <v>1801073768</v>
      </c>
      <c r="C470" s="10">
        <v>76762145</v>
      </c>
      <c r="D470" s="10">
        <v>0</v>
      </c>
      <c r="E470" s="10">
        <v>745283039</v>
      </c>
      <c r="F470" s="10">
        <v>62165136</v>
      </c>
      <c r="G470" s="10">
        <v>250337455</v>
      </c>
      <c r="H470" s="10">
        <v>158131037</v>
      </c>
      <c r="I470" s="10">
        <v>37102435</v>
      </c>
      <c r="J470" s="10">
        <v>0</v>
      </c>
      <c r="K470" s="10">
        <v>0</v>
      </c>
      <c r="L470" s="10">
        <v>576084084</v>
      </c>
      <c r="M470" s="10">
        <v>40653058</v>
      </c>
      <c r="N470" s="10">
        <v>0</v>
      </c>
      <c r="O470" s="10">
        <v>0</v>
      </c>
      <c r="P470" s="10">
        <v>0</v>
      </c>
      <c r="Q470" s="10">
        <v>3747592157</v>
      </c>
      <c r="S470" s="33">
        <f t="shared" si="2"/>
        <v>0</v>
      </c>
    </row>
    <row r="471" spans="1:19">
      <c r="A471" s="8">
        <v>44166</v>
      </c>
      <c r="B471" s="10">
        <v>2696415845</v>
      </c>
      <c r="C471" s="10">
        <v>103284363</v>
      </c>
      <c r="D471" s="10">
        <v>0</v>
      </c>
      <c r="E471" s="10">
        <v>705226541</v>
      </c>
      <c r="F471" s="10">
        <v>75549250</v>
      </c>
      <c r="G471" s="10">
        <v>273477350</v>
      </c>
      <c r="H471" s="10">
        <v>235527172</v>
      </c>
      <c r="I471" s="10">
        <v>30590692</v>
      </c>
      <c r="J471" s="10">
        <v>0</v>
      </c>
      <c r="K471" s="10">
        <v>0</v>
      </c>
      <c r="L471" s="10">
        <v>574989073</v>
      </c>
      <c r="M471" s="10">
        <v>44133306</v>
      </c>
      <c r="N471" s="10">
        <v>0</v>
      </c>
      <c r="O471" s="10">
        <v>0</v>
      </c>
      <c r="P471" s="10">
        <v>0</v>
      </c>
      <c r="Q471" s="10">
        <v>4739193592</v>
      </c>
      <c r="S471" s="33">
        <f t="shared" si="2"/>
        <v>0</v>
      </c>
    </row>
    <row r="472" spans="1:19">
      <c r="A472" s="8">
        <v>44197</v>
      </c>
      <c r="B472" s="10">
        <v>1477086500</v>
      </c>
      <c r="C472" s="10">
        <v>91430139</v>
      </c>
      <c r="D472" s="10">
        <v>0</v>
      </c>
      <c r="E472" s="10">
        <v>1075438755</v>
      </c>
      <c r="F472" s="10">
        <v>84140934</v>
      </c>
      <c r="G472" s="10">
        <v>325511978</v>
      </c>
      <c r="H472" s="10">
        <v>220676462</v>
      </c>
      <c r="I472" s="10">
        <v>6168517</v>
      </c>
      <c r="J472" s="10">
        <v>0</v>
      </c>
      <c r="K472" s="10">
        <v>0</v>
      </c>
      <c r="L472" s="10">
        <v>596920294</v>
      </c>
      <c r="M472" s="10">
        <v>36211957</v>
      </c>
      <c r="N472" s="10">
        <v>0</v>
      </c>
      <c r="O472" s="10">
        <v>0</v>
      </c>
      <c r="P472" s="10">
        <v>0</v>
      </c>
      <c r="Q472" s="10">
        <v>3913585536</v>
      </c>
      <c r="S472" s="33">
        <f t="shared" si="2"/>
        <v>0</v>
      </c>
    </row>
    <row r="473" spans="1:19">
      <c r="A473" s="8">
        <v>44228</v>
      </c>
      <c r="B473" s="10">
        <v>1968513334</v>
      </c>
      <c r="C473" s="10">
        <v>75681247</v>
      </c>
      <c r="D473" s="10">
        <v>0</v>
      </c>
      <c r="E473" s="10">
        <v>626127246</v>
      </c>
      <c r="F473" s="10">
        <v>28450612</v>
      </c>
      <c r="G473" s="10">
        <v>225764488</v>
      </c>
      <c r="H473" s="10">
        <v>127564234</v>
      </c>
      <c r="I473" s="10">
        <v>16245944</v>
      </c>
      <c r="J473" s="10">
        <v>0</v>
      </c>
      <c r="K473" s="10">
        <v>0</v>
      </c>
      <c r="L473" s="10">
        <v>470463217</v>
      </c>
      <c r="M473" s="10">
        <v>34576583</v>
      </c>
      <c r="N473" s="10">
        <v>0</v>
      </c>
      <c r="O473" s="10">
        <v>0</v>
      </c>
      <c r="P473" s="10">
        <v>0</v>
      </c>
      <c r="Q473" s="10">
        <v>3573386905</v>
      </c>
      <c r="S473" s="33">
        <f t="shared" si="2"/>
        <v>0</v>
      </c>
    </row>
    <row r="474" spans="1:19">
      <c r="A474" s="8">
        <v>44256</v>
      </c>
      <c r="B474" s="10">
        <v>2145106957</v>
      </c>
      <c r="C474" s="10">
        <v>100508773</v>
      </c>
      <c r="D474" s="10">
        <v>0</v>
      </c>
      <c r="E474" s="10">
        <v>443097932</v>
      </c>
      <c r="F474" s="10">
        <v>79919179</v>
      </c>
      <c r="G474" s="10">
        <v>251426867</v>
      </c>
      <c r="H474" s="10">
        <v>150894096</v>
      </c>
      <c r="I474" s="10">
        <v>21600681</v>
      </c>
      <c r="J474" s="10">
        <v>0</v>
      </c>
      <c r="K474" s="10">
        <v>0</v>
      </c>
      <c r="L474" s="10">
        <v>665494091</v>
      </c>
      <c r="M474" s="10">
        <v>38634899</v>
      </c>
      <c r="N474" s="10">
        <v>0</v>
      </c>
      <c r="O474" s="10">
        <v>0</v>
      </c>
      <c r="P474" s="10">
        <v>0</v>
      </c>
      <c r="Q474" s="10">
        <v>3896683475</v>
      </c>
      <c r="S474" s="33">
        <f t="shared" si="2"/>
        <v>0</v>
      </c>
    </row>
    <row r="475" spans="1:19">
      <c r="A475" s="8">
        <v>44287</v>
      </c>
      <c r="B475" s="10">
        <v>1439523521</v>
      </c>
      <c r="C475" s="10">
        <v>224028290</v>
      </c>
      <c r="D475" s="10">
        <v>0</v>
      </c>
      <c r="E475" s="10">
        <v>718411555</v>
      </c>
      <c r="F475" s="10">
        <v>58234365</v>
      </c>
      <c r="G475" s="10">
        <v>265836585</v>
      </c>
      <c r="H475" s="10">
        <v>142664697</v>
      </c>
      <c r="I475" s="10">
        <v>4677601</v>
      </c>
      <c r="J475" s="10">
        <v>0</v>
      </c>
      <c r="K475" s="10">
        <v>0</v>
      </c>
      <c r="L475" s="10">
        <v>607453954</v>
      </c>
      <c r="M475" s="10">
        <v>38571491</v>
      </c>
      <c r="N475" s="10">
        <v>0</v>
      </c>
      <c r="O475" s="10">
        <v>0</v>
      </c>
      <c r="P475" s="10">
        <v>0</v>
      </c>
      <c r="Q475" s="10">
        <v>3499402059</v>
      </c>
      <c r="S475" s="33">
        <f t="shared" si="2"/>
        <v>0</v>
      </c>
    </row>
    <row r="476" spans="1:19">
      <c r="A476" s="8">
        <v>44317</v>
      </c>
      <c r="B476" s="10">
        <v>2362305456</v>
      </c>
      <c r="C476" s="10">
        <v>89760305</v>
      </c>
      <c r="D476" s="10">
        <v>0</v>
      </c>
      <c r="E476" s="10">
        <v>602776596</v>
      </c>
      <c r="F476" s="10">
        <v>41853013</v>
      </c>
      <c r="G476" s="10">
        <v>189891036</v>
      </c>
      <c r="H476" s="10">
        <v>31063051</v>
      </c>
      <c r="I476" s="10">
        <v>18301750</v>
      </c>
      <c r="J476" s="10">
        <v>0</v>
      </c>
      <c r="K476" s="10">
        <v>0</v>
      </c>
      <c r="L476" s="10">
        <v>682965592</v>
      </c>
      <c r="M476" s="10">
        <v>41847430</v>
      </c>
      <c r="N476" s="10">
        <v>0</v>
      </c>
      <c r="O476" s="10">
        <v>0</v>
      </c>
      <c r="P476" s="10">
        <v>0</v>
      </c>
      <c r="Q476" s="10">
        <v>4060764229</v>
      </c>
      <c r="S476" s="33">
        <f t="shared" si="2"/>
        <v>0</v>
      </c>
    </row>
    <row r="477" spans="1:19">
      <c r="A477" s="8">
        <v>44348</v>
      </c>
      <c r="B477" s="10">
        <v>2075379459</v>
      </c>
      <c r="C477" s="10">
        <v>88264361</v>
      </c>
      <c r="D477" s="10">
        <v>0</v>
      </c>
      <c r="E477" s="10">
        <v>612061331</v>
      </c>
      <c r="F477" s="10">
        <v>132592171</v>
      </c>
      <c r="G477" s="10">
        <v>170405121</v>
      </c>
      <c r="H477" s="10">
        <v>60192830</v>
      </c>
      <c r="I477" s="10">
        <v>20608230</v>
      </c>
      <c r="J477" s="10">
        <v>0</v>
      </c>
      <c r="K477" s="10">
        <v>0</v>
      </c>
      <c r="L477" s="10">
        <v>575774128</v>
      </c>
      <c r="M477" s="10">
        <v>35352030</v>
      </c>
      <c r="N477" s="10">
        <v>0</v>
      </c>
      <c r="O477" s="10">
        <v>0</v>
      </c>
      <c r="P477" s="10">
        <v>0</v>
      </c>
      <c r="Q477" s="10">
        <v>3770629661</v>
      </c>
      <c r="S477" s="33">
        <f t="shared" si="2"/>
        <v>0</v>
      </c>
    </row>
    <row r="478" spans="1:19">
      <c r="A478" s="8">
        <v>44378</v>
      </c>
      <c r="B478" s="10">
        <v>1233471245</v>
      </c>
      <c r="C478" s="10">
        <v>114696367</v>
      </c>
      <c r="D478" s="10">
        <v>0</v>
      </c>
      <c r="E478" s="10">
        <v>649251150</v>
      </c>
      <c r="F478" s="10">
        <v>92176984</v>
      </c>
      <c r="G478" s="10">
        <v>254758906</v>
      </c>
      <c r="H478" s="10">
        <v>210634644</v>
      </c>
      <c r="I478" s="10">
        <v>7680747</v>
      </c>
      <c r="J478" s="10">
        <v>0</v>
      </c>
      <c r="K478" s="10">
        <v>0</v>
      </c>
      <c r="L478" s="10">
        <v>515344272</v>
      </c>
      <c r="M478" s="10">
        <v>42774175</v>
      </c>
      <c r="N478" s="10">
        <v>0</v>
      </c>
      <c r="O478" s="10">
        <v>0</v>
      </c>
      <c r="P478" s="10">
        <v>0</v>
      </c>
      <c r="Q478" s="10">
        <v>3120788490</v>
      </c>
      <c r="S478" s="33">
        <f t="shared" si="2"/>
        <v>0</v>
      </c>
    </row>
    <row r="479" spans="1:19">
      <c r="A479" s="8">
        <v>44409</v>
      </c>
      <c r="B479" s="10">
        <v>2201140969</v>
      </c>
      <c r="C479" s="10">
        <v>71514703</v>
      </c>
      <c r="D479" s="10">
        <v>0</v>
      </c>
      <c r="E479" s="10">
        <v>651387584</v>
      </c>
      <c r="F479" s="10">
        <v>102059449</v>
      </c>
      <c r="G479" s="10">
        <v>184744906</v>
      </c>
      <c r="H479" s="10">
        <v>52868058</v>
      </c>
      <c r="I479" s="10">
        <v>7406902</v>
      </c>
      <c r="J479" s="10">
        <v>0</v>
      </c>
      <c r="K479" s="10">
        <v>0</v>
      </c>
      <c r="L479" s="10">
        <v>533994098</v>
      </c>
      <c r="M479" s="10">
        <v>38317803</v>
      </c>
      <c r="N479" s="10">
        <v>0</v>
      </c>
      <c r="O479" s="10">
        <v>0</v>
      </c>
      <c r="P479" s="10">
        <v>0</v>
      </c>
      <c r="Q479" s="10">
        <v>3843434472</v>
      </c>
      <c r="S479" s="33">
        <f t="shared" si="2"/>
        <v>0</v>
      </c>
    </row>
    <row r="480" spans="1:19">
      <c r="A480" s="8">
        <v>44440</v>
      </c>
      <c r="B480" s="10">
        <v>2502392541</v>
      </c>
      <c r="C480" s="10">
        <v>226967962</v>
      </c>
      <c r="D480" s="10">
        <v>0</v>
      </c>
      <c r="E480" s="10">
        <v>676949581</v>
      </c>
      <c r="F480" s="10">
        <v>110676222</v>
      </c>
      <c r="G480" s="10">
        <v>236924518</v>
      </c>
      <c r="H480" s="10">
        <v>135326115</v>
      </c>
      <c r="I480" s="10">
        <v>12951435</v>
      </c>
      <c r="J480" s="10">
        <v>0</v>
      </c>
      <c r="K480" s="10">
        <v>0</v>
      </c>
      <c r="L480" s="10">
        <v>644082114</v>
      </c>
      <c r="M480" s="10">
        <v>42198936</v>
      </c>
      <c r="N480" s="10">
        <v>0</v>
      </c>
      <c r="O480" s="10">
        <v>0</v>
      </c>
      <c r="P480" s="10">
        <v>0</v>
      </c>
      <c r="Q480" s="10">
        <v>4588469424</v>
      </c>
      <c r="S480" s="33">
        <f t="shared" si="2"/>
        <v>0</v>
      </c>
    </row>
    <row r="481" spans="1:19">
      <c r="A481" s="8">
        <v>44470</v>
      </c>
      <c r="B481" s="10">
        <v>1673010284</v>
      </c>
      <c r="C481" s="10">
        <v>82541881</v>
      </c>
      <c r="D481" s="10">
        <v>0</v>
      </c>
      <c r="E481" s="10">
        <v>667309407</v>
      </c>
      <c r="F481" s="10">
        <v>85208186</v>
      </c>
      <c r="G481" s="10">
        <v>239556212</v>
      </c>
      <c r="H481" s="10">
        <v>145836044</v>
      </c>
      <c r="I481" s="10">
        <v>12305077</v>
      </c>
      <c r="J481" s="10">
        <v>0</v>
      </c>
      <c r="K481" s="10">
        <v>0</v>
      </c>
      <c r="L481" s="10">
        <v>559739487</v>
      </c>
      <c r="M481" s="10">
        <v>46961898</v>
      </c>
      <c r="N481" s="10">
        <v>0</v>
      </c>
      <c r="O481" s="10">
        <v>0</v>
      </c>
      <c r="P481" s="10">
        <v>0</v>
      </c>
      <c r="Q481" s="10">
        <v>3512468476</v>
      </c>
      <c r="S481" s="33">
        <f t="shared" si="2"/>
        <v>0</v>
      </c>
    </row>
    <row r="482" spans="1:19">
      <c r="A482" s="8">
        <v>44501</v>
      </c>
      <c r="B482" s="10">
        <v>2600486116</v>
      </c>
      <c r="C482" s="10">
        <v>87634057</v>
      </c>
      <c r="D482" s="10">
        <v>0</v>
      </c>
      <c r="E482" s="10">
        <v>721712377</v>
      </c>
      <c r="F482" s="10">
        <v>98576982</v>
      </c>
      <c r="G482" s="10">
        <v>292553576</v>
      </c>
      <c r="H482" s="10">
        <v>210187409</v>
      </c>
      <c r="I482" s="10">
        <v>9931498</v>
      </c>
      <c r="J482" s="10">
        <v>0</v>
      </c>
      <c r="K482" s="10">
        <v>0</v>
      </c>
      <c r="L482" s="10">
        <v>715918418</v>
      </c>
      <c r="M482" s="10">
        <v>48176934</v>
      </c>
      <c r="N482" s="10">
        <v>0</v>
      </c>
      <c r="O482" s="10">
        <v>0</v>
      </c>
      <c r="P482" s="10">
        <v>0</v>
      </c>
      <c r="Q482" s="10">
        <v>4785177367</v>
      </c>
      <c r="S482" s="33">
        <f t="shared" si="2"/>
        <v>0</v>
      </c>
    </row>
    <row r="483" spans="1:19">
      <c r="A483" s="8">
        <v>44531</v>
      </c>
      <c r="B483" s="10">
        <v>2041920901</v>
      </c>
      <c r="C483" s="10">
        <v>127443000</v>
      </c>
      <c r="D483" s="10">
        <v>0</v>
      </c>
      <c r="E483" s="10">
        <v>858558982</v>
      </c>
      <c r="F483" s="10">
        <v>109826700</v>
      </c>
      <c r="G483" s="10">
        <v>326275564</v>
      </c>
      <c r="H483" s="10">
        <v>285095503</v>
      </c>
      <c r="I483" s="10">
        <v>7827116</v>
      </c>
      <c r="J483" s="10">
        <v>0</v>
      </c>
      <c r="K483" s="10">
        <v>0</v>
      </c>
      <c r="L483" s="10">
        <v>721273389</v>
      </c>
      <c r="M483" s="10">
        <v>54718056</v>
      </c>
      <c r="N483" s="10">
        <v>0</v>
      </c>
      <c r="O483" s="10">
        <v>0</v>
      </c>
      <c r="P483" s="10">
        <v>0</v>
      </c>
      <c r="Q483" s="10">
        <v>4532939211</v>
      </c>
      <c r="S483" s="33">
        <f t="shared" si="2"/>
        <v>0</v>
      </c>
    </row>
    <row r="484" spans="1:19">
      <c r="A484" s="8">
        <v>44562</v>
      </c>
      <c r="B484" s="10">
        <v>1814786811</v>
      </c>
      <c r="C484" s="10">
        <v>117113361</v>
      </c>
      <c r="D484" s="10">
        <v>0</v>
      </c>
      <c r="E484" s="10">
        <v>1148217048</v>
      </c>
      <c r="F484" s="10">
        <v>116866826</v>
      </c>
      <c r="G484" s="10">
        <v>403239043</v>
      </c>
      <c r="H484" s="10">
        <v>290142623</v>
      </c>
      <c r="I484" s="10">
        <v>11940612</v>
      </c>
      <c r="J484" s="10">
        <v>0</v>
      </c>
      <c r="K484" s="10">
        <v>0</v>
      </c>
      <c r="L484" s="10">
        <v>625836280</v>
      </c>
      <c r="M484" s="10">
        <v>39357393</v>
      </c>
      <c r="N484" s="10">
        <v>0</v>
      </c>
      <c r="O484" s="10">
        <v>461482407</v>
      </c>
      <c r="P484" s="10">
        <v>0</v>
      </c>
      <c r="Q484" s="10">
        <v>5028982404</v>
      </c>
      <c r="S484" s="33">
        <f t="shared" si="2"/>
        <v>0</v>
      </c>
    </row>
    <row r="485" spans="1:19">
      <c r="A485" s="8">
        <v>44593</v>
      </c>
      <c r="B485" s="10">
        <v>1865707123</v>
      </c>
      <c r="C485" s="10">
        <v>101681936</v>
      </c>
      <c r="D485" s="10">
        <v>0</v>
      </c>
      <c r="E485" s="10">
        <v>654366886</v>
      </c>
      <c r="F485" s="10">
        <v>80740382</v>
      </c>
      <c r="G485" s="10">
        <v>265749396</v>
      </c>
      <c r="H485" s="10">
        <v>150910427</v>
      </c>
      <c r="I485" s="10">
        <v>6330248</v>
      </c>
      <c r="J485" s="10">
        <v>0</v>
      </c>
      <c r="K485" s="10">
        <v>0</v>
      </c>
      <c r="L485" s="10">
        <v>543937287</v>
      </c>
      <c r="M485" s="10">
        <v>38700586</v>
      </c>
      <c r="N485" s="10">
        <v>0</v>
      </c>
      <c r="O485" s="10">
        <v>1260710307</v>
      </c>
      <c r="P485" s="10">
        <v>0</v>
      </c>
      <c r="Q485" s="10">
        <v>4968834578</v>
      </c>
      <c r="S485" s="33">
        <f t="shared" si="2"/>
        <v>0</v>
      </c>
    </row>
    <row r="486" spans="1:19">
      <c r="A486" s="8">
        <v>44621</v>
      </c>
      <c r="B486" s="10">
        <v>1813966795</v>
      </c>
      <c r="C486" s="10">
        <v>108024963</v>
      </c>
      <c r="D486" s="10">
        <v>0</v>
      </c>
      <c r="E486" s="10">
        <v>413684006</v>
      </c>
      <c r="F486" s="10">
        <v>96739106</v>
      </c>
      <c r="G486" s="10">
        <v>280256356</v>
      </c>
      <c r="H486" s="10">
        <v>172293880</v>
      </c>
      <c r="I486" s="10">
        <v>7809477</v>
      </c>
      <c r="J486" s="10">
        <v>0</v>
      </c>
      <c r="K486" s="10">
        <v>0</v>
      </c>
      <c r="L486" s="10">
        <v>629011070</v>
      </c>
      <c r="M486" s="10">
        <v>36935232</v>
      </c>
      <c r="N486" s="10">
        <v>0</v>
      </c>
      <c r="O486" s="10">
        <v>1128453800</v>
      </c>
      <c r="P486" s="10">
        <v>0</v>
      </c>
      <c r="Q486" s="10">
        <v>4687174685</v>
      </c>
      <c r="S486" s="33">
        <f t="shared" si="2"/>
        <v>0</v>
      </c>
    </row>
    <row r="487" spans="1:19">
      <c r="A487" s="8">
        <v>44652</v>
      </c>
      <c r="B487" s="10">
        <v>797523040</v>
      </c>
      <c r="C487" s="10">
        <v>212905539</v>
      </c>
      <c r="D487" s="10">
        <v>0</v>
      </c>
      <c r="E487" s="10">
        <v>577619225</v>
      </c>
      <c r="F487" s="10">
        <v>72032414</v>
      </c>
      <c r="G487" s="10">
        <v>283460884</v>
      </c>
      <c r="H487" s="10">
        <v>178126894</v>
      </c>
      <c r="I487" s="10">
        <v>8271057</v>
      </c>
      <c r="J487" s="10">
        <v>0</v>
      </c>
      <c r="K487" s="10">
        <v>0</v>
      </c>
      <c r="L487" s="10">
        <v>520882149</v>
      </c>
      <c r="M487" s="10">
        <v>36874383</v>
      </c>
      <c r="N487" s="10">
        <v>0</v>
      </c>
      <c r="O487" s="10">
        <v>497952980</v>
      </c>
      <c r="P487" s="10">
        <v>0</v>
      </c>
      <c r="Q487" s="10">
        <v>3185648565</v>
      </c>
      <c r="S487" s="33">
        <f t="shared" si="2"/>
        <v>0</v>
      </c>
    </row>
    <row r="488" spans="1:19">
      <c r="A488" s="8">
        <v>44682</v>
      </c>
      <c r="B488" s="10">
        <v>1776897137</v>
      </c>
      <c r="C488" s="10">
        <v>112135423</v>
      </c>
      <c r="D488" s="10">
        <v>0</v>
      </c>
      <c r="E488" s="10">
        <v>690229534</v>
      </c>
      <c r="F488" s="10">
        <v>74861138</v>
      </c>
      <c r="G488" s="10">
        <v>231961031</v>
      </c>
      <c r="H488" s="10">
        <v>93478798</v>
      </c>
      <c r="I488" s="10">
        <v>12518735</v>
      </c>
      <c r="J488" s="10">
        <v>0</v>
      </c>
      <c r="K488" s="10">
        <v>0</v>
      </c>
      <c r="L488" s="10">
        <v>696564034</v>
      </c>
      <c r="M488" s="10">
        <v>51713242</v>
      </c>
      <c r="N488" s="10">
        <v>0</v>
      </c>
      <c r="O488" s="10">
        <v>1102512982</v>
      </c>
      <c r="P488" s="10">
        <v>0</v>
      </c>
      <c r="Q488" s="10">
        <v>4842872054</v>
      </c>
      <c r="S488" s="33">
        <f t="shared" si="2"/>
        <v>0</v>
      </c>
    </row>
    <row r="489" spans="1:19">
      <c r="A489" s="8">
        <v>44713</v>
      </c>
      <c r="B489" s="10">
        <v>1197187532</v>
      </c>
      <c r="C489" s="10">
        <v>115779548</v>
      </c>
      <c r="D489" s="10">
        <v>0</v>
      </c>
      <c r="E489" s="10">
        <v>727044486</v>
      </c>
      <c r="F489" s="10">
        <v>80629111</v>
      </c>
      <c r="G489" s="10">
        <v>218628418</v>
      </c>
      <c r="H489" s="10">
        <v>119877119</v>
      </c>
      <c r="I489" s="10">
        <v>4731598</v>
      </c>
      <c r="J489" s="10">
        <v>0</v>
      </c>
      <c r="K489" s="10">
        <v>0</v>
      </c>
      <c r="L489" s="10">
        <v>509719142</v>
      </c>
      <c r="M489" s="10">
        <v>44242638</v>
      </c>
      <c r="N489" s="10">
        <v>0</v>
      </c>
      <c r="O489" s="10">
        <v>718480171</v>
      </c>
      <c r="P489" s="10">
        <v>0</v>
      </c>
      <c r="Q489" s="10">
        <v>3736319763</v>
      </c>
      <c r="S489" s="33">
        <f t="shared" ref="S489:S494" si="3">SUM(B489:P489)-Q489</f>
        <v>0</v>
      </c>
    </row>
    <row r="490" spans="1:19">
      <c r="A490" s="8">
        <v>44743</v>
      </c>
      <c r="B490" s="10">
        <v>1101299313</v>
      </c>
      <c r="C490" s="10">
        <v>89523136</v>
      </c>
      <c r="D490" s="10">
        <v>0</v>
      </c>
      <c r="E490" s="10">
        <v>617581463</v>
      </c>
      <c r="F490" s="10">
        <v>94466569</v>
      </c>
      <c r="G490" s="10">
        <v>221223885</v>
      </c>
      <c r="H490" s="10">
        <v>93437670</v>
      </c>
      <c r="I490" s="10">
        <v>3164901</v>
      </c>
      <c r="J490" s="10">
        <v>0</v>
      </c>
      <c r="K490" s="10">
        <v>0</v>
      </c>
      <c r="L490" s="10">
        <v>690151365</v>
      </c>
      <c r="M490" s="10">
        <v>40503643</v>
      </c>
      <c r="N490" s="10">
        <v>0</v>
      </c>
      <c r="O490" s="10">
        <v>675177836</v>
      </c>
      <c r="P490" s="10">
        <v>0</v>
      </c>
      <c r="Q490" s="10">
        <v>3626529781</v>
      </c>
      <c r="S490" s="33">
        <f t="shared" si="3"/>
        <v>0</v>
      </c>
    </row>
    <row r="491" spans="1:19">
      <c r="A491" s="8">
        <v>44774</v>
      </c>
      <c r="B491" s="10">
        <v>1685390967</v>
      </c>
      <c r="C491" s="10">
        <v>75287882</v>
      </c>
      <c r="D491" s="10">
        <v>0</v>
      </c>
      <c r="E491" s="10">
        <v>654116702</v>
      </c>
      <c r="F491" s="10">
        <v>92327910</v>
      </c>
      <c r="G491" s="10">
        <v>231516980</v>
      </c>
      <c r="H491" s="10">
        <v>104156338</v>
      </c>
      <c r="I491" s="10">
        <v>11666993</v>
      </c>
      <c r="J491" s="10">
        <v>0</v>
      </c>
      <c r="K491" s="10">
        <v>0</v>
      </c>
      <c r="L491" s="10">
        <v>572737743</v>
      </c>
      <c r="M491" s="10">
        <v>44382699</v>
      </c>
      <c r="N491" s="10">
        <v>0</v>
      </c>
      <c r="O491" s="10">
        <v>1012071862</v>
      </c>
      <c r="P491" s="10">
        <v>0</v>
      </c>
      <c r="Q491" s="10">
        <v>4483656076</v>
      </c>
      <c r="S491" s="33">
        <f t="shared" si="3"/>
        <v>0</v>
      </c>
    </row>
    <row r="492" spans="1:19">
      <c r="A492" s="8">
        <v>44805</v>
      </c>
      <c r="B492" s="10">
        <v>989632308</v>
      </c>
      <c r="C492" s="10">
        <v>100371139</v>
      </c>
      <c r="D492" s="10">
        <v>0</v>
      </c>
      <c r="E492" s="10">
        <v>725449914</v>
      </c>
      <c r="F492" s="10">
        <v>108152307</v>
      </c>
      <c r="G492" s="10">
        <v>261755814</v>
      </c>
      <c r="H492" s="10">
        <v>136615887</v>
      </c>
      <c r="I492" s="10">
        <v>14177706</v>
      </c>
      <c r="J492" s="10">
        <v>0</v>
      </c>
      <c r="K492" s="10">
        <v>0</v>
      </c>
      <c r="L492" s="10">
        <v>653295444</v>
      </c>
      <c r="M492" s="10">
        <v>40188221</v>
      </c>
      <c r="N492" s="10">
        <v>0</v>
      </c>
      <c r="O492" s="10">
        <v>610024515</v>
      </c>
      <c r="P492" s="10">
        <v>0</v>
      </c>
      <c r="Q492" s="10">
        <v>3639663255</v>
      </c>
      <c r="S492" s="33">
        <f t="shared" si="3"/>
        <v>0</v>
      </c>
    </row>
    <row r="493" spans="1:19">
      <c r="A493" s="8">
        <v>44835</v>
      </c>
      <c r="B493" s="10">
        <v>1290911980</v>
      </c>
      <c r="C493" s="10">
        <v>80000938</v>
      </c>
      <c r="D493" s="10">
        <v>0</v>
      </c>
      <c r="E493" s="10">
        <v>755341717</v>
      </c>
      <c r="F493" s="10">
        <v>90273670</v>
      </c>
      <c r="G493" s="10">
        <v>295462619</v>
      </c>
      <c r="H493" s="10">
        <v>163451303</v>
      </c>
      <c r="I493" s="10">
        <v>3367124</v>
      </c>
      <c r="J493" s="10">
        <v>0</v>
      </c>
      <c r="K493" s="10">
        <v>0</v>
      </c>
      <c r="L493" s="10">
        <v>639767515</v>
      </c>
      <c r="M493" s="10">
        <v>47114905</v>
      </c>
      <c r="N493" s="10">
        <v>0</v>
      </c>
      <c r="O493" s="10">
        <v>770733183</v>
      </c>
      <c r="P493" s="10">
        <v>0</v>
      </c>
      <c r="Q493" s="10">
        <v>4136424954</v>
      </c>
      <c r="S493" s="33">
        <f t="shared" si="3"/>
        <v>0</v>
      </c>
    </row>
    <row r="494" spans="1:19">
      <c r="A494" s="8">
        <v>44866</v>
      </c>
      <c r="B494" s="10">
        <v>1815977783</v>
      </c>
      <c r="C494" s="10">
        <v>84426733</v>
      </c>
      <c r="D494" s="10">
        <v>0</v>
      </c>
      <c r="E494" s="10">
        <v>775818486</v>
      </c>
      <c r="F494" s="10">
        <v>123185881</v>
      </c>
      <c r="G494" s="10">
        <v>282542217</v>
      </c>
      <c r="H494" s="10">
        <v>269697028</v>
      </c>
      <c r="I494" s="10">
        <v>10966565</v>
      </c>
      <c r="J494" s="10">
        <v>0</v>
      </c>
      <c r="K494" s="10">
        <v>0</v>
      </c>
      <c r="L494" s="10">
        <v>716619208</v>
      </c>
      <c r="M494" s="10">
        <v>41913147</v>
      </c>
      <c r="N494" s="10">
        <v>0</v>
      </c>
      <c r="O494" s="10">
        <v>1081871720</v>
      </c>
      <c r="P494" s="10">
        <v>0</v>
      </c>
      <c r="Q494" s="10">
        <v>5203018768</v>
      </c>
      <c r="S494" s="33">
        <f t="shared" si="3"/>
        <v>0</v>
      </c>
    </row>
    <row r="495" spans="1:19">
      <c r="A495" s="8">
        <v>44896</v>
      </c>
      <c r="B495" s="10">
        <v>1897986504</v>
      </c>
      <c r="C495" s="10">
        <v>177079074</v>
      </c>
      <c r="D495" s="10">
        <v>0</v>
      </c>
      <c r="E495" s="10">
        <v>900592214</v>
      </c>
      <c r="F495" s="10">
        <v>95041888</v>
      </c>
      <c r="G495" s="10">
        <v>321163621</v>
      </c>
      <c r="H495" s="10">
        <v>259802425</v>
      </c>
      <c r="I495" s="10">
        <v>7172471</v>
      </c>
      <c r="J495" s="10">
        <v>0</v>
      </c>
      <c r="K495" s="10">
        <v>0</v>
      </c>
      <c r="L495" s="10">
        <v>638716873</v>
      </c>
      <c r="M495" s="10">
        <v>52994308</v>
      </c>
      <c r="N495" s="10">
        <v>0</v>
      </c>
      <c r="O495" s="10">
        <v>1161982365</v>
      </c>
      <c r="P495" s="10">
        <v>0</v>
      </c>
      <c r="Q495" s="10">
        <v>5512531743</v>
      </c>
      <c r="S495" s="33">
        <f t="shared" ref="S495:S508" si="4">SUM(B495:P495)-Q495</f>
        <v>0</v>
      </c>
    </row>
    <row r="496" spans="1:19">
      <c r="A496" s="8">
        <v>44927</v>
      </c>
      <c r="B496" s="10">
        <v>1073100836</v>
      </c>
      <c r="C496" s="10">
        <v>110003041</v>
      </c>
      <c r="D496" s="10">
        <v>0</v>
      </c>
      <c r="E496" s="10">
        <v>1241566329</v>
      </c>
      <c r="F496" s="10">
        <v>217873041</v>
      </c>
      <c r="G496" s="10">
        <v>441964595</v>
      </c>
      <c r="H496" s="10">
        <v>322514494</v>
      </c>
      <c r="I496" s="10">
        <v>11660465</v>
      </c>
      <c r="J496" s="10">
        <v>0</v>
      </c>
      <c r="K496" s="10">
        <v>0</v>
      </c>
      <c r="L496" s="10">
        <v>638013085</v>
      </c>
      <c r="M496" s="10">
        <v>32316284</v>
      </c>
      <c r="N496" s="10">
        <v>0</v>
      </c>
      <c r="O496" s="10">
        <v>637794338</v>
      </c>
      <c r="P496" s="10">
        <v>0</v>
      </c>
      <c r="Q496" s="10">
        <v>4726806508</v>
      </c>
      <c r="S496" s="33">
        <f t="shared" si="4"/>
        <v>0</v>
      </c>
    </row>
    <row r="497" spans="1:19">
      <c r="A497" s="8">
        <v>44958</v>
      </c>
      <c r="B497" s="10">
        <v>1454540653</v>
      </c>
      <c r="C497" s="10">
        <v>217857628</v>
      </c>
      <c r="D497" s="10">
        <v>0</v>
      </c>
      <c r="E497" s="10">
        <v>496423102</v>
      </c>
      <c r="F497" s="10">
        <v>78836495</v>
      </c>
      <c r="G497" s="10">
        <v>311323741</v>
      </c>
      <c r="H497" s="10">
        <v>142817435</v>
      </c>
      <c r="I497" s="10">
        <v>2365754</v>
      </c>
      <c r="J497" s="10">
        <v>0</v>
      </c>
      <c r="K497" s="10">
        <v>0</v>
      </c>
      <c r="L497" s="10">
        <v>463103303</v>
      </c>
      <c r="M497" s="10">
        <v>50026386</v>
      </c>
      <c r="N497" s="10">
        <v>0</v>
      </c>
      <c r="O497" s="10">
        <v>879521859</v>
      </c>
      <c r="P497" s="10">
        <v>0</v>
      </c>
      <c r="Q497" s="10">
        <v>4096816356</v>
      </c>
      <c r="S497" s="33">
        <f t="shared" si="4"/>
        <v>0</v>
      </c>
    </row>
    <row r="498" spans="1:19">
      <c r="A498" s="8">
        <v>44986</v>
      </c>
      <c r="B498" s="10">
        <v>1492562132</v>
      </c>
      <c r="C498" s="10">
        <v>108752923</v>
      </c>
      <c r="D498" s="10">
        <v>0</v>
      </c>
      <c r="E498" s="10">
        <v>536149404</v>
      </c>
      <c r="F498" s="10">
        <v>55426803</v>
      </c>
      <c r="G498" s="10">
        <v>318933993</v>
      </c>
      <c r="H498" s="10">
        <v>173900945</v>
      </c>
      <c r="I498" s="10">
        <v>6059576</v>
      </c>
      <c r="J498" s="10">
        <v>0</v>
      </c>
      <c r="K498" s="10">
        <v>0</v>
      </c>
      <c r="L498" s="10">
        <v>833056609</v>
      </c>
      <c r="M498" s="10">
        <v>40922787</v>
      </c>
      <c r="N498" s="10">
        <v>0</v>
      </c>
      <c r="O498" s="10">
        <v>887898595</v>
      </c>
      <c r="P498" s="10">
        <v>0</v>
      </c>
      <c r="Q498" s="10">
        <v>4453663767</v>
      </c>
      <c r="S498" s="33">
        <f t="shared" si="4"/>
        <v>0</v>
      </c>
    </row>
    <row r="499" spans="1:19">
      <c r="A499" s="8">
        <v>45017</v>
      </c>
      <c r="B499" s="10">
        <v>1508760469</v>
      </c>
      <c r="C499" s="10">
        <v>78446697</v>
      </c>
      <c r="D499" s="10">
        <v>0</v>
      </c>
      <c r="E499" s="10">
        <v>870253295</v>
      </c>
      <c r="F499" s="10">
        <v>95329699</v>
      </c>
      <c r="G499" s="10">
        <v>363616697</v>
      </c>
      <c r="H499" s="10">
        <v>179767667</v>
      </c>
      <c r="I499" s="10">
        <v>6037687</v>
      </c>
      <c r="J499" s="10">
        <v>0</v>
      </c>
      <c r="K499" s="10">
        <v>0</v>
      </c>
      <c r="L499" s="10">
        <v>499552283</v>
      </c>
      <c r="M499" s="10">
        <v>35197862</v>
      </c>
      <c r="N499" s="10">
        <v>0</v>
      </c>
      <c r="O499" s="10">
        <v>882424341</v>
      </c>
      <c r="P499" s="10">
        <v>0</v>
      </c>
      <c r="Q499" s="10">
        <v>4519386697</v>
      </c>
      <c r="S499" s="33">
        <f t="shared" si="4"/>
        <v>0</v>
      </c>
    </row>
    <row r="500" spans="1:19">
      <c r="A500" s="8">
        <v>45047</v>
      </c>
      <c r="B500" s="10">
        <v>1868812390</v>
      </c>
      <c r="C500" s="10">
        <v>113851143</v>
      </c>
      <c r="D500" s="10">
        <v>0</v>
      </c>
      <c r="E500" s="10">
        <v>478430027</v>
      </c>
      <c r="F500" s="10">
        <v>99155966</v>
      </c>
      <c r="G500" s="10">
        <v>261623279</v>
      </c>
      <c r="H500" s="10">
        <v>123929412</v>
      </c>
      <c r="I500" s="10">
        <v>5232604</v>
      </c>
      <c r="J500" s="10">
        <v>0</v>
      </c>
      <c r="K500" s="10">
        <v>0</v>
      </c>
      <c r="L500" s="10">
        <v>608580532</v>
      </c>
      <c r="M500" s="10">
        <v>52000226</v>
      </c>
      <c r="N500" s="10">
        <v>0</v>
      </c>
      <c r="O500" s="10">
        <v>1099213753</v>
      </c>
      <c r="P500" s="10">
        <v>0</v>
      </c>
      <c r="Q500" s="10">
        <v>4710829332</v>
      </c>
      <c r="S500" s="33">
        <f t="shared" si="4"/>
        <v>0</v>
      </c>
    </row>
    <row r="501" spans="1:19">
      <c r="A501" s="8">
        <v>45078</v>
      </c>
      <c r="B501" s="10">
        <v>1120162765</v>
      </c>
      <c r="C501" s="10">
        <v>78541591</v>
      </c>
      <c r="D501" s="10">
        <v>0</v>
      </c>
      <c r="E501" s="10">
        <v>682528870</v>
      </c>
      <c r="F501" s="10">
        <v>115076610</v>
      </c>
      <c r="G501" s="10">
        <v>291415877</v>
      </c>
      <c r="H501" s="10">
        <v>120832014</v>
      </c>
      <c r="I501" s="10">
        <v>2936525</v>
      </c>
      <c r="J501" s="10">
        <v>0</v>
      </c>
      <c r="K501" s="10">
        <v>0</v>
      </c>
      <c r="L501" s="10">
        <v>614099129</v>
      </c>
      <c r="M501" s="10">
        <v>37323301</v>
      </c>
      <c r="N501" s="10">
        <v>0</v>
      </c>
      <c r="O501" s="10">
        <v>679515485</v>
      </c>
      <c r="P501" s="10">
        <v>0</v>
      </c>
      <c r="Q501" s="10">
        <v>3742432167</v>
      </c>
      <c r="S501" s="33">
        <f t="shared" si="4"/>
        <v>0</v>
      </c>
    </row>
    <row r="502" spans="1:19">
      <c r="A502" s="8">
        <v>45108</v>
      </c>
      <c r="B502" s="10">
        <v>1151137825</v>
      </c>
      <c r="C502" s="10">
        <v>120081221</v>
      </c>
      <c r="D502" s="10">
        <v>0</v>
      </c>
      <c r="E502" s="10">
        <v>674229144</v>
      </c>
      <c r="F502" s="10">
        <v>84884207</v>
      </c>
      <c r="G502" s="10">
        <v>256939406</v>
      </c>
      <c r="H502" s="10">
        <v>80833920</v>
      </c>
      <c r="I502" s="10">
        <v>3275486</v>
      </c>
      <c r="J502" s="10">
        <v>0</v>
      </c>
      <c r="K502" s="10">
        <v>0</v>
      </c>
      <c r="L502" s="10">
        <v>654031619</v>
      </c>
      <c r="M502" s="10">
        <v>38983415</v>
      </c>
      <c r="N502" s="10">
        <v>0</v>
      </c>
      <c r="O502" s="10">
        <v>680935374</v>
      </c>
      <c r="P502" s="10">
        <v>0</v>
      </c>
      <c r="Q502" s="10">
        <v>3745331617</v>
      </c>
      <c r="S502" s="33">
        <f t="shared" si="4"/>
        <v>0</v>
      </c>
    </row>
    <row r="503" spans="1:19">
      <c r="A503" s="8">
        <v>45139</v>
      </c>
      <c r="B503" s="10">
        <v>1980928251</v>
      </c>
      <c r="C503" s="10">
        <v>79527544</v>
      </c>
      <c r="D503" s="10">
        <v>0</v>
      </c>
      <c r="E503" s="10">
        <v>666871569</v>
      </c>
      <c r="F503" s="10">
        <v>82128556</v>
      </c>
      <c r="G503" s="10">
        <v>200119882</v>
      </c>
      <c r="H503" s="10">
        <v>130460087</v>
      </c>
      <c r="I503" s="10">
        <v>8222267</v>
      </c>
      <c r="J503" s="10">
        <v>0</v>
      </c>
      <c r="K503" s="10">
        <v>0</v>
      </c>
      <c r="L503" s="10">
        <v>569487131</v>
      </c>
      <c r="M503" s="10">
        <v>47309762</v>
      </c>
      <c r="N503" s="10">
        <v>0</v>
      </c>
      <c r="O503" s="10">
        <v>1162115275</v>
      </c>
      <c r="P503" s="10">
        <v>0</v>
      </c>
      <c r="Q503" s="10">
        <v>4927170324</v>
      </c>
      <c r="S503" s="33">
        <f t="shared" si="4"/>
        <v>0</v>
      </c>
    </row>
    <row r="504" spans="1:19">
      <c r="A504" s="8">
        <v>45170</v>
      </c>
      <c r="B504" s="10">
        <v>1185579616</v>
      </c>
      <c r="C504" s="10">
        <v>79934661</v>
      </c>
      <c r="D504" s="10">
        <v>0</v>
      </c>
      <c r="E504" s="10">
        <v>800295979</v>
      </c>
      <c r="F504" s="10">
        <v>90407706</v>
      </c>
      <c r="G504" s="10">
        <v>235183865</v>
      </c>
      <c r="H504" s="10">
        <v>167939152</v>
      </c>
      <c r="I504" s="10">
        <v>11648255</v>
      </c>
      <c r="J504" s="10">
        <v>0</v>
      </c>
      <c r="K504" s="10">
        <v>0</v>
      </c>
      <c r="L504" s="10">
        <v>645295100</v>
      </c>
      <c r="M504" s="10">
        <v>40825869</v>
      </c>
      <c r="N504" s="10">
        <v>0</v>
      </c>
      <c r="O504" s="10">
        <v>734742838</v>
      </c>
      <c r="P504" s="10">
        <v>0</v>
      </c>
      <c r="Q504" s="10">
        <v>3991853041</v>
      </c>
      <c r="S504" s="33">
        <f t="shared" si="4"/>
        <v>0</v>
      </c>
    </row>
    <row r="505" spans="1:19">
      <c r="A505" s="8">
        <v>45200</v>
      </c>
      <c r="B505" s="10">
        <v>1882862126</v>
      </c>
      <c r="C505" s="10">
        <v>101192560</v>
      </c>
      <c r="D505" s="10">
        <v>0</v>
      </c>
      <c r="E505" s="10">
        <v>675617658</v>
      </c>
      <c r="F505" s="10">
        <v>98365061</v>
      </c>
      <c r="G505" s="10">
        <v>302304963</v>
      </c>
      <c r="H505" s="10">
        <v>200058486</v>
      </c>
      <c r="I505" s="10">
        <v>6930146</v>
      </c>
      <c r="J505" s="10">
        <v>0</v>
      </c>
      <c r="K505" s="10">
        <v>0</v>
      </c>
      <c r="L505" s="10">
        <v>694045743</v>
      </c>
      <c r="M505" s="10">
        <v>52524024</v>
      </c>
      <c r="N505" s="10">
        <v>0</v>
      </c>
      <c r="O505" s="10">
        <v>1121599597</v>
      </c>
      <c r="P505" s="10">
        <v>0</v>
      </c>
      <c r="Q505" s="10">
        <v>5135500364</v>
      </c>
      <c r="S505" s="33">
        <f t="shared" si="4"/>
        <v>0</v>
      </c>
    </row>
    <row r="506" spans="1:19">
      <c r="A506" s="8">
        <v>45231</v>
      </c>
      <c r="B506" s="10">
        <v>1643648741</v>
      </c>
      <c r="C506" s="10">
        <v>106922112</v>
      </c>
      <c r="D506" s="10">
        <v>0</v>
      </c>
      <c r="E506" s="10">
        <v>778766785</v>
      </c>
      <c r="F506" s="10">
        <v>111428877</v>
      </c>
      <c r="G506" s="10">
        <v>335931798</v>
      </c>
      <c r="H506" s="10">
        <v>262522247</v>
      </c>
      <c r="I506" s="10">
        <v>10905842</v>
      </c>
      <c r="J506" s="10">
        <v>0</v>
      </c>
      <c r="K506" s="10">
        <v>0</v>
      </c>
      <c r="L506" s="10">
        <v>631587383</v>
      </c>
      <c r="M506" s="10">
        <v>33697343</v>
      </c>
      <c r="N506" s="10">
        <v>0</v>
      </c>
      <c r="O506" s="10">
        <v>975956438</v>
      </c>
      <c r="P506" s="10">
        <v>0</v>
      </c>
      <c r="Q506" s="10">
        <v>4891367566</v>
      </c>
      <c r="S506" s="33">
        <f t="shared" si="4"/>
        <v>0</v>
      </c>
    </row>
    <row r="507" spans="1:19">
      <c r="A507" s="8">
        <v>45261</v>
      </c>
      <c r="B507" s="10">
        <v>1459910113</v>
      </c>
      <c r="C507" s="10">
        <v>237039900</v>
      </c>
      <c r="D507" s="10">
        <v>0</v>
      </c>
      <c r="E507" s="10">
        <v>873583961</v>
      </c>
      <c r="F507" s="10">
        <v>96007423</v>
      </c>
      <c r="G507" s="10">
        <v>356024594</v>
      </c>
      <c r="H507" s="10">
        <v>285087689</v>
      </c>
      <c r="I507" s="10">
        <v>4146175</v>
      </c>
      <c r="J507" s="10">
        <v>0</v>
      </c>
      <c r="K507" s="10">
        <v>0</v>
      </c>
      <c r="L507" s="10">
        <v>689600503</v>
      </c>
      <c r="M507" s="10">
        <v>53937808</v>
      </c>
      <c r="N507" s="10">
        <v>0</v>
      </c>
      <c r="O507" s="10">
        <v>871205622</v>
      </c>
      <c r="P507" s="10">
        <v>0</v>
      </c>
      <c r="Q507" s="10">
        <v>4926543788</v>
      </c>
      <c r="S507" s="33">
        <f t="shared" si="4"/>
        <v>0</v>
      </c>
    </row>
    <row r="508" spans="1:19">
      <c r="A508" s="8">
        <v>45292</v>
      </c>
      <c r="B508" s="10">
        <v>1260686427</v>
      </c>
      <c r="C508" s="10">
        <v>116459336</v>
      </c>
      <c r="D508" s="10">
        <v>0</v>
      </c>
      <c r="E508" s="10">
        <v>1272899385</v>
      </c>
      <c r="F508" s="10">
        <v>189202650</v>
      </c>
      <c r="G508" s="10">
        <v>432791894</v>
      </c>
      <c r="H508" s="10">
        <v>251132840</v>
      </c>
      <c r="I508" s="10">
        <v>16549623</v>
      </c>
      <c r="J508" s="10">
        <v>0</v>
      </c>
      <c r="K508" s="10">
        <v>0</v>
      </c>
      <c r="L508" s="10">
        <v>573086388</v>
      </c>
      <c r="M508" s="10">
        <v>49757874</v>
      </c>
      <c r="N508" s="10">
        <v>0</v>
      </c>
      <c r="O508" s="10">
        <v>745977915</v>
      </c>
      <c r="P508" s="10">
        <v>0</v>
      </c>
      <c r="Q508" s="10">
        <v>4908544332</v>
      </c>
      <c r="S508" s="33">
        <f t="shared" si="4"/>
        <v>0</v>
      </c>
    </row>
    <row r="509" spans="1:19">
      <c r="A509" s="8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S509" s="33"/>
    </row>
    <row r="510" spans="1:19">
      <c r="A510" s="8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S510" s="33"/>
    </row>
    <row r="511" spans="1:19">
      <c r="A511" s="8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S511" s="33"/>
    </row>
    <row r="512" spans="1:19">
      <c r="A512" s="8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S512" s="33"/>
    </row>
    <row r="513" spans="1:19">
      <c r="A513" s="8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S513" s="33"/>
    </row>
    <row r="514" spans="1:19">
      <c r="A514" s="8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S514" s="33"/>
    </row>
    <row r="515" spans="1:19">
      <c r="A515" s="8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S515" s="33"/>
    </row>
    <row r="516" spans="1:19">
      <c r="A516" s="8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S516" s="33"/>
    </row>
    <row r="517" spans="1:19">
      <c r="A517" s="8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S517" s="33"/>
    </row>
    <row r="518" spans="1:19">
      <c r="A518" s="8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S518" s="33"/>
    </row>
    <row r="519" spans="1:19">
      <c r="A519" s="8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S519" s="33"/>
    </row>
    <row r="520" spans="1:19">
      <c r="A520" s="8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S520" s="33"/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C1:I635"/>
  <sheetViews>
    <sheetView windowProtection="1" showGridLines="0" showRowColHeaders="0" tabSelected="1" zoomScaleNormal="100" workbookViewId="0">
      <selection activeCell="E8" sqref="E8:G8"/>
    </sheetView>
  </sheetViews>
  <sheetFormatPr baseColWidth="10" defaultColWidth="11.28515625" defaultRowHeight="12.75"/>
  <cols>
    <col min="1" max="2" width="11.28515625" style="18"/>
    <col min="3" max="3" width="11.28515625" style="16"/>
    <col min="4" max="4" width="12" style="16" customWidth="1"/>
    <col min="5" max="5" width="3" style="16" customWidth="1"/>
    <col min="6" max="6" width="14.7109375" style="16" customWidth="1"/>
    <col min="7" max="7" width="14.7109375" style="30" customWidth="1"/>
    <col min="8" max="8" width="14.7109375" style="16" customWidth="1"/>
    <col min="9" max="9" width="11.28515625" style="17"/>
    <col min="10" max="16384" width="11.28515625" style="18"/>
  </cols>
  <sheetData>
    <row r="1" spans="4:9">
      <c r="G1" s="16"/>
    </row>
    <row r="2" spans="4:9">
      <c r="G2" s="16"/>
    </row>
    <row r="3" spans="4:9">
      <c r="G3" s="16"/>
    </row>
    <row r="4" spans="4:9">
      <c r="G4" s="16"/>
    </row>
    <row r="5" spans="4:9">
      <c r="G5" s="16"/>
    </row>
    <row r="6" spans="4:9" ht="24.75" customHeight="1">
      <c r="E6" s="35" t="s">
        <v>26</v>
      </c>
      <c r="F6" s="35"/>
      <c r="G6" s="35"/>
    </row>
    <row r="7" spans="4:9" ht="13.5" thickBot="1">
      <c r="G7" s="16"/>
    </row>
    <row r="8" spans="4:9" ht="19.149999999999999" customHeight="1" thickBot="1">
      <c r="E8" s="36" t="s">
        <v>25</v>
      </c>
      <c r="F8" s="37"/>
      <c r="G8" s="38"/>
      <c r="H8" s="19"/>
    </row>
    <row r="9" spans="4:9">
      <c r="G9" s="16"/>
    </row>
    <row r="10" spans="4:9">
      <c r="E10" s="39" t="s">
        <v>20</v>
      </c>
      <c r="F10" s="39"/>
      <c r="G10" s="39"/>
    </row>
    <row r="11" spans="4:9">
      <c r="D11" s="40" t="str">
        <f>HLOOKUP($E$8,IMESI!A1:Q2,2,0)</f>
        <v>Inicio serie</v>
      </c>
      <c r="E11" s="40"/>
      <c r="F11" s="40"/>
      <c r="G11" s="40"/>
      <c r="H11" s="40"/>
    </row>
    <row r="12" spans="4:9">
      <c r="E12" s="40" t="s">
        <v>21</v>
      </c>
      <c r="F12" s="40"/>
      <c r="G12" s="40"/>
    </row>
    <row r="13" spans="4:9">
      <c r="E13" s="20"/>
      <c r="F13" s="20" t="str">
        <f>IF(AND(E8&lt;&gt;"SELECCIONE RUBRO",HLOOKUP(E8,IMESI!A1:Q3,3,0)&lt;&gt;""),"Ver nota al final","")</f>
        <v/>
      </c>
      <c r="G13" s="20"/>
    </row>
    <row r="14" spans="4:9">
      <c r="E14" s="20"/>
      <c r="G14" s="20"/>
    </row>
    <row r="15" spans="4:9">
      <c r="E15" s="20"/>
      <c r="F15" s="22" t="s">
        <v>22</v>
      </c>
      <c r="G15" s="21" t="s">
        <v>23</v>
      </c>
    </row>
    <row r="16" spans="4:9">
      <c r="E16" s="20"/>
      <c r="F16" s="32">
        <f>+IMESI!A4</f>
        <v>29952</v>
      </c>
      <c r="G16" s="24" t="str">
        <f>IF($E$8="seleccione rubro"," - ",HLOOKUP($E$8,IMESI!B1:Q336, 4,0))</f>
        <v xml:space="preserve"> - </v>
      </c>
      <c r="H16" s="24"/>
      <c r="I16" s="25"/>
    </row>
    <row r="17" spans="5:9">
      <c r="E17" s="20"/>
      <c r="F17" s="32">
        <f>+IMESI!A5</f>
        <v>29983</v>
      </c>
      <c r="G17" s="24" t="str">
        <f>IF($E$8="seleccione rubro"," - ",HLOOKUP($E$8,IMESI!B1:Q336, 5,0))</f>
        <v xml:space="preserve"> - </v>
      </c>
      <c r="H17" s="26"/>
      <c r="I17" s="25"/>
    </row>
    <row r="18" spans="5:9">
      <c r="E18" s="20"/>
      <c r="F18" s="32">
        <f>+IMESI!A6</f>
        <v>30011</v>
      </c>
      <c r="G18" s="24" t="str">
        <f>IF($E$8="seleccione rubro"," - ",HLOOKUP($E$8,IMESI!B1:Q336, 6,0))</f>
        <v xml:space="preserve"> - </v>
      </c>
      <c r="H18" s="26"/>
      <c r="I18" s="25"/>
    </row>
    <row r="19" spans="5:9">
      <c r="E19" s="20"/>
      <c r="F19" s="32">
        <f>+IMESI!A7</f>
        <v>30042</v>
      </c>
      <c r="G19" s="24" t="str">
        <f>IF($E$8="seleccione rubro"," - ",HLOOKUP($E$8,IMESI!B1:Q336, 7,0))</f>
        <v xml:space="preserve"> - </v>
      </c>
      <c r="H19" s="26"/>
    </row>
    <row r="20" spans="5:9">
      <c r="E20" s="20"/>
      <c r="F20" s="32">
        <f>+IMESI!A8</f>
        <v>30072</v>
      </c>
      <c r="G20" s="24" t="str">
        <f>IF($E$8="seleccione rubro"," - ",HLOOKUP($E$8,IMESI!B1:Q336, 8,0))</f>
        <v xml:space="preserve"> - </v>
      </c>
      <c r="H20" s="26"/>
    </row>
    <row r="21" spans="5:9">
      <c r="E21" s="20"/>
      <c r="F21" s="32">
        <f>+IMESI!A9</f>
        <v>30103</v>
      </c>
      <c r="G21" s="24" t="str">
        <f>IF($E$8="seleccione rubro"," - ",HLOOKUP($E$8,IMESI!B1:Q336, 9,0))</f>
        <v xml:space="preserve"> - </v>
      </c>
      <c r="H21" s="26"/>
    </row>
    <row r="22" spans="5:9">
      <c r="E22" s="20"/>
      <c r="F22" s="32">
        <f>+IMESI!A10</f>
        <v>30133</v>
      </c>
      <c r="G22" s="24" t="str">
        <f>IF($E$8="seleccione rubro"," - ",HLOOKUP($E$8,IMESI!B1:Q336, 10,0))</f>
        <v xml:space="preserve"> - </v>
      </c>
      <c r="H22" s="26"/>
    </row>
    <row r="23" spans="5:9">
      <c r="E23" s="20"/>
      <c r="F23" s="32">
        <f>+IMESI!A11</f>
        <v>30164</v>
      </c>
      <c r="G23" s="24" t="str">
        <f>IF($E$8="seleccione rubro"," - ",HLOOKUP($E$8,IMESI!B1:Q336, 11,0))</f>
        <v xml:space="preserve"> - </v>
      </c>
      <c r="H23" s="26"/>
    </row>
    <row r="24" spans="5:9">
      <c r="E24" s="20"/>
      <c r="F24" s="32">
        <f>+IMESI!A12</f>
        <v>30195</v>
      </c>
      <c r="G24" s="24" t="str">
        <f>IF($E$8="seleccione rubro"," - ",HLOOKUP($E$8,IMESI!B1:Q336, 12,0))</f>
        <v xml:space="preserve"> - </v>
      </c>
      <c r="H24" s="26"/>
    </row>
    <row r="25" spans="5:9">
      <c r="E25" s="20"/>
      <c r="F25" s="32">
        <f>+IMESI!A13</f>
        <v>30225</v>
      </c>
      <c r="G25" s="24" t="str">
        <f>IF($E$8="seleccione rubro"," - ",HLOOKUP($E$8,IMESI!B1:Q336, 13,0))</f>
        <v xml:space="preserve"> - </v>
      </c>
      <c r="H25" s="26"/>
    </row>
    <row r="26" spans="5:9">
      <c r="E26" s="20"/>
      <c r="F26" s="32">
        <f>+IMESI!A14</f>
        <v>30256</v>
      </c>
      <c r="G26" s="24" t="str">
        <f>IF($E$8="seleccione rubro"," - ",HLOOKUP($E$8,IMESI!B1:Q336, 14,0))</f>
        <v xml:space="preserve"> - </v>
      </c>
      <c r="H26" s="26"/>
    </row>
    <row r="27" spans="5:9">
      <c r="E27" s="20"/>
      <c r="F27" s="32">
        <f>+IMESI!A15</f>
        <v>30286</v>
      </c>
      <c r="G27" s="24" t="str">
        <f>IF($E$8="seleccione rubro"," - ",HLOOKUP($E$8,IMESI!B1:Q336, 15,0))</f>
        <v xml:space="preserve"> - </v>
      </c>
      <c r="H27" s="26"/>
    </row>
    <row r="28" spans="5:9">
      <c r="E28" s="20"/>
      <c r="F28" s="32">
        <f>+IMESI!A16</f>
        <v>30317</v>
      </c>
      <c r="G28" s="24" t="str">
        <f>IF($E$8="seleccione rubro"," - ",HLOOKUP($E$8,IMESI!B1:Q336, 16,0))</f>
        <v xml:space="preserve"> - </v>
      </c>
      <c r="H28" s="26"/>
    </row>
    <row r="29" spans="5:9">
      <c r="E29" s="20"/>
      <c r="F29" s="32">
        <f>+IMESI!A17</f>
        <v>30348</v>
      </c>
      <c r="G29" s="24" t="str">
        <f>IF($E$8="seleccione rubro"," - ",HLOOKUP($E$8,IMESI!B1:Q336, 17,0))</f>
        <v xml:space="preserve"> - </v>
      </c>
      <c r="H29" s="26"/>
    </row>
    <row r="30" spans="5:9">
      <c r="E30" s="20"/>
      <c r="F30" s="32">
        <f>+IMESI!A18</f>
        <v>30376</v>
      </c>
      <c r="G30" s="24" t="str">
        <f>IF($E$8="seleccione rubro"," - ",HLOOKUP($E$8,IMESI!B1:Q336, 18,0))</f>
        <v xml:space="preserve"> - </v>
      </c>
      <c r="H30" s="26"/>
    </row>
    <row r="31" spans="5:9">
      <c r="E31" s="20"/>
      <c r="F31" s="32">
        <f>+IMESI!A19</f>
        <v>30407</v>
      </c>
      <c r="G31" s="24" t="str">
        <f>IF($E$8="seleccione rubro"," - ",HLOOKUP($E$8,IMESI!B1:Q336, 19,0))</f>
        <v xml:space="preserve"> - </v>
      </c>
      <c r="H31" s="26"/>
    </row>
    <row r="32" spans="5:9">
      <c r="E32" s="20"/>
      <c r="F32" s="32">
        <f>+IMESI!A20</f>
        <v>30437</v>
      </c>
      <c r="G32" s="24" t="str">
        <f>IF($E$8="seleccione rubro"," - ",HLOOKUP($E$8,IMESI!B1:Q336, 20,0))</f>
        <v xml:space="preserve"> - </v>
      </c>
      <c r="H32" s="26"/>
    </row>
    <row r="33" spans="5:8">
      <c r="E33" s="20"/>
      <c r="F33" s="32">
        <f>+IMESI!A21</f>
        <v>30468</v>
      </c>
      <c r="G33" s="24" t="str">
        <f>IF($E$8="seleccione rubro"," - ",HLOOKUP($E$8,IMESI!B1:Q336, 21,0))</f>
        <v xml:space="preserve"> - </v>
      </c>
      <c r="H33" s="26"/>
    </row>
    <row r="34" spans="5:8">
      <c r="E34" s="20"/>
      <c r="F34" s="32">
        <f>+IMESI!A22</f>
        <v>30498</v>
      </c>
      <c r="G34" s="24" t="str">
        <f>IF($E$8="seleccione rubro"," - ",HLOOKUP($E$8,IMESI!B1:Q336, 22,0))</f>
        <v xml:space="preserve"> - </v>
      </c>
      <c r="H34" s="26"/>
    </row>
    <row r="35" spans="5:8">
      <c r="E35" s="20"/>
      <c r="F35" s="32">
        <f>+IMESI!A23</f>
        <v>30529</v>
      </c>
      <c r="G35" s="24" t="str">
        <f>IF($E$8="seleccione rubro"," - ",HLOOKUP($E$8,IMESI!B1:Q336, 23,0))</f>
        <v xml:space="preserve"> - </v>
      </c>
      <c r="H35" s="26"/>
    </row>
    <row r="36" spans="5:8">
      <c r="E36" s="20"/>
      <c r="F36" s="32">
        <f>+IMESI!A24</f>
        <v>30560</v>
      </c>
      <c r="G36" s="24" t="str">
        <f>IF($E$8="seleccione rubro"," - ",HLOOKUP($E$8,IMESI!B1:Q336, 24,0))</f>
        <v xml:space="preserve"> - </v>
      </c>
      <c r="H36" s="26"/>
    </row>
    <row r="37" spans="5:8">
      <c r="E37" s="20"/>
      <c r="F37" s="32">
        <f>+IMESI!A25</f>
        <v>30590</v>
      </c>
      <c r="G37" s="24" t="str">
        <f>IF($E$8="seleccione rubro"," - ",HLOOKUP($E$8,IMESI!B1:Q336, 25,0))</f>
        <v xml:space="preserve"> - </v>
      </c>
      <c r="H37" s="26"/>
    </row>
    <row r="38" spans="5:8">
      <c r="E38" s="20"/>
      <c r="F38" s="32">
        <f>+IMESI!A26</f>
        <v>30621</v>
      </c>
      <c r="G38" s="24" t="str">
        <f>IF($E$8="seleccione rubro"," - ",HLOOKUP($E$8,IMESI!B1:Q336, 26,0))</f>
        <v xml:space="preserve"> - </v>
      </c>
      <c r="H38" s="26"/>
    </row>
    <row r="39" spans="5:8">
      <c r="E39" s="20"/>
      <c r="F39" s="32">
        <f>+IMESI!A27</f>
        <v>30651</v>
      </c>
      <c r="G39" s="24" t="str">
        <f>IF($E$8="seleccione rubro"," - ",HLOOKUP($E$8,IMESI!B1:Q336, 27,0))</f>
        <v xml:space="preserve"> - </v>
      </c>
      <c r="H39" s="26"/>
    </row>
    <row r="40" spans="5:8">
      <c r="E40" s="20"/>
      <c r="F40" s="32">
        <f>+IMESI!A28</f>
        <v>30682</v>
      </c>
      <c r="G40" s="24" t="str">
        <f>IF($E$8="seleccione rubro"," - ",HLOOKUP($E$8,IMESI!B1:Q336, 28,0))</f>
        <v xml:space="preserve"> - </v>
      </c>
      <c r="H40" s="26"/>
    </row>
    <row r="41" spans="5:8">
      <c r="E41" s="20"/>
      <c r="F41" s="32">
        <f>+IMESI!A29</f>
        <v>30713</v>
      </c>
      <c r="G41" s="24" t="str">
        <f>IF($E$8="seleccione rubro"," - ",HLOOKUP($E$8,IMESI!B1:Q336, 29,0))</f>
        <v xml:space="preserve"> - </v>
      </c>
      <c r="H41" s="26"/>
    </row>
    <row r="42" spans="5:8">
      <c r="E42" s="20"/>
      <c r="F42" s="32">
        <f>+IMESI!A30</f>
        <v>30742</v>
      </c>
      <c r="G42" s="24" t="str">
        <f>IF($E$8="seleccione rubro"," - ",HLOOKUP($E$8,IMESI!B1:Q336, 30,0))</f>
        <v xml:space="preserve"> - </v>
      </c>
      <c r="H42" s="26"/>
    </row>
    <row r="43" spans="5:8">
      <c r="E43" s="20"/>
      <c r="F43" s="32">
        <f>+IMESI!A31</f>
        <v>30773</v>
      </c>
      <c r="G43" s="24" t="str">
        <f>IF($E$8="seleccione rubro"," - ",HLOOKUP($E$8,IMESI!B1:Q336, 31,0))</f>
        <v xml:space="preserve"> - </v>
      </c>
      <c r="H43" s="26"/>
    </row>
    <row r="44" spans="5:8">
      <c r="E44" s="20"/>
      <c r="F44" s="32">
        <f>+IMESI!A32</f>
        <v>30803</v>
      </c>
      <c r="G44" s="24" t="str">
        <f>IF($E$8="seleccione rubro"," - ",HLOOKUP($E$8,IMESI!B1:Q336, 32,0))</f>
        <v xml:space="preserve"> - </v>
      </c>
      <c r="H44" s="26"/>
    </row>
    <row r="45" spans="5:8">
      <c r="E45" s="20"/>
      <c r="F45" s="32">
        <f>+IMESI!A33</f>
        <v>30834</v>
      </c>
      <c r="G45" s="24" t="str">
        <f>IF($E$8="seleccione rubro"," - ",HLOOKUP($E$8,IMESI!B1:Q336, 33,0))</f>
        <v xml:space="preserve"> - </v>
      </c>
      <c r="H45" s="26"/>
    </row>
    <row r="46" spans="5:8">
      <c r="E46" s="20"/>
      <c r="F46" s="32">
        <f>+IMESI!A34</f>
        <v>30864</v>
      </c>
      <c r="G46" s="24" t="str">
        <f>IF($E$8="seleccione rubro"," - ",HLOOKUP($E$8,IMESI!B1:Q336, 34,0))</f>
        <v xml:space="preserve"> - </v>
      </c>
      <c r="H46" s="26"/>
    </row>
    <row r="47" spans="5:8">
      <c r="E47" s="20"/>
      <c r="F47" s="32">
        <f>+IMESI!A35</f>
        <v>30895</v>
      </c>
      <c r="G47" s="24" t="str">
        <f>IF($E$8="seleccione rubro"," - ",HLOOKUP($E$8,IMESI!B1:Q336, 35,0))</f>
        <v xml:space="preserve"> - </v>
      </c>
      <c r="H47" s="26"/>
    </row>
    <row r="48" spans="5:8">
      <c r="E48" s="20"/>
      <c r="F48" s="32">
        <f>+IMESI!A36</f>
        <v>30926</v>
      </c>
      <c r="G48" s="24" t="str">
        <f>IF($E$8="seleccione rubro"," - ",HLOOKUP($E$8,IMESI!B1:Q336, 36,0))</f>
        <v xml:space="preserve"> - </v>
      </c>
      <c r="H48" s="26"/>
    </row>
    <row r="49" spans="5:8">
      <c r="E49" s="20"/>
      <c r="F49" s="32">
        <f>+IMESI!A37</f>
        <v>30956</v>
      </c>
      <c r="G49" s="24" t="str">
        <f>IF($E$8="seleccione rubro"," - ",HLOOKUP($E$8,IMESI!B1:Q336, 37,0))</f>
        <v xml:space="preserve"> - </v>
      </c>
      <c r="H49" s="26"/>
    </row>
    <row r="50" spans="5:8">
      <c r="E50" s="20"/>
      <c r="F50" s="32">
        <f>+IMESI!A38</f>
        <v>30987</v>
      </c>
      <c r="G50" s="24" t="str">
        <f>IF($E$8="seleccione rubro"," - ",HLOOKUP($E$8,IMESI!B1:Q336, 38,0))</f>
        <v xml:space="preserve"> - </v>
      </c>
      <c r="H50" s="26"/>
    </row>
    <row r="51" spans="5:8">
      <c r="E51" s="20"/>
      <c r="F51" s="32">
        <f>+IMESI!A39</f>
        <v>31017</v>
      </c>
      <c r="G51" s="24" t="str">
        <f>IF($E$8="seleccione rubro"," - ",HLOOKUP($E$8,IMESI!B1:Q336, 39,0))</f>
        <v xml:space="preserve"> - </v>
      </c>
      <c r="H51" s="26"/>
    </row>
    <row r="52" spans="5:8">
      <c r="E52" s="20"/>
      <c r="F52" s="32">
        <f>+IMESI!A40</f>
        <v>31048</v>
      </c>
      <c r="G52" s="24" t="str">
        <f>IF($E$8="seleccione rubro"," - ",HLOOKUP($E$8,IMESI!B1:Q336, 40,0))</f>
        <v xml:space="preserve"> - </v>
      </c>
      <c r="H52" s="26"/>
    </row>
    <row r="53" spans="5:8">
      <c r="E53" s="20"/>
      <c r="F53" s="32">
        <f>+IMESI!A41</f>
        <v>31079</v>
      </c>
      <c r="G53" s="24" t="str">
        <f>IF($E$8="seleccione rubro"," - ",HLOOKUP($E$8,IMESI!B1:Q336, 41,0))</f>
        <v xml:space="preserve"> - </v>
      </c>
      <c r="H53" s="26"/>
    </row>
    <row r="54" spans="5:8">
      <c r="E54" s="20"/>
      <c r="F54" s="32">
        <f>+IMESI!A42</f>
        <v>31107</v>
      </c>
      <c r="G54" s="24" t="str">
        <f>IF($E$8="seleccione rubro"," - ",HLOOKUP($E$8,IMESI!B1:Q336, 42,0))</f>
        <v xml:space="preserve"> - </v>
      </c>
      <c r="H54" s="26"/>
    </row>
    <row r="55" spans="5:8">
      <c r="E55" s="20"/>
      <c r="F55" s="32">
        <f>+IMESI!A43</f>
        <v>31138</v>
      </c>
      <c r="G55" s="24" t="str">
        <f>IF($E$8="seleccione rubro"," - ",HLOOKUP($E$8,IMESI!B1:Q336, 43,0))</f>
        <v xml:space="preserve"> - </v>
      </c>
      <c r="H55" s="26"/>
    </row>
    <row r="56" spans="5:8">
      <c r="E56" s="20"/>
      <c r="F56" s="32">
        <f>+IMESI!A44</f>
        <v>31168</v>
      </c>
      <c r="G56" s="24" t="str">
        <f>IF($E$8="seleccione rubro"," - ",HLOOKUP($E$8,IMESI!B1:Q336, 44,0))</f>
        <v xml:space="preserve"> - </v>
      </c>
      <c r="H56" s="26"/>
    </row>
    <row r="57" spans="5:8">
      <c r="E57" s="20"/>
      <c r="F57" s="32">
        <f>+IMESI!A45</f>
        <v>31199</v>
      </c>
      <c r="G57" s="24" t="str">
        <f>IF($E$8="seleccione rubro"," - ",HLOOKUP($E$8,IMESI!B1:Q336, 45,0))</f>
        <v xml:space="preserve"> - </v>
      </c>
      <c r="H57" s="26"/>
    </row>
    <row r="58" spans="5:8">
      <c r="E58" s="20"/>
      <c r="F58" s="32">
        <f>+IMESI!A46</f>
        <v>31229</v>
      </c>
      <c r="G58" s="24" t="str">
        <f>IF($E$8="seleccione rubro"," - ",HLOOKUP($E$8,IMESI!B1:Q336, 46,0))</f>
        <v xml:space="preserve"> - </v>
      </c>
      <c r="H58" s="26"/>
    </row>
    <row r="59" spans="5:8">
      <c r="E59" s="20"/>
      <c r="F59" s="32">
        <f>+IMESI!A47</f>
        <v>31260</v>
      </c>
      <c r="G59" s="24" t="str">
        <f>IF($E$8="seleccione rubro"," - ",HLOOKUP($E$8,IMESI!B1:Q336, 47,0))</f>
        <v xml:space="preserve"> - </v>
      </c>
      <c r="H59" s="26"/>
    </row>
    <row r="60" spans="5:8">
      <c r="E60" s="20"/>
      <c r="F60" s="32">
        <f>+IMESI!A48</f>
        <v>31291</v>
      </c>
      <c r="G60" s="24" t="str">
        <f>IF($E$8="seleccione rubro"," - ",HLOOKUP($E$8,IMESI!B1:Q336, 48,0))</f>
        <v xml:space="preserve"> - </v>
      </c>
      <c r="H60" s="26"/>
    </row>
    <row r="61" spans="5:8">
      <c r="E61" s="20"/>
      <c r="F61" s="32">
        <f>+IMESI!A49</f>
        <v>31321</v>
      </c>
      <c r="G61" s="24" t="str">
        <f>IF($E$8="seleccione rubro"," - ",HLOOKUP($E$8,IMESI!B1:Q336, 49,0))</f>
        <v xml:space="preserve"> - </v>
      </c>
      <c r="H61" s="26"/>
    </row>
    <row r="62" spans="5:8">
      <c r="E62" s="20"/>
      <c r="F62" s="32">
        <f>+IMESI!A50</f>
        <v>31352</v>
      </c>
      <c r="G62" s="24" t="str">
        <f>IF($E$8="seleccione rubro"," - ",HLOOKUP($E$8,IMESI!B1:Q336, 50,0))</f>
        <v xml:space="preserve"> - </v>
      </c>
      <c r="H62" s="26"/>
    </row>
    <row r="63" spans="5:8">
      <c r="E63" s="20"/>
      <c r="F63" s="32">
        <f>+IMESI!A51</f>
        <v>31382</v>
      </c>
      <c r="G63" s="24" t="str">
        <f>IF($E$8="seleccione rubro"," - ",HLOOKUP($E$8,IMESI!B1:Q336, 51,0))</f>
        <v xml:space="preserve"> - </v>
      </c>
      <c r="H63" s="26"/>
    </row>
    <row r="64" spans="5:8">
      <c r="E64" s="20"/>
      <c r="F64" s="32">
        <f>+IMESI!A52</f>
        <v>31413</v>
      </c>
      <c r="G64" s="24" t="str">
        <f>IF($E$8="seleccione rubro"," - ",HLOOKUP($E$8,IMESI!B1:Q336, 52,0))</f>
        <v xml:space="preserve"> - </v>
      </c>
      <c r="H64" s="26"/>
    </row>
    <row r="65" spans="5:8">
      <c r="E65" s="20"/>
      <c r="F65" s="32">
        <f>+IMESI!A53</f>
        <v>31444</v>
      </c>
      <c r="G65" s="24" t="str">
        <f>IF($E$8="seleccione rubro"," - ",HLOOKUP($E$8,IMESI!B1:Q336, 53,0))</f>
        <v xml:space="preserve"> - </v>
      </c>
      <c r="H65" s="26"/>
    </row>
    <row r="66" spans="5:8">
      <c r="E66" s="20"/>
      <c r="F66" s="32">
        <f>+IMESI!A54</f>
        <v>31472</v>
      </c>
      <c r="G66" s="24" t="str">
        <f>IF($E$8="seleccione rubro"," - ",HLOOKUP($E$8,IMESI!B1:Q336, 54,0))</f>
        <v xml:space="preserve"> - </v>
      </c>
      <c r="H66" s="26"/>
    </row>
    <row r="67" spans="5:8">
      <c r="E67" s="20"/>
      <c r="F67" s="32">
        <f>+IMESI!A55</f>
        <v>31503</v>
      </c>
      <c r="G67" s="24" t="str">
        <f>IF($E$8="seleccione rubro"," - ",HLOOKUP($E$8,IMESI!B1:Q336, 55,0))</f>
        <v xml:space="preserve"> - </v>
      </c>
      <c r="H67" s="26"/>
    </row>
    <row r="68" spans="5:8">
      <c r="E68" s="20"/>
      <c r="F68" s="32">
        <f>+IMESI!A56</f>
        <v>31533</v>
      </c>
      <c r="G68" s="24" t="str">
        <f>IF($E$8="seleccione rubro"," - ",HLOOKUP($E$8,IMESI!B1:Q336, 56,0))</f>
        <v xml:space="preserve"> - </v>
      </c>
      <c r="H68" s="26"/>
    </row>
    <row r="69" spans="5:8">
      <c r="E69" s="20"/>
      <c r="F69" s="32">
        <f>+IMESI!A57</f>
        <v>31564</v>
      </c>
      <c r="G69" s="24" t="str">
        <f>IF($E$8="seleccione rubro"," - ",HLOOKUP($E$8,IMESI!B1:Q336, 57,0))</f>
        <v xml:space="preserve"> - </v>
      </c>
      <c r="H69" s="26"/>
    </row>
    <row r="70" spans="5:8">
      <c r="E70" s="20"/>
      <c r="F70" s="32">
        <f>+IMESI!A58</f>
        <v>31594</v>
      </c>
      <c r="G70" s="24" t="str">
        <f>IF($E$8="seleccione rubro"," - ",HLOOKUP($E$8,IMESI!B1:Q336, 58,0))</f>
        <v xml:space="preserve"> - </v>
      </c>
      <c r="H70" s="26"/>
    </row>
    <row r="71" spans="5:8">
      <c r="E71" s="20"/>
      <c r="F71" s="32">
        <f>+IMESI!A59</f>
        <v>31625</v>
      </c>
      <c r="G71" s="24" t="str">
        <f>IF($E$8="seleccione rubro"," - ",HLOOKUP($E$8,IMESI!B1:Q336, 59,0))</f>
        <v xml:space="preserve"> - </v>
      </c>
      <c r="H71" s="26"/>
    </row>
    <row r="72" spans="5:8">
      <c r="E72" s="20"/>
      <c r="F72" s="32">
        <f>+IMESI!A60</f>
        <v>31656</v>
      </c>
      <c r="G72" s="24" t="str">
        <f>IF($E$8="seleccione rubro"," - ",HLOOKUP($E$8,IMESI!B1:Q336, 60,0))</f>
        <v xml:space="preserve"> - </v>
      </c>
      <c r="H72" s="26"/>
    </row>
    <row r="73" spans="5:8">
      <c r="E73" s="20"/>
      <c r="F73" s="32">
        <f>+IMESI!A61</f>
        <v>31686</v>
      </c>
      <c r="G73" s="24" t="str">
        <f>IF($E$8="seleccione rubro"," - ",HLOOKUP($E$8,IMESI!B1:Q336, 61,0))</f>
        <v xml:space="preserve"> - </v>
      </c>
      <c r="H73" s="26"/>
    </row>
    <row r="74" spans="5:8">
      <c r="E74" s="20"/>
      <c r="F74" s="32">
        <f>+IMESI!A62</f>
        <v>31717</v>
      </c>
      <c r="G74" s="24" t="str">
        <f>IF($E$8="seleccione rubro"," - ",HLOOKUP($E$8,IMESI!B1:Q336, 62,0))</f>
        <v xml:space="preserve"> - </v>
      </c>
      <c r="H74" s="26"/>
    </row>
    <row r="75" spans="5:8">
      <c r="E75" s="20"/>
      <c r="F75" s="32">
        <f>+IMESI!A63</f>
        <v>31747</v>
      </c>
      <c r="G75" s="24" t="str">
        <f>IF($E$8="seleccione rubro"," - ",HLOOKUP($E$8,IMESI!B1:Q336, 63,0))</f>
        <v xml:space="preserve"> - </v>
      </c>
      <c r="H75" s="26"/>
    </row>
    <row r="76" spans="5:8">
      <c r="E76" s="20"/>
      <c r="F76" s="32">
        <f>+IMESI!A64</f>
        <v>31778</v>
      </c>
      <c r="G76" s="24" t="str">
        <f>IF($E$8="seleccione rubro"," - ",HLOOKUP($E$8,IMESI!B1:Q336, 64,0))</f>
        <v xml:space="preserve"> - </v>
      </c>
      <c r="H76" s="26"/>
    </row>
    <row r="77" spans="5:8">
      <c r="E77" s="20"/>
      <c r="F77" s="32">
        <f>+IMESI!A65</f>
        <v>31809</v>
      </c>
      <c r="G77" s="24" t="str">
        <f>IF($E$8="seleccione rubro"," - ",HLOOKUP($E$8,IMESI!B1:Q336, 65,0))</f>
        <v xml:space="preserve"> - </v>
      </c>
      <c r="H77" s="26"/>
    </row>
    <row r="78" spans="5:8">
      <c r="E78" s="20"/>
      <c r="F78" s="32">
        <f>+IMESI!A66</f>
        <v>31837</v>
      </c>
      <c r="G78" s="24" t="str">
        <f>IF($E$8="seleccione rubro"," - ",HLOOKUP($E$8,IMESI!B1:Q336, 66,0))</f>
        <v xml:space="preserve"> - </v>
      </c>
      <c r="H78" s="26"/>
    </row>
    <row r="79" spans="5:8">
      <c r="E79" s="20"/>
      <c r="F79" s="32">
        <f>+IMESI!A67</f>
        <v>31868</v>
      </c>
      <c r="G79" s="24" t="str">
        <f>IF($E$8="seleccione rubro"," - ",HLOOKUP($E$8,IMESI!B1:Q336, 67,0))</f>
        <v xml:space="preserve"> - </v>
      </c>
      <c r="H79" s="26"/>
    </row>
    <row r="80" spans="5:8">
      <c r="E80" s="20"/>
      <c r="F80" s="32">
        <f>+IMESI!A68</f>
        <v>31898</v>
      </c>
      <c r="G80" s="24" t="str">
        <f>IF($E$8="seleccione rubro"," - ",HLOOKUP($E$8,IMESI!B1:Q336, 68,0))</f>
        <v xml:space="preserve"> - </v>
      </c>
      <c r="H80" s="26"/>
    </row>
    <row r="81" spans="5:8">
      <c r="E81" s="20"/>
      <c r="F81" s="32">
        <f>+IMESI!A69</f>
        <v>31929</v>
      </c>
      <c r="G81" s="24" t="str">
        <f>IF($E$8="seleccione rubro"," - ",HLOOKUP($E$8,IMESI!B1:Q336, 69,0))</f>
        <v xml:space="preserve"> - </v>
      </c>
      <c r="H81" s="26"/>
    </row>
    <row r="82" spans="5:8">
      <c r="E82" s="20"/>
      <c r="F82" s="32">
        <f>+IMESI!A70</f>
        <v>31959</v>
      </c>
      <c r="G82" s="24" t="str">
        <f>IF($E$8="seleccione rubro"," - ",HLOOKUP($E$8,IMESI!B1:Q336, 70,0))</f>
        <v xml:space="preserve"> - </v>
      </c>
      <c r="H82" s="26"/>
    </row>
    <row r="83" spans="5:8">
      <c r="E83" s="20"/>
      <c r="F83" s="32">
        <f>+IMESI!A71</f>
        <v>31990</v>
      </c>
      <c r="G83" s="24" t="str">
        <f>IF($E$8="seleccione rubro"," - ",HLOOKUP($E$8,IMESI!B1:Q336, 71,0))</f>
        <v xml:space="preserve"> - </v>
      </c>
      <c r="H83" s="26"/>
    </row>
    <row r="84" spans="5:8">
      <c r="E84" s="20"/>
      <c r="F84" s="32">
        <f>+IMESI!A72</f>
        <v>32021</v>
      </c>
      <c r="G84" s="24" t="str">
        <f>IF($E$8="seleccione rubro"," - ",HLOOKUP($E$8,IMESI!B1:Q336, 72,0))</f>
        <v xml:space="preserve"> - </v>
      </c>
      <c r="H84" s="26"/>
    </row>
    <row r="85" spans="5:8">
      <c r="E85" s="20"/>
      <c r="F85" s="32">
        <f>+IMESI!A73</f>
        <v>32051</v>
      </c>
      <c r="G85" s="24" t="str">
        <f>IF($E$8="seleccione rubro"," - ",HLOOKUP($E$8,IMESI!B1:Q336, 73,0))</f>
        <v xml:space="preserve"> - </v>
      </c>
      <c r="H85" s="26"/>
    </row>
    <row r="86" spans="5:8">
      <c r="E86" s="20"/>
      <c r="F86" s="32">
        <f>+IMESI!A74</f>
        <v>32082</v>
      </c>
      <c r="G86" s="24" t="str">
        <f>IF($E$8="seleccione rubro"," - ",HLOOKUP($E$8,IMESI!B1:Q336, 74,0))</f>
        <v xml:space="preserve"> - </v>
      </c>
      <c r="H86" s="26"/>
    </row>
    <row r="87" spans="5:8">
      <c r="E87" s="20"/>
      <c r="F87" s="32">
        <f>+IMESI!A75</f>
        <v>32112</v>
      </c>
      <c r="G87" s="24" t="str">
        <f>IF($E$8="seleccione rubro"," - ",HLOOKUP($E$8,IMESI!B1:Q336, 75,0))</f>
        <v xml:space="preserve"> - </v>
      </c>
      <c r="H87" s="26"/>
    </row>
    <row r="88" spans="5:8">
      <c r="E88" s="20"/>
      <c r="F88" s="32">
        <f>+IMESI!A76</f>
        <v>32143</v>
      </c>
      <c r="G88" s="24" t="str">
        <f>IF($E$8="seleccione rubro"," - ",HLOOKUP($E$8,IMESI!B1:Q336, 76,0))</f>
        <v xml:space="preserve"> - </v>
      </c>
      <c r="H88" s="26"/>
    </row>
    <row r="89" spans="5:8">
      <c r="E89" s="20"/>
      <c r="F89" s="32">
        <f>+IMESI!A77</f>
        <v>32174</v>
      </c>
      <c r="G89" s="24" t="str">
        <f>IF($E$8="seleccione rubro"," - ",HLOOKUP($E$8,IMESI!B1:Q336, 77,0))</f>
        <v xml:space="preserve"> - </v>
      </c>
      <c r="H89" s="26"/>
    </row>
    <row r="90" spans="5:8">
      <c r="E90" s="20"/>
      <c r="F90" s="32">
        <f>+IMESI!A78</f>
        <v>32203</v>
      </c>
      <c r="G90" s="24" t="str">
        <f>IF($E$8="seleccione rubro"," - ",HLOOKUP($E$8,IMESI!B1:Q336, 78,0))</f>
        <v xml:space="preserve"> - </v>
      </c>
      <c r="H90" s="26"/>
    </row>
    <row r="91" spans="5:8">
      <c r="E91" s="20"/>
      <c r="F91" s="32">
        <f>+IMESI!A79</f>
        <v>32234</v>
      </c>
      <c r="G91" s="24" t="str">
        <f>IF($E$8="seleccione rubro"," - ",HLOOKUP($E$8,IMESI!B1:Q336, 79,0))</f>
        <v xml:space="preserve"> - </v>
      </c>
      <c r="H91" s="26"/>
    </row>
    <row r="92" spans="5:8">
      <c r="E92" s="20"/>
      <c r="F92" s="32">
        <f>+IMESI!A80</f>
        <v>32264</v>
      </c>
      <c r="G92" s="24" t="str">
        <f>IF($E$8="seleccione rubro"," - ",HLOOKUP($E$8,IMESI!B1:Q336, 80,0))</f>
        <v xml:space="preserve"> - </v>
      </c>
      <c r="H92" s="26"/>
    </row>
    <row r="93" spans="5:8">
      <c r="E93" s="20"/>
      <c r="F93" s="32">
        <f>+IMESI!A81</f>
        <v>32295</v>
      </c>
      <c r="G93" s="24" t="str">
        <f>IF($E$8="seleccione rubro"," - ",HLOOKUP($E$8,IMESI!B1:Q336, 81,0))</f>
        <v xml:space="preserve"> - </v>
      </c>
      <c r="H93" s="26"/>
    </row>
    <row r="94" spans="5:8">
      <c r="E94" s="20"/>
      <c r="F94" s="32">
        <f>+IMESI!A82</f>
        <v>32325</v>
      </c>
      <c r="G94" s="24" t="str">
        <f>IF($E$8="seleccione rubro"," - ",HLOOKUP($E$8,IMESI!B1:Q336, 82,0))</f>
        <v xml:space="preserve"> - </v>
      </c>
      <c r="H94" s="26"/>
    </row>
    <row r="95" spans="5:8">
      <c r="E95" s="20"/>
      <c r="F95" s="32">
        <f>+IMESI!A83</f>
        <v>32356</v>
      </c>
      <c r="G95" s="24" t="str">
        <f>IF($E$8="seleccione rubro"," - ",HLOOKUP($E$8,IMESI!B1:Q336, 83,0))</f>
        <v xml:space="preserve"> - </v>
      </c>
      <c r="H95" s="26"/>
    </row>
    <row r="96" spans="5:8">
      <c r="E96" s="20"/>
      <c r="F96" s="32">
        <f>+IMESI!A84</f>
        <v>32387</v>
      </c>
      <c r="G96" s="24" t="str">
        <f>IF($E$8="seleccione rubro"," - ",HLOOKUP($E$8,IMESI!B1:Q336, 84,0))</f>
        <v xml:space="preserve"> - </v>
      </c>
      <c r="H96" s="26"/>
    </row>
    <row r="97" spans="5:8">
      <c r="E97" s="20"/>
      <c r="F97" s="32">
        <f>+IMESI!A85</f>
        <v>32417</v>
      </c>
      <c r="G97" s="24" t="str">
        <f>IF($E$8="seleccione rubro"," - ",HLOOKUP($E$8,IMESI!B1:Q336, 85,0))</f>
        <v xml:space="preserve"> - </v>
      </c>
      <c r="H97" s="26"/>
    </row>
    <row r="98" spans="5:8">
      <c r="E98" s="20"/>
      <c r="F98" s="32">
        <f>+IMESI!A86</f>
        <v>32448</v>
      </c>
      <c r="G98" s="24" t="str">
        <f>IF($E$8="seleccione rubro"," - ",HLOOKUP($E$8,IMESI!B1:Q336, 86,0))</f>
        <v xml:space="preserve"> - </v>
      </c>
      <c r="H98" s="26"/>
    </row>
    <row r="99" spans="5:8">
      <c r="E99" s="20"/>
      <c r="F99" s="32">
        <f>+IMESI!A87</f>
        <v>32478</v>
      </c>
      <c r="G99" s="24" t="str">
        <f>IF($E$8="seleccione rubro"," - ",HLOOKUP($E$8,IMESI!B1:Q336, 87,0))</f>
        <v xml:space="preserve"> - </v>
      </c>
      <c r="H99" s="26"/>
    </row>
    <row r="100" spans="5:8">
      <c r="E100" s="20"/>
      <c r="F100" s="32">
        <f>+IMESI!A88</f>
        <v>32509</v>
      </c>
      <c r="G100" s="24" t="str">
        <f>IF($E$8="seleccione rubro"," - ",HLOOKUP($E$8,IMESI!B1:Q336, 88,0))</f>
        <v xml:space="preserve"> - </v>
      </c>
      <c r="H100" s="26"/>
    </row>
    <row r="101" spans="5:8">
      <c r="E101" s="20"/>
      <c r="F101" s="32">
        <f>+IMESI!A89</f>
        <v>32540</v>
      </c>
      <c r="G101" s="24" t="str">
        <f>IF($E$8="seleccione rubro"," - ",HLOOKUP($E$8,IMESI!B1:Q336, 89,0))</f>
        <v xml:space="preserve"> - </v>
      </c>
      <c r="H101" s="26"/>
    </row>
    <row r="102" spans="5:8">
      <c r="E102" s="20"/>
      <c r="F102" s="32">
        <f>+IMESI!A90</f>
        <v>32568</v>
      </c>
      <c r="G102" s="24" t="str">
        <f>IF($E$8="seleccione rubro"," - ",HLOOKUP($E$8,IMESI!B1:Q336, 90,0))</f>
        <v xml:space="preserve"> - </v>
      </c>
      <c r="H102" s="26"/>
    </row>
    <row r="103" spans="5:8">
      <c r="E103" s="20"/>
      <c r="F103" s="32">
        <f>+IMESI!A91</f>
        <v>32599</v>
      </c>
      <c r="G103" s="24" t="str">
        <f>IF($E$8="seleccione rubro"," - ",HLOOKUP($E$8,IMESI!B1:Q336, 91,0))</f>
        <v xml:space="preserve"> - </v>
      </c>
      <c r="H103" s="26"/>
    </row>
    <row r="104" spans="5:8">
      <c r="E104" s="20"/>
      <c r="F104" s="32">
        <f>+IMESI!A92</f>
        <v>32629</v>
      </c>
      <c r="G104" s="24" t="str">
        <f>IF($E$8="seleccione rubro"," - ",HLOOKUP($E$8,IMESI!B1:Q336, 92,0))</f>
        <v xml:space="preserve"> - </v>
      </c>
      <c r="H104" s="26"/>
    </row>
    <row r="105" spans="5:8">
      <c r="E105" s="20"/>
      <c r="F105" s="32">
        <f>+IMESI!A93</f>
        <v>32660</v>
      </c>
      <c r="G105" s="24" t="str">
        <f>IF($E$8="seleccione rubro"," - ",HLOOKUP($E$8,IMESI!B1:Q336, 93,0))</f>
        <v xml:space="preserve"> - </v>
      </c>
      <c r="H105" s="26"/>
    </row>
    <row r="106" spans="5:8">
      <c r="E106" s="20"/>
      <c r="F106" s="32">
        <f>+IMESI!A94</f>
        <v>32690</v>
      </c>
      <c r="G106" s="24" t="str">
        <f>IF($E$8="seleccione rubro"," - ",HLOOKUP($E$8,IMESI!B1:Q336, 94,0))</f>
        <v xml:space="preserve"> - </v>
      </c>
      <c r="H106" s="26"/>
    </row>
    <row r="107" spans="5:8">
      <c r="E107" s="20"/>
      <c r="F107" s="32">
        <f>+IMESI!A95</f>
        <v>32721</v>
      </c>
      <c r="G107" s="24" t="str">
        <f>IF($E$8="seleccione rubro"," - ",HLOOKUP($E$8,IMESI!B1:Q336, 95,0))</f>
        <v xml:space="preserve"> - </v>
      </c>
      <c r="H107" s="26"/>
    </row>
    <row r="108" spans="5:8">
      <c r="E108" s="20"/>
      <c r="F108" s="32">
        <f>+IMESI!A96</f>
        <v>32752</v>
      </c>
      <c r="G108" s="24" t="str">
        <f>IF($E$8="seleccione rubro"," - ",HLOOKUP($E$8,IMESI!B1:Q336, 96,0))</f>
        <v xml:space="preserve"> - </v>
      </c>
      <c r="H108" s="26"/>
    </row>
    <row r="109" spans="5:8">
      <c r="E109" s="20"/>
      <c r="F109" s="32">
        <f>+IMESI!A97</f>
        <v>32782</v>
      </c>
      <c r="G109" s="24" t="str">
        <f>IF($E$8="seleccione rubro"," - ",HLOOKUP($E$8,IMESI!B1:Q336, 97,0))</f>
        <v xml:space="preserve"> - </v>
      </c>
      <c r="H109" s="26"/>
    </row>
    <row r="110" spans="5:8">
      <c r="E110" s="20"/>
      <c r="F110" s="32">
        <f>+IMESI!A98</f>
        <v>32813</v>
      </c>
      <c r="G110" s="24" t="str">
        <f>IF($E$8="seleccione rubro"," - ",HLOOKUP($E$8,IMESI!B1:Q336, 98,0))</f>
        <v xml:space="preserve"> - </v>
      </c>
      <c r="H110" s="26"/>
    </row>
    <row r="111" spans="5:8">
      <c r="E111" s="20"/>
      <c r="F111" s="32">
        <f>+IMESI!A99</f>
        <v>32843</v>
      </c>
      <c r="G111" s="24" t="str">
        <f>IF($E$8="seleccione rubro"," - ",HLOOKUP($E$8,IMESI!B1:Q336, 99,0))</f>
        <v xml:space="preserve"> - </v>
      </c>
      <c r="H111" s="26"/>
    </row>
    <row r="112" spans="5:8">
      <c r="E112" s="20"/>
      <c r="F112" s="32">
        <f>+IMESI!A100</f>
        <v>32874</v>
      </c>
      <c r="G112" s="24" t="str">
        <f>IF($E$8="seleccione rubro"," - ",HLOOKUP($E$8,IMESI!B1:Q336, 100,0))</f>
        <v xml:space="preserve"> - </v>
      </c>
      <c r="H112" s="26"/>
    </row>
    <row r="113" spans="5:8">
      <c r="E113" s="20"/>
      <c r="F113" s="32">
        <f>+IMESI!A101</f>
        <v>32905</v>
      </c>
      <c r="G113" s="24" t="str">
        <f>IF($E$8="seleccione rubro"," - ",HLOOKUP($E$8,IMESI!B1:Q336, 101,0))</f>
        <v xml:space="preserve"> - </v>
      </c>
      <c r="H113" s="26"/>
    </row>
    <row r="114" spans="5:8">
      <c r="E114" s="20"/>
      <c r="F114" s="32">
        <f>+IMESI!A102</f>
        <v>32933</v>
      </c>
      <c r="G114" s="24" t="str">
        <f>IF($E$8="seleccione rubro"," - ",HLOOKUP($E$8,IMESI!B1:Q336, 102,0))</f>
        <v xml:space="preserve"> - </v>
      </c>
      <c r="H114" s="26"/>
    </row>
    <row r="115" spans="5:8">
      <c r="E115" s="20"/>
      <c r="F115" s="32">
        <f>+IMESI!A103</f>
        <v>32964</v>
      </c>
      <c r="G115" s="24" t="str">
        <f>IF($E$8="seleccione rubro"," - ",HLOOKUP($E$8,IMESI!B1:Q336, 103,0))</f>
        <v xml:space="preserve"> - </v>
      </c>
      <c r="H115" s="26"/>
    </row>
    <row r="116" spans="5:8">
      <c r="E116" s="20"/>
      <c r="F116" s="32">
        <f>+IMESI!A104</f>
        <v>32994</v>
      </c>
      <c r="G116" s="24" t="str">
        <f>IF($E$8="seleccione rubro"," - ",HLOOKUP($E$8,IMESI!B1:Q336, 104,0))</f>
        <v xml:space="preserve"> - </v>
      </c>
      <c r="H116" s="26"/>
    </row>
    <row r="117" spans="5:8">
      <c r="E117" s="20"/>
      <c r="F117" s="32">
        <f>+IMESI!A105</f>
        <v>33025</v>
      </c>
      <c r="G117" s="24" t="str">
        <f>IF($E$8="seleccione rubro"," - ",HLOOKUP($E$8,IMESI!B1:Q336, 105,0))</f>
        <v xml:space="preserve"> - </v>
      </c>
      <c r="H117" s="26"/>
    </row>
    <row r="118" spans="5:8">
      <c r="E118" s="20"/>
      <c r="F118" s="32">
        <f>+IMESI!A106</f>
        <v>33055</v>
      </c>
      <c r="G118" s="24" t="str">
        <f>IF($E$8="seleccione rubro"," - ",HLOOKUP($E$8,IMESI!B1:Q336, 106,0))</f>
        <v xml:space="preserve"> - </v>
      </c>
      <c r="H118" s="26"/>
    </row>
    <row r="119" spans="5:8">
      <c r="E119" s="20"/>
      <c r="F119" s="32">
        <f>+IMESI!A107</f>
        <v>33086</v>
      </c>
      <c r="G119" s="24" t="str">
        <f>IF($E$8="seleccione rubro"," - ",HLOOKUP($E$8,IMESI!B1:Q336, 107,0))</f>
        <v xml:space="preserve"> - </v>
      </c>
      <c r="H119" s="26"/>
    </row>
    <row r="120" spans="5:8">
      <c r="E120" s="20"/>
      <c r="F120" s="32">
        <f>+IMESI!A108</f>
        <v>33117</v>
      </c>
      <c r="G120" s="24" t="str">
        <f>IF($E$8="seleccione rubro"," - ",HLOOKUP($E$8,IMESI!B1:Q336, 108,0))</f>
        <v xml:space="preserve"> - </v>
      </c>
      <c r="H120" s="26"/>
    </row>
    <row r="121" spans="5:8">
      <c r="E121" s="20"/>
      <c r="F121" s="32">
        <f>+IMESI!A109</f>
        <v>33147</v>
      </c>
      <c r="G121" s="24" t="str">
        <f>IF($E$8="seleccione rubro"," - ",HLOOKUP($E$8,IMESI!B1:Q336, 109,0))</f>
        <v xml:space="preserve"> - </v>
      </c>
      <c r="H121" s="26"/>
    </row>
    <row r="122" spans="5:8">
      <c r="E122" s="20"/>
      <c r="F122" s="32">
        <f>+IMESI!A110</f>
        <v>33178</v>
      </c>
      <c r="G122" s="24" t="str">
        <f>IF($E$8="seleccione rubro"," - ",HLOOKUP($E$8,IMESI!B1:Q336, 110,0))</f>
        <v xml:space="preserve"> - </v>
      </c>
      <c r="H122" s="26"/>
    </row>
    <row r="123" spans="5:8">
      <c r="E123" s="20"/>
      <c r="F123" s="32">
        <f>+IMESI!A111</f>
        <v>33208</v>
      </c>
      <c r="G123" s="24" t="str">
        <f>IF($E$8="seleccione rubro"," - ",HLOOKUP($E$8,IMESI!B1:Q336, 111,0))</f>
        <v xml:space="preserve"> - </v>
      </c>
      <c r="H123" s="26"/>
    </row>
    <row r="124" spans="5:8">
      <c r="E124" s="20"/>
      <c r="F124" s="32">
        <f>+IMESI!A112</f>
        <v>33239</v>
      </c>
      <c r="G124" s="24" t="str">
        <f>IF($E$8="seleccione rubro"," - ",HLOOKUP($E$8,IMESI!B1:Q336, 112,0))</f>
        <v xml:space="preserve"> - </v>
      </c>
      <c r="H124" s="26"/>
    </row>
    <row r="125" spans="5:8">
      <c r="E125" s="20"/>
      <c r="F125" s="32">
        <f>+IMESI!A113</f>
        <v>33270</v>
      </c>
      <c r="G125" s="24" t="str">
        <f>IF($E$8="seleccione rubro"," - ",HLOOKUP($E$8,IMESI!B1:Q336, 113,0))</f>
        <v xml:space="preserve"> - </v>
      </c>
      <c r="H125" s="26"/>
    </row>
    <row r="126" spans="5:8">
      <c r="E126" s="20"/>
      <c r="F126" s="32">
        <f>+IMESI!A114</f>
        <v>33298</v>
      </c>
      <c r="G126" s="24" t="str">
        <f>IF($E$8="seleccione rubro"," - ",HLOOKUP($E$8,IMESI!B1:Q336, 114,0))</f>
        <v xml:space="preserve"> - </v>
      </c>
      <c r="H126" s="26"/>
    </row>
    <row r="127" spans="5:8">
      <c r="E127" s="20"/>
      <c r="F127" s="32">
        <f>+IMESI!A115</f>
        <v>33329</v>
      </c>
      <c r="G127" s="24" t="str">
        <f>IF($E$8="seleccione rubro"," - ",HLOOKUP($E$8,IMESI!B1:Q336, 115,0))</f>
        <v xml:space="preserve"> - </v>
      </c>
      <c r="H127" s="26"/>
    </row>
    <row r="128" spans="5:8">
      <c r="E128" s="20"/>
      <c r="F128" s="32">
        <f>+IMESI!A116</f>
        <v>33359</v>
      </c>
      <c r="G128" s="24" t="str">
        <f>IF($E$8="seleccione rubro"," - ",HLOOKUP($E$8,IMESI!B1:Q336, 116,0))</f>
        <v xml:space="preserve"> - </v>
      </c>
      <c r="H128" s="26"/>
    </row>
    <row r="129" spans="5:8">
      <c r="E129" s="20"/>
      <c r="F129" s="32">
        <f>+IMESI!A117</f>
        <v>33390</v>
      </c>
      <c r="G129" s="24" t="str">
        <f>IF($E$8="seleccione rubro"," - ",HLOOKUP($E$8,IMESI!B1:Q336, 117,0))</f>
        <v xml:space="preserve"> - </v>
      </c>
      <c r="H129" s="26"/>
    </row>
    <row r="130" spans="5:8">
      <c r="E130" s="20"/>
      <c r="F130" s="32">
        <f>+IMESI!A118</f>
        <v>33420</v>
      </c>
      <c r="G130" s="24" t="str">
        <f>IF($E$8="seleccione rubro"," - ",HLOOKUP($E$8,IMESI!B1:Q336, 118,0))</f>
        <v xml:space="preserve"> - </v>
      </c>
      <c r="H130" s="26"/>
    </row>
    <row r="131" spans="5:8">
      <c r="E131" s="20"/>
      <c r="F131" s="32">
        <f>+IMESI!A119</f>
        <v>33451</v>
      </c>
      <c r="G131" s="24" t="str">
        <f>IF($E$8="seleccione rubro"," - ",HLOOKUP($E$8,IMESI!B1:Q336, 119,0))</f>
        <v xml:space="preserve"> - </v>
      </c>
      <c r="H131" s="26"/>
    </row>
    <row r="132" spans="5:8">
      <c r="E132" s="20"/>
      <c r="F132" s="32">
        <f>+IMESI!A120</f>
        <v>33482</v>
      </c>
      <c r="G132" s="24" t="str">
        <f>IF($E$8="seleccione rubro"," - ",HLOOKUP($E$8,IMESI!B1:Q336, 120,0))</f>
        <v xml:space="preserve"> - </v>
      </c>
      <c r="H132" s="26"/>
    </row>
    <row r="133" spans="5:8">
      <c r="E133" s="20"/>
      <c r="F133" s="32">
        <f>+IMESI!A121</f>
        <v>33512</v>
      </c>
      <c r="G133" s="24" t="str">
        <f>IF($E$8="seleccione rubro"," - ",HLOOKUP($E$8,IMESI!B1:Q336, 121,0))</f>
        <v xml:space="preserve"> - </v>
      </c>
      <c r="H133" s="26"/>
    </row>
    <row r="134" spans="5:8">
      <c r="E134" s="20"/>
      <c r="F134" s="32">
        <f>+IMESI!A122</f>
        <v>33543</v>
      </c>
      <c r="G134" s="24" t="str">
        <f>IF($E$8="seleccione rubro"," - ",HLOOKUP($E$8,IMESI!B1:Q336, 122,0))</f>
        <v xml:space="preserve"> - </v>
      </c>
      <c r="H134" s="26"/>
    </row>
    <row r="135" spans="5:8">
      <c r="E135" s="20"/>
      <c r="F135" s="32">
        <f>+IMESI!A123</f>
        <v>33573</v>
      </c>
      <c r="G135" s="24" t="str">
        <f>IF($E$8="seleccione rubro"," - ",HLOOKUP($E$8,IMESI!B1:Q336, 123,0))</f>
        <v xml:space="preserve"> - </v>
      </c>
      <c r="H135" s="26"/>
    </row>
    <row r="136" spans="5:8">
      <c r="E136" s="20"/>
      <c r="F136" s="32">
        <f>+IMESI!A124</f>
        <v>33604</v>
      </c>
      <c r="G136" s="24" t="str">
        <f>IF($E$8="seleccione rubro"," - ",HLOOKUP($E$8,IMESI!B1:Q336, 124,0))</f>
        <v xml:space="preserve"> - </v>
      </c>
      <c r="H136" s="26"/>
    </row>
    <row r="137" spans="5:8">
      <c r="E137" s="20"/>
      <c r="F137" s="32">
        <f>+IMESI!A125</f>
        <v>33635</v>
      </c>
      <c r="G137" s="24" t="str">
        <f>IF($E$8="seleccione rubro"," - ",HLOOKUP($E$8,IMESI!B1:Q336, 125,0))</f>
        <v xml:space="preserve"> - </v>
      </c>
      <c r="H137" s="26"/>
    </row>
    <row r="138" spans="5:8">
      <c r="E138" s="20"/>
      <c r="F138" s="32">
        <f>+IMESI!A126</f>
        <v>33664</v>
      </c>
      <c r="G138" s="24" t="str">
        <f>IF($E$8="seleccione rubro"," - ",HLOOKUP($E$8,IMESI!B1:Q336, 126,0))</f>
        <v xml:space="preserve"> - </v>
      </c>
      <c r="H138" s="26"/>
    </row>
    <row r="139" spans="5:8">
      <c r="E139" s="20"/>
      <c r="F139" s="32">
        <f>+IMESI!A127</f>
        <v>33695</v>
      </c>
      <c r="G139" s="24" t="str">
        <f>IF($E$8="seleccione rubro"," - ",HLOOKUP($E$8,IMESI!B1:Q336, 127,0))</f>
        <v xml:space="preserve"> - </v>
      </c>
      <c r="H139" s="26"/>
    </row>
    <row r="140" spans="5:8">
      <c r="E140" s="20"/>
      <c r="F140" s="32">
        <f>+IMESI!A128</f>
        <v>33725</v>
      </c>
      <c r="G140" s="24" t="str">
        <f>IF($E$8="seleccione rubro"," - ",HLOOKUP($E$8,IMESI!B1:Q336, 128,0))</f>
        <v xml:space="preserve"> - </v>
      </c>
      <c r="H140" s="26"/>
    </row>
    <row r="141" spans="5:8">
      <c r="E141" s="20"/>
      <c r="F141" s="32">
        <f>+IMESI!A129</f>
        <v>33756</v>
      </c>
      <c r="G141" s="24" t="str">
        <f>IF($E$8="seleccione rubro"," - ",HLOOKUP($E$8,IMESI!B1:Q336, 129,0))</f>
        <v xml:space="preserve"> - </v>
      </c>
      <c r="H141" s="26"/>
    </row>
    <row r="142" spans="5:8">
      <c r="E142" s="20"/>
      <c r="F142" s="32">
        <f>+IMESI!A130</f>
        <v>33786</v>
      </c>
      <c r="G142" s="24" t="str">
        <f>IF($E$8="seleccione rubro"," - ",HLOOKUP($E$8,IMESI!B1:Q336, 130,0))</f>
        <v xml:space="preserve"> - </v>
      </c>
      <c r="H142" s="26"/>
    </row>
    <row r="143" spans="5:8">
      <c r="E143" s="20"/>
      <c r="F143" s="32">
        <f>+IMESI!A131</f>
        <v>33817</v>
      </c>
      <c r="G143" s="24" t="str">
        <f>IF($E$8="seleccione rubro"," - ",HLOOKUP($E$8,IMESI!B1:Q336, 131,0))</f>
        <v xml:space="preserve"> - </v>
      </c>
      <c r="H143" s="26"/>
    </row>
    <row r="144" spans="5:8">
      <c r="E144" s="20"/>
      <c r="F144" s="32">
        <f>+IMESI!A132</f>
        <v>33848</v>
      </c>
      <c r="G144" s="24" t="str">
        <f>IF($E$8="seleccione rubro"," - ",HLOOKUP($E$8,IMESI!B1:Q336, 132,0))</f>
        <v xml:space="preserve"> - </v>
      </c>
      <c r="H144" s="26"/>
    </row>
    <row r="145" spans="5:8">
      <c r="E145" s="20"/>
      <c r="F145" s="32">
        <f>+IMESI!A133</f>
        <v>33878</v>
      </c>
      <c r="G145" s="24" t="str">
        <f>IF($E$8="seleccione rubro"," - ",HLOOKUP($E$8,IMESI!B1:Q336, 133,0))</f>
        <v xml:space="preserve"> - </v>
      </c>
      <c r="H145" s="26"/>
    </row>
    <row r="146" spans="5:8">
      <c r="E146" s="20"/>
      <c r="F146" s="32">
        <f>+IMESI!A134</f>
        <v>33909</v>
      </c>
      <c r="G146" s="24" t="str">
        <f>IF($E$8="seleccione rubro"," - ",HLOOKUP($E$8,IMESI!B1:Q336, 134,0))</f>
        <v xml:space="preserve"> - </v>
      </c>
      <c r="H146" s="26"/>
    </row>
    <row r="147" spans="5:8">
      <c r="E147" s="20"/>
      <c r="F147" s="32">
        <f>+IMESI!A135</f>
        <v>33939</v>
      </c>
      <c r="G147" s="24" t="str">
        <f>IF($E$8="seleccione rubro"," - ",HLOOKUP($E$8,IMESI!B1:Q336, 135,0))</f>
        <v xml:space="preserve"> - </v>
      </c>
      <c r="H147" s="26"/>
    </row>
    <row r="148" spans="5:8">
      <c r="E148" s="20"/>
      <c r="F148" s="32">
        <f>+IMESI!A136</f>
        <v>33970</v>
      </c>
      <c r="G148" s="24" t="str">
        <f>IF($E$8="seleccione rubro"," - ",HLOOKUP($E$8,IMESI!B1:Q336, 136,0))</f>
        <v xml:space="preserve"> - </v>
      </c>
      <c r="H148" s="26"/>
    </row>
    <row r="149" spans="5:8">
      <c r="E149" s="20"/>
      <c r="F149" s="32">
        <f>+IMESI!A137</f>
        <v>34001</v>
      </c>
      <c r="G149" s="24" t="str">
        <f>IF($E$8="seleccione rubro"," - ",HLOOKUP($E$8,IMESI!B1:Q336, 137,0))</f>
        <v xml:space="preserve"> - </v>
      </c>
      <c r="H149" s="26"/>
    </row>
    <row r="150" spans="5:8">
      <c r="E150" s="20"/>
      <c r="F150" s="32">
        <f>+IMESI!A138</f>
        <v>34029</v>
      </c>
      <c r="G150" s="24" t="str">
        <f>IF($E$8="seleccione rubro"," - ",HLOOKUP($E$8,IMESI!B1:Q336, 138,0))</f>
        <v xml:space="preserve"> - </v>
      </c>
      <c r="H150" s="26"/>
    </row>
    <row r="151" spans="5:8">
      <c r="E151" s="20"/>
      <c r="F151" s="32">
        <f>+IMESI!A139</f>
        <v>34060</v>
      </c>
      <c r="G151" s="24" t="str">
        <f>IF($E$8="seleccione rubro"," - ",HLOOKUP($E$8,IMESI!B1:Q336, 139,0))</f>
        <v xml:space="preserve"> - </v>
      </c>
      <c r="H151" s="26"/>
    </row>
    <row r="152" spans="5:8">
      <c r="E152" s="20"/>
      <c r="F152" s="32">
        <f>+IMESI!A140</f>
        <v>34090</v>
      </c>
      <c r="G152" s="24" t="str">
        <f>IF($E$8="seleccione rubro"," - ",HLOOKUP($E$8,IMESI!B1:Q336, 140,0))</f>
        <v xml:space="preserve"> - </v>
      </c>
      <c r="H152" s="26"/>
    </row>
    <row r="153" spans="5:8">
      <c r="E153" s="20"/>
      <c r="F153" s="32">
        <f>+IMESI!A141</f>
        <v>34121</v>
      </c>
      <c r="G153" s="24" t="str">
        <f>IF($E$8="seleccione rubro"," - ",HLOOKUP($E$8,IMESI!B1:Q336, 141,0))</f>
        <v xml:space="preserve"> - </v>
      </c>
      <c r="H153" s="26"/>
    </row>
    <row r="154" spans="5:8">
      <c r="E154" s="20"/>
      <c r="F154" s="32">
        <f>+IMESI!A142</f>
        <v>34151</v>
      </c>
      <c r="G154" s="24" t="str">
        <f>IF($E$8="seleccione rubro"," - ",HLOOKUP($E$8,IMESI!B1:Q336, 142,0))</f>
        <v xml:space="preserve"> - </v>
      </c>
      <c r="H154" s="26"/>
    </row>
    <row r="155" spans="5:8">
      <c r="E155" s="20"/>
      <c r="F155" s="32">
        <f>+IMESI!A143</f>
        <v>34182</v>
      </c>
      <c r="G155" s="24" t="str">
        <f>IF($E$8="seleccione rubro"," - ",HLOOKUP($E$8,IMESI!B1:Q336, 143,0))</f>
        <v xml:space="preserve"> - </v>
      </c>
      <c r="H155" s="26"/>
    </row>
    <row r="156" spans="5:8">
      <c r="E156" s="20"/>
      <c r="F156" s="32">
        <f>+IMESI!A144</f>
        <v>34213</v>
      </c>
      <c r="G156" s="24" t="str">
        <f>IF($E$8="seleccione rubro"," - ",HLOOKUP($E$8,IMESI!B1:Q336, 144,0))</f>
        <v xml:space="preserve"> - </v>
      </c>
      <c r="H156" s="26"/>
    </row>
    <row r="157" spans="5:8">
      <c r="E157" s="20"/>
      <c r="F157" s="32">
        <f>+IMESI!A145</f>
        <v>34243</v>
      </c>
      <c r="G157" s="24" t="str">
        <f>IF($E$8="seleccione rubro"," - ",HLOOKUP($E$8,IMESI!B1:Q336, 145,0))</f>
        <v xml:space="preserve"> - </v>
      </c>
      <c r="H157" s="26"/>
    </row>
    <row r="158" spans="5:8">
      <c r="E158" s="20"/>
      <c r="F158" s="32">
        <f>+IMESI!A146</f>
        <v>34274</v>
      </c>
      <c r="G158" s="24" t="str">
        <f>IF($E$8="seleccione rubro"," - ",HLOOKUP($E$8,IMESI!B1:Q336, 146,0))</f>
        <v xml:space="preserve"> - </v>
      </c>
      <c r="H158" s="26"/>
    </row>
    <row r="159" spans="5:8">
      <c r="E159" s="20"/>
      <c r="F159" s="32">
        <f>+IMESI!A147</f>
        <v>34304</v>
      </c>
      <c r="G159" s="24" t="str">
        <f>IF($E$8="seleccione rubro"," - ",HLOOKUP($E$8,IMESI!B1:Q336, 147,0))</f>
        <v xml:space="preserve"> - </v>
      </c>
      <c r="H159" s="26"/>
    </row>
    <row r="160" spans="5:8">
      <c r="E160" s="20"/>
      <c r="F160" s="32">
        <f>+IMESI!A148</f>
        <v>34335</v>
      </c>
      <c r="G160" s="24" t="str">
        <f>IF($E$8="seleccione rubro"," - ",HLOOKUP($E$8,IMESI!B1:Q336, 148,0))</f>
        <v xml:space="preserve"> - </v>
      </c>
      <c r="H160" s="26"/>
    </row>
    <row r="161" spans="5:8">
      <c r="E161" s="20"/>
      <c r="F161" s="32">
        <f>+IMESI!A149</f>
        <v>34366</v>
      </c>
      <c r="G161" s="24" t="str">
        <f>IF($E$8="seleccione rubro"," - ",HLOOKUP($E$8,IMESI!B1:Q336, 149,0))</f>
        <v xml:space="preserve"> - </v>
      </c>
      <c r="H161" s="26"/>
    </row>
    <row r="162" spans="5:8">
      <c r="E162" s="20"/>
      <c r="F162" s="32">
        <f>+IMESI!A150</f>
        <v>34394</v>
      </c>
      <c r="G162" s="24" t="str">
        <f>IF($E$8="seleccione rubro"," - ",HLOOKUP($E$8,IMESI!B1:Q336, 150,0))</f>
        <v xml:space="preserve"> - </v>
      </c>
      <c r="H162" s="26"/>
    </row>
    <row r="163" spans="5:8">
      <c r="E163" s="20"/>
      <c r="F163" s="32">
        <f>+IMESI!A151</f>
        <v>34425</v>
      </c>
      <c r="G163" s="24" t="str">
        <f>IF($E$8="seleccione rubro"," - ",HLOOKUP($E$8,IMESI!B1:Q336, 151,0))</f>
        <v xml:space="preserve"> - </v>
      </c>
      <c r="H163" s="26"/>
    </row>
    <row r="164" spans="5:8">
      <c r="E164" s="20"/>
      <c r="F164" s="32">
        <f>+IMESI!A152</f>
        <v>34455</v>
      </c>
      <c r="G164" s="24" t="str">
        <f>IF($E$8="seleccione rubro"," - ",HLOOKUP($E$8,IMESI!B1:Q336, 152,0))</f>
        <v xml:space="preserve"> - </v>
      </c>
      <c r="H164" s="26"/>
    </row>
    <row r="165" spans="5:8">
      <c r="E165" s="20"/>
      <c r="F165" s="32">
        <f>+IMESI!A153</f>
        <v>34486</v>
      </c>
      <c r="G165" s="24" t="str">
        <f>IF($E$8="seleccione rubro"," - ",HLOOKUP($E$8,IMESI!B1:Q336, 153,0))</f>
        <v xml:space="preserve"> - </v>
      </c>
      <c r="H165" s="26"/>
    </row>
    <row r="166" spans="5:8">
      <c r="E166" s="20"/>
      <c r="F166" s="32">
        <f>+IMESI!A154</f>
        <v>34516</v>
      </c>
      <c r="G166" s="24" t="str">
        <f>IF($E$8="seleccione rubro"," - ",HLOOKUP($E$8,IMESI!B1:Q336, 154,0))</f>
        <v xml:space="preserve"> - </v>
      </c>
      <c r="H166" s="26"/>
    </row>
    <row r="167" spans="5:8">
      <c r="E167" s="20"/>
      <c r="F167" s="32">
        <f>+IMESI!A155</f>
        <v>34547</v>
      </c>
      <c r="G167" s="24" t="str">
        <f>IF($E$8="seleccione rubro"," - ",HLOOKUP($E$8,IMESI!B1:Q336, 155,0))</f>
        <v xml:space="preserve"> - </v>
      </c>
      <c r="H167" s="26"/>
    </row>
    <row r="168" spans="5:8">
      <c r="E168" s="20"/>
      <c r="F168" s="32">
        <f>+IMESI!A156</f>
        <v>34578</v>
      </c>
      <c r="G168" s="24" t="str">
        <f>IF($E$8="seleccione rubro"," - ",HLOOKUP($E$8,IMESI!B1:Q336, 156,0))</f>
        <v xml:space="preserve"> - </v>
      </c>
      <c r="H168" s="26"/>
    </row>
    <row r="169" spans="5:8">
      <c r="E169" s="20"/>
      <c r="F169" s="32">
        <f>+IMESI!A157</f>
        <v>34608</v>
      </c>
      <c r="G169" s="24" t="str">
        <f>IF($E$8="seleccione rubro"," - ",HLOOKUP($E$8,IMESI!B1:Q336, 157,0))</f>
        <v xml:space="preserve"> - </v>
      </c>
      <c r="H169" s="26"/>
    </row>
    <row r="170" spans="5:8">
      <c r="E170" s="20"/>
      <c r="F170" s="32">
        <f>+IMESI!A158</f>
        <v>34639</v>
      </c>
      <c r="G170" s="24" t="str">
        <f>IF($E$8="seleccione rubro"," - ",HLOOKUP($E$8,IMESI!B1:Q336, 158,0))</f>
        <v xml:space="preserve"> - </v>
      </c>
      <c r="H170" s="26"/>
    </row>
    <row r="171" spans="5:8">
      <c r="E171" s="20"/>
      <c r="F171" s="32">
        <f>+IMESI!A159</f>
        <v>34669</v>
      </c>
      <c r="G171" s="24" t="str">
        <f>IF($E$8="seleccione rubro"," - ",HLOOKUP($E$8,IMESI!B1:Q336, 159,0))</f>
        <v xml:space="preserve"> - </v>
      </c>
      <c r="H171" s="26"/>
    </row>
    <row r="172" spans="5:8">
      <c r="E172" s="20"/>
      <c r="F172" s="32">
        <f>+IMESI!A160</f>
        <v>34700</v>
      </c>
      <c r="G172" s="24" t="str">
        <f>IF($E$8="seleccione rubro"," - ",HLOOKUP($E$8,IMESI!B1:Q336, 160,0))</f>
        <v xml:space="preserve"> - </v>
      </c>
      <c r="H172" s="26"/>
    </row>
    <row r="173" spans="5:8">
      <c r="E173" s="20"/>
      <c r="F173" s="32">
        <f>+IMESI!A161</f>
        <v>34731</v>
      </c>
      <c r="G173" s="24" t="str">
        <f>IF($E$8="seleccione rubro"," - ",HLOOKUP($E$8,IMESI!B1:Q336, 161,0))</f>
        <v xml:space="preserve"> - </v>
      </c>
      <c r="H173" s="26"/>
    </row>
    <row r="174" spans="5:8">
      <c r="E174" s="20"/>
      <c r="F174" s="32">
        <f>+IMESI!A162</f>
        <v>34759</v>
      </c>
      <c r="G174" s="24" t="str">
        <f>IF($E$8="seleccione rubro"," - ",HLOOKUP($E$8,IMESI!B1:Q336, 162,0))</f>
        <v xml:space="preserve"> - </v>
      </c>
      <c r="H174" s="26"/>
    </row>
    <row r="175" spans="5:8">
      <c r="E175" s="20"/>
      <c r="F175" s="32">
        <f>+IMESI!A163</f>
        <v>34790</v>
      </c>
      <c r="G175" s="24" t="str">
        <f>IF($E$8="seleccione rubro"," - ",HLOOKUP($E$8,IMESI!B1:Q336, 163,0))</f>
        <v xml:space="preserve"> - </v>
      </c>
      <c r="H175" s="26"/>
    </row>
    <row r="176" spans="5:8">
      <c r="E176" s="20"/>
      <c r="F176" s="32">
        <f>+IMESI!A164</f>
        <v>34820</v>
      </c>
      <c r="G176" s="24" t="str">
        <f>IF($E$8="seleccione rubro"," - ",HLOOKUP($E$8,IMESI!B1:Q336, 164,0))</f>
        <v xml:space="preserve"> - </v>
      </c>
      <c r="H176" s="26"/>
    </row>
    <row r="177" spans="5:8">
      <c r="E177" s="20"/>
      <c r="F177" s="32">
        <f>+IMESI!A165</f>
        <v>34851</v>
      </c>
      <c r="G177" s="24" t="str">
        <f>IF($E$8="seleccione rubro"," - ",HLOOKUP($E$8,IMESI!B1:Q336, 165,0))</f>
        <v xml:space="preserve"> - </v>
      </c>
      <c r="H177" s="26"/>
    </row>
    <row r="178" spans="5:8">
      <c r="E178" s="20"/>
      <c r="F178" s="32">
        <f>+IMESI!A166</f>
        <v>34881</v>
      </c>
      <c r="G178" s="24" t="str">
        <f>IF($E$8="seleccione rubro"," - ",HLOOKUP($E$8,IMESI!B1:Q336, 166,0))</f>
        <v xml:space="preserve"> - </v>
      </c>
      <c r="H178" s="26"/>
    </row>
    <row r="179" spans="5:8">
      <c r="E179" s="20"/>
      <c r="F179" s="32">
        <f>+IMESI!A167</f>
        <v>34912</v>
      </c>
      <c r="G179" s="24" t="str">
        <f>IF($E$8="seleccione rubro"," - ",HLOOKUP($E$8,IMESI!B1:Q336, 167,0))</f>
        <v xml:space="preserve"> - </v>
      </c>
      <c r="H179" s="26"/>
    </row>
    <row r="180" spans="5:8">
      <c r="E180" s="20"/>
      <c r="F180" s="32">
        <f>+IMESI!A168</f>
        <v>34943</v>
      </c>
      <c r="G180" s="24" t="str">
        <f>IF($E$8="seleccione rubro"," - ",HLOOKUP($E$8,IMESI!B1:Q336, 168,0))</f>
        <v xml:space="preserve"> - </v>
      </c>
      <c r="H180" s="26"/>
    </row>
    <row r="181" spans="5:8">
      <c r="E181" s="20"/>
      <c r="F181" s="32">
        <f>+IMESI!A169</f>
        <v>34973</v>
      </c>
      <c r="G181" s="24" t="str">
        <f>IF($E$8="seleccione rubro"," - ",HLOOKUP($E$8,IMESI!B1:Q336, 169,0))</f>
        <v xml:space="preserve"> - </v>
      </c>
      <c r="H181" s="26"/>
    </row>
    <row r="182" spans="5:8">
      <c r="E182" s="20"/>
      <c r="F182" s="32">
        <f>+IMESI!A170</f>
        <v>35004</v>
      </c>
      <c r="G182" s="24" t="str">
        <f>IF($E$8="seleccione rubro"," - ",HLOOKUP($E$8,IMESI!B1:Q336, 170,0))</f>
        <v xml:space="preserve"> - </v>
      </c>
      <c r="H182" s="26"/>
    </row>
    <row r="183" spans="5:8">
      <c r="E183" s="20"/>
      <c r="F183" s="32">
        <f>+IMESI!A171</f>
        <v>35034</v>
      </c>
      <c r="G183" s="24" t="str">
        <f>IF($E$8="seleccione rubro"," - ",HLOOKUP($E$8,IMESI!B1:Q336, 171,0))</f>
        <v xml:space="preserve"> - </v>
      </c>
      <c r="H183" s="26"/>
    </row>
    <row r="184" spans="5:8">
      <c r="E184" s="20"/>
      <c r="F184" s="32">
        <f>+IMESI!A172</f>
        <v>35065</v>
      </c>
      <c r="G184" s="24" t="str">
        <f>IF($E$8="seleccione rubro"," - ",HLOOKUP($E$8,IMESI!B1:Q336, 172,0))</f>
        <v xml:space="preserve"> - </v>
      </c>
      <c r="H184" s="26"/>
    </row>
    <row r="185" spans="5:8">
      <c r="E185" s="20"/>
      <c r="F185" s="32">
        <f>+IMESI!A173</f>
        <v>35096</v>
      </c>
      <c r="G185" s="24" t="str">
        <f>IF($E$8="seleccione rubro"," - ",HLOOKUP($E$8,IMESI!B1:Q336, 173,0))</f>
        <v xml:space="preserve"> - </v>
      </c>
      <c r="H185" s="26"/>
    </row>
    <row r="186" spans="5:8">
      <c r="E186" s="20"/>
      <c r="F186" s="32">
        <f>+IMESI!A174</f>
        <v>35125</v>
      </c>
      <c r="G186" s="24" t="str">
        <f>IF($E$8="seleccione rubro"," - ",HLOOKUP($E$8,IMESI!B1:Q336, 174,0))</f>
        <v xml:space="preserve"> - </v>
      </c>
      <c r="H186" s="26"/>
    </row>
    <row r="187" spans="5:8">
      <c r="E187" s="20"/>
      <c r="F187" s="32">
        <f>+IMESI!A175</f>
        <v>35156</v>
      </c>
      <c r="G187" s="24" t="str">
        <f>IF($E$8="seleccione rubro"," - ",HLOOKUP($E$8,IMESI!B1:Q336, 175,0))</f>
        <v xml:space="preserve"> - </v>
      </c>
      <c r="H187" s="26"/>
    </row>
    <row r="188" spans="5:8">
      <c r="E188" s="20"/>
      <c r="F188" s="32">
        <f>+IMESI!A176</f>
        <v>35186</v>
      </c>
      <c r="G188" s="24" t="str">
        <f>IF($E$8="seleccione rubro"," - ",HLOOKUP($E$8,IMESI!B1:Q336, 176,0))</f>
        <v xml:space="preserve"> - </v>
      </c>
      <c r="H188" s="26"/>
    </row>
    <row r="189" spans="5:8">
      <c r="E189" s="20"/>
      <c r="F189" s="32">
        <f>+IMESI!A177</f>
        <v>35217</v>
      </c>
      <c r="G189" s="24" t="str">
        <f>IF($E$8="seleccione rubro"," - ",HLOOKUP($E$8,IMESI!B1:Q336, 177,0))</f>
        <v xml:space="preserve"> - </v>
      </c>
      <c r="H189" s="26"/>
    </row>
    <row r="190" spans="5:8">
      <c r="E190" s="20"/>
      <c r="F190" s="32">
        <f>+IMESI!A178</f>
        <v>35247</v>
      </c>
      <c r="G190" s="24" t="str">
        <f>IF($E$8="seleccione rubro"," - ",HLOOKUP($E$8,IMESI!B1:Q336, 178,0))</f>
        <v xml:space="preserve"> - </v>
      </c>
      <c r="H190" s="26"/>
    </row>
    <row r="191" spans="5:8">
      <c r="E191" s="20"/>
      <c r="F191" s="32">
        <f>+IMESI!A179</f>
        <v>35278</v>
      </c>
      <c r="G191" s="24" t="str">
        <f>IF($E$8="seleccione rubro"," - ",HLOOKUP($E$8,IMESI!B1:Q336, 179,0))</f>
        <v xml:space="preserve"> - </v>
      </c>
      <c r="H191" s="26"/>
    </row>
    <row r="192" spans="5:8">
      <c r="E192" s="20"/>
      <c r="F192" s="32">
        <f>+IMESI!A180</f>
        <v>35309</v>
      </c>
      <c r="G192" s="24" t="str">
        <f>IF($E$8="seleccione rubro"," - ",HLOOKUP($E$8,IMESI!B1:Q336, 180,0))</f>
        <v xml:space="preserve"> - </v>
      </c>
      <c r="H192" s="26"/>
    </row>
    <row r="193" spans="5:8">
      <c r="E193" s="20"/>
      <c r="F193" s="32">
        <f>+IMESI!A181</f>
        <v>35339</v>
      </c>
      <c r="G193" s="24" t="str">
        <f>IF($E$8="seleccione rubro"," - ",HLOOKUP($E$8,IMESI!B1:Q336, 181,0))</f>
        <v xml:space="preserve"> - </v>
      </c>
      <c r="H193" s="26"/>
    </row>
    <row r="194" spans="5:8">
      <c r="E194" s="20"/>
      <c r="F194" s="32">
        <f>+IMESI!A182</f>
        <v>35370</v>
      </c>
      <c r="G194" s="24" t="str">
        <f>IF($E$8="seleccione rubro"," - ",HLOOKUP($E$8,IMESI!B1:Q336, 182,0))</f>
        <v xml:space="preserve"> - </v>
      </c>
      <c r="H194" s="26"/>
    </row>
    <row r="195" spans="5:8">
      <c r="E195" s="20"/>
      <c r="F195" s="32">
        <f>+IMESI!A183</f>
        <v>35400</v>
      </c>
      <c r="G195" s="24" t="str">
        <f>IF($E$8="seleccione rubro"," - ",HLOOKUP($E$8,IMESI!B1:Q336, 183,0))</f>
        <v xml:space="preserve"> - </v>
      </c>
      <c r="H195" s="26"/>
    </row>
    <row r="196" spans="5:8">
      <c r="E196" s="20"/>
      <c r="F196" s="32">
        <f>+IMESI!A184</f>
        <v>35431</v>
      </c>
      <c r="G196" s="24" t="str">
        <f>IF($E$8="seleccione rubro"," - ",HLOOKUP($E$8,IMESI!B1:Q336, 184,0))</f>
        <v xml:space="preserve"> - </v>
      </c>
      <c r="H196" s="26"/>
    </row>
    <row r="197" spans="5:8">
      <c r="E197" s="20"/>
      <c r="F197" s="32">
        <f>+IMESI!A185</f>
        <v>35462</v>
      </c>
      <c r="G197" s="24" t="str">
        <f>IF($E$8="seleccione rubro"," - ",HLOOKUP($E$8,IMESI!B1:Q336, 185,0))</f>
        <v xml:space="preserve"> - </v>
      </c>
      <c r="H197" s="26"/>
    </row>
    <row r="198" spans="5:8">
      <c r="E198" s="20"/>
      <c r="F198" s="32">
        <f>+IMESI!A186</f>
        <v>35490</v>
      </c>
      <c r="G198" s="24" t="str">
        <f>IF($E$8="seleccione rubro"," - ",HLOOKUP($E$8,IMESI!B1:Q336, 186,0))</f>
        <v xml:space="preserve"> - </v>
      </c>
      <c r="H198" s="26"/>
    </row>
    <row r="199" spans="5:8">
      <c r="E199" s="20"/>
      <c r="F199" s="32">
        <f>+IMESI!A187</f>
        <v>35521</v>
      </c>
      <c r="G199" s="24" t="str">
        <f>IF($E$8="seleccione rubro"," - ",HLOOKUP($E$8,IMESI!B1:Q336, 187,0))</f>
        <v xml:space="preserve"> - </v>
      </c>
      <c r="H199" s="26"/>
    </row>
    <row r="200" spans="5:8">
      <c r="E200" s="20"/>
      <c r="F200" s="32">
        <f>+IMESI!A188</f>
        <v>35551</v>
      </c>
      <c r="G200" s="24" t="str">
        <f>IF($E$8="seleccione rubro"," - ",HLOOKUP($E$8,IMESI!B1:Q336, 188,0))</f>
        <v xml:space="preserve"> - </v>
      </c>
      <c r="H200" s="26"/>
    </row>
    <row r="201" spans="5:8">
      <c r="E201" s="20"/>
      <c r="F201" s="32">
        <f>+IMESI!A189</f>
        <v>35582</v>
      </c>
      <c r="G201" s="24" t="str">
        <f>IF($E$8="seleccione rubro"," - ",HLOOKUP($E$8,IMESI!B1:Q336, 189,0))</f>
        <v xml:space="preserve"> - </v>
      </c>
      <c r="H201" s="26"/>
    </row>
    <row r="202" spans="5:8">
      <c r="E202" s="20"/>
      <c r="F202" s="32">
        <f>+IMESI!A190</f>
        <v>35612</v>
      </c>
      <c r="G202" s="24" t="str">
        <f>IF($E$8="seleccione rubro"," - ",HLOOKUP($E$8,IMESI!B1:Q336, 190,0))</f>
        <v xml:space="preserve"> - </v>
      </c>
      <c r="H202" s="26"/>
    </row>
    <row r="203" spans="5:8">
      <c r="E203" s="20"/>
      <c r="F203" s="32">
        <f>+IMESI!A191</f>
        <v>35643</v>
      </c>
      <c r="G203" s="24" t="str">
        <f>IF($E$8="seleccione rubro"," - ",HLOOKUP($E$8,IMESI!B1:Q336, 191,0))</f>
        <v xml:space="preserve"> - </v>
      </c>
      <c r="H203" s="26"/>
    </row>
    <row r="204" spans="5:8">
      <c r="E204" s="20"/>
      <c r="F204" s="32">
        <f>+IMESI!A192</f>
        <v>35674</v>
      </c>
      <c r="G204" s="24" t="str">
        <f>IF($E$8="seleccione rubro"," - ",HLOOKUP($E$8,IMESI!B1:Q336, 192,0))</f>
        <v xml:space="preserve"> - </v>
      </c>
      <c r="H204" s="26"/>
    </row>
    <row r="205" spans="5:8">
      <c r="E205" s="20"/>
      <c r="F205" s="32">
        <f>+IMESI!A193</f>
        <v>35704</v>
      </c>
      <c r="G205" s="24" t="str">
        <f>IF($E$8="seleccione rubro"," - ",HLOOKUP($E$8,IMESI!B1:Q336, 193,0))</f>
        <v xml:space="preserve"> - </v>
      </c>
      <c r="H205" s="26"/>
    </row>
    <row r="206" spans="5:8">
      <c r="E206" s="20"/>
      <c r="F206" s="32">
        <f>+IMESI!A194</f>
        <v>35735</v>
      </c>
      <c r="G206" s="24" t="str">
        <f>IF($E$8="seleccione rubro"," - ",HLOOKUP($E$8,IMESI!B1:Q336, 194,0))</f>
        <v xml:space="preserve"> - </v>
      </c>
      <c r="H206" s="26"/>
    </row>
    <row r="207" spans="5:8">
      <c r="E207" s="20"/>
      <c r="F207" s="32">
        <f>+IMESI!A195</f>
        <v>35765</v>
      </c>
      <c r="G207" s="24" t="str">
        <f>IF($E$8="seleccione rubro"," - ",HLOOKUP($E$8,IMESI!B1:Q336, 195,0))</f>
        <v xml:space="preserve"> - </v>
      </c>
      <c r="H207" s="26"/>
    </row>
    <row r="208" spans="5:8">
      <c r="E208" s="20"/>
      <c r="F208" s="32">
        <f>+IMESI!A196</f>
        <v>35796</v>
      </c>
      <c r="G208" s="24" t="str">
        <f>IF($E$8="seleccione rubro"," - ",HLOOKUP($E$8,IMESI!B1:Q336, 196,0))</f>
        <v xml:space="preserve"> - </v>
      </c>
      <c r="H208" s="26"/>
    </row>
    <row r="209" spans="5:8">
      <c r="E209" s="20"/>
      <c r="F209" s="32">
        <f>+IMESI!A197</f>
        <v>35827</v>
      </c>
      <c r="G209" s="24" t="str">
        <f>IF($E$8="seleccione rubro"," - ",HLOOKUP($E$8,IMESI!B1:Q336, 197,0))</f>
        <v xml:space="preserve"> - </v>
      </c>
      <c r="H209" s="26"/>
    </row>
    <row r="210" spans="5:8">
      <c r="E210" s="20"/>
      <c r="F210" s="32">
        <f>+IMESI!A198</f>
        <v>35855</v>
      </c>
      <c r="G210" s="24" t="str">
        <f>IF($E$8="seleccione rubro"," - ",HLOOKUP($E$8,IMESI!B1:Q336, 198,0))</f>
        <v xml:space="preserve"> - </v>
      </c>
      <c r="H210" s="26"/>
    </row>
    <row r="211" spans="5:8">
      <c r="E211" s="20"/>
      <c r="F211" s="32">
        <f>+IMESI!A199</f>
        <v>35886</v>
      </c>
      <c r="G211" s="24" t="str">
        <f>IF($E$8="seleccione rubro"," - ",HLOOKUP($E$8,IMESI!B1:Q336, 199,0))</f>
        <v xml:space="preserve"> - </v>
      </c>
      <c r="H211" s="26"/>
    </row>
    <row r="212" spans="5:8">
      <c r="E212" s="20"/>
      <c r="F212" s="32">
        <f>+IMESI!A200</f>
        <v>35916</v>
      </c>
      <c r="G212" s="24" t="str">
        <f>IF($E$8="seleccione rubro"," - ",HLOOKUP($E$8,IMESI!B1:Q336, 200,0))</f>
        <v xml:space="preserve"> - </v>
      </c>
      <c r="H212" s="26"/>
    </row>
    <row r="213" spans="5:8">
      <c r="E213" s="20"/>
      <c r="F213" s="32">
        <f>+IMESI!A201</f>
        <v>35947</v>
      </c>
      <c r="G213" s="24" t="str">
        <f>IF($E$8="seleccione rubro"," - ",HLOOKUP($E$8,IMESI!B1:Q336, 201,0))</f>
        <v xml:space="preserve"> - </v>
      </c>
      <c r="H213" s="26"/>
    </row>
    <row r="214" spans="5:8">
      <c r="E214" s="20"/>
      <c r="F214" s="32">
        <f>+IMESI!A202</f>
        <v>35977</v>
      </c>
      <c r="G214" s="24" t="str">
        <f>IF($E$8="seleccione rubro"," - ",HLOOKUP($E$8,IMESI!B1:Q336, 202,0))</f>
        <v xml:space="preserve"> - </v>
      </c>
      <c r="H214" s="26"/>
    </row>
    <row r="215" spans="5:8">
      <c r="E215" s="20"/>
      <c r="F215" s="32">
        <f>+IMESI!A203</f>
        <v>36008</v>
      </c>
      <c r="G215" s="24" t="str">
        <f>IF($E$8="seleccione rubro"," - ",HLOOKUP($E$8,IMESI!B1:Q336, 203,0))</f>
        <v xml:space="preserve"> - </v>
      </c>
      <c r="H215" s="26"/>
    </row>
    <row r="216" spans="5:8">
      <c r="E216" s="20"/>
      <c r="F216" s="32">
        <f>+IMESI!A204</f>
        <v>36039</v>
      </c>
      <c r="G216" s="24" t="str">
        <f>IF($E$8="seleccione rubro"," - ",HLOOKUP($E$8,IMESI!B1:Q336, 204,0))</f>
        <v xml:space="preserve"> - </v>
      </c>
      <c r="H216" s="26"/>
    </row>
    <row r="217" spans="5:8">
      <c r="E217" s="20"/>
      <c r="F217" s="32">
        <f>+IMESI!A205</f>
        <v>36069</v>
      </c>
      <c r="G217" s="24" t="str">
        <f>IF($E$8="seleccione rubro"," - ",HLOOKUP($E$8,IMESI!B1:Q336, 205,0))</f>
        <v xml:space="preserve"> - </v>
      </c>
      <c r="H217" s="26"/>
    </row>
    <row r="218" spans="5:8">
      <c r="E218" s="20"/>
      <c r="F218" s="32">
        <f>+IMESI!A206</f>
        <v>36100</v>
      </c>
      <c r="G218" s="24" t="str">
        <f>IF($E$8="seleccione rubro"," - ",HLOOKUP($E$8,IMESI!B1:Q336, 206,0))</f>
        <v xml:space="preserve"> - </v>
      </c>
      <c r="H218" s="26"/>
    </row>
    <row r="219" spans="5:8">
      <c r="E219" s="20"/>
      <c r="F219" s="32">
        <f>+IMESI!A207</f>
        <v>36130</v>
      </c>
      <c r="G219" s="24" t="str">
        <f>IF($E$8="seleccione rubro"," - ",HLOOKUP($E$8,IMESI!B1:Q336, 207,0))</f>
        <v xml:space="preserve"> - </v>
      </c>
      <c r="H219" s="26"/>
    </row>
    <row r="220" spans="5:8">
      <c r="E220" s="20"/>
      <c r="F220" s="32">
        <f>+IMESI!A208</f>
        <v>36161</v>
      </c>
      <c r="G220" s="24" t="str">
        <f>IF($E$8="seleccione rubro"," - ",HLOOKUP($E$8,IMESI!B1:Q336, 208,0))</f>
        <v xml:space="preserve"> - </v>
      </c>
      <c r="H220" s="26"/>
    </row>
    <row r="221" spans="5:8">
      <c r="E221" s="20"/>
      <c r="F221" s="32">
        <f>+IMESI!A209</f>
        <v>36192</v>
      </c>
      <c r="G221" s="24" t="str">
        <f>IF($E$8="seleccione rubro"," - ",HLOOKUP($E$8,IMESI!B1:Q336, 209,0))</f>
        <v xml:space="preserve"> - </v>
      </c>
      <c r="H221" s="26"/>
    </row>
    <row r="222" spans="5:8">
      <c r="E222" s="20"/>
      <c r="F222" s="32">
        <f>+IMESI!A210</f>
        <v>36220</v>
      </c>
      <c r="G222" s="24" t="str">
        <f>IF($E$8="seleccione rubro"," - ",HLOOKUP($E$8,IMESI!B1:Q336, 210,0))</f>
        <v xml:space="preserve"> - </v>
      </c>
      <c r="H222" s="26"/>
    </row>
    <row r="223" spans="5:8">
      <c r="E223" s="20"/>
      <c r="F223" s="32">
        <f>+IMESI!A211</f>
        <v>36251</v>
      </c>
      <c r="G223" s="24" t="str">
        <f>IF($E$8="seleccione rubro"," - ",HLOOKUP($E$8,IMESI!B1:Q336, 211,0))</f>
        <v xml:space="preserve"> - </v>
      </c>
      <c r="H223" s="26"/>
    </row>
    <row r="224" spans="5:8">
      <c r="E224" s="20"/>
      <c r="F224" s="32">
        <f>+IMESI!A212</f>
        <v>36281</v>
      </c>
      <c r="G224" s="24" t="str">
        <f>IF($E$8="seleccione rubro"," - ",HLOOKUP($E$8,IMESI!B1:Q336, 212,0))</f>
        <v xml:space="preserve"> - </v>
      </c>
      <c r="H224" s="26"/>
    </row>
    <row r="225" spans="5:8">
      <c r="E225" s="20"/>
      <c r="F225" s="32">
        <f>+IMESI!A213</f>
        <v>36312</v>
      </c>
      <c r="G225" s="24" t="str">
        <f>IF($E$8="seleccione rubro"," - ",HLOOKUP($E$8,IMESI!B1:Q336, 213,0))</f>
        <v xml:space="preserve"> - </v>
      </c>
      <c r="H225" s="26"/>
    </row>
    <row r="226" spans="5:8">
      <c r="E226" s="20"/>
      <c r="F226" s="32">
        <f>+IMESI!A214</f>
        <v>36342</v>
      </c>
      <c r="G226" s="24" t="str">
        <f>IF($E$8="seleccione rubro"," - ",HLOOKUP($E$8,IMESI!B1:Q336, 214,0))</f>
        <v xml:space="preserve"> - </v>
      </c>
      <c r="H226" s="26"/>
    </row>
    <row r="227" spans="5:8">
      <c r="E227" s="20"/>
      <c r="F227" s="32">
        <f>+IMESI!A215</f>
        <v>36373</v>
      </c>
      <c r="G227" s="24" t="str">
        <f>IF($E$8="seleccione rubro"," - ",HLOOKUP($E$8,IMESI!B1:Q336, 215,0))</f>
        <v xml:space="preserve"> - </v>
      </c>
      <c r="H227" s="26"/>
    </row>
    <row r="228" spans="5:8">
      <c r="E228" s="20"/>
      <c r="F228" s="32">
        <f>+IMESI!A216</f>
        <v>36404</v>
      </c>
      <c r="G228" s="24" t="str">
        <f>IF($E$8="seleccione rubro"," - ",HLOOKUP($E$8,IMESI!B1:Q336, 216,0))</f>
        <v xml:space="preserve"> - </v>
      </c>
      <c r="H228" s="26"/>
    </row>
    <row r="229" spans="5:8">
      <c r="E229" s="20"/>
      <c r="F229" s="32">
        <f>+IMESI!A217</f>
        <v>36434</v>
      </c>
      <c r="G229" s="24" t="str">
        <f>IF($E$8="seleccione rubro"," - ",HLOOKUP($E$8,IMESI!B1:Q336, 217,0))</f>
        <v xml:space="preserve"> - </v>
      </c>
      <c r="H229" s="26"/>
    </row>
    <row r="230" spans="5:8">
      <c r="E230" s="20"/>
      <c r="F230" s="32">
        <f>+IMESI!A218</f>
        <v>36465</v>
      </c>
      <c r="G230" s="24" t="str">
        <f>IF($E$8="seleccione rubro"," - ",HLOOKUP($E$8,IMESI!B1:Q336, 218,0))</f>
        <v xml:space="preserve"> - </v>
      </c>
      <c r="H230" s="26"/>
    </row>
    <row r="231" spans="5:8">
      <c r="E231" s="20"/>
      <c r="F231" s="32">
        <f>+IMESI!A219</f>
        <v>36495</v>
      </c>
      <c r="G231" s="24" t="str">
        <f>IF($E$8="seleccione rubro"," - ",HLOOKUP($E$8,IMESI!B1:Q336, 219,0))</f>
        <v xml:space="preserve"> - </v>
      </c>
      <c r="H231" s="26"/>
    </row>
    <row r="232" spans="5:8">
      <c r="E232" s="20"/>
      <c r="F232" s="32">
        <f>+IMESI!A220</f>
        <v>36526</v>
      </c>
      <c r="G232" s="24" t="str">
        <f>IF($E$8="seleccione rubro"," - ",HLOOKUP($E$8,IMESI!B1:Q336, 220,0))</f>
        <v xml:space="preserve"> - </v>
      </c>
      <c r="H232" s="26"/>
    </row>
    <row r="233" spans="5:8">
      <c r="E233" s="20"/>
      <c r="F233" s="32">
        <f>+IMESI!A221</f>
        <v>36557</v>
      </c>
      <c r="G233" s="24" t="str">
        <f>IF($E$8="seleccione rubro"," - ",HLOOKUP($E$8,IMESI!B1:Q336, 221,0))</f>
        <v xml:space="preserve"> - </v>
      </c>
      <c r="H233" s="26"/>
    </row>
    <row r="234" spans="5:8">
      <c r="E234" s="20"/>
      <c r="F234" s="32">
        <f>+IMESI!A222</f>
        <v>36586</v>
      </c>
      <c r="G234" s="24" t="str">
        <f>IF($E$8="seleccione rubro"," - ",HLOOKUP($E$8,IMESI!B1:Q336, 222,0))</f>
        <v xml:space="preserve"> - </v>
      </c>
      <c r="H234" s="26"/>
    </row>
    <row r="235" spans="5:8">
      <c r="E235" s="20"/>
      <c r="F235" s="32">
        <f>+IMESI!A223</f>
        <v>36617</v>
      </c>
      <c r="G235" s="24" t="str">
        <f>IF($E$8="seleccione rubro"," - ",HLOOKUP($E$8,IMESI!B1:Q336, 223,0))</f>
        <v xml:space="preserve"> - </v>
      </c>
      <c r="H235" s="26"/>
    </row>
    <row r="236" spans="5:8">
      <c r="E236" s="20"/>
      <c r="F236" s="32">
        <f>+IMESI!A224</f>
        <v>36647</v>
      </c>
      <c r="G236" s="24" t="str">
        <f>IF($E$8="seleccione rubro"," - ",HLOOKUP($E$8,IMESI!B1:Q336, 224,0))</f>
        <v xml:space="preserve"> - </v>
      </c>
      <c r="H236" s="26"/>
    </row>
    <row r="237" spans="5:8">
      <c r="E237" s="20"/>
      <c r="F237" s="32">
        <f>+IMESI!A225</f>
        <v>36678</v>
      </c>
      <c r="G237" s="24" t="str">
        <f>IF($E$8="seleccione rubro"," - ",HLOOKUP($E$8,IMESI!B1:Q336, 225,0))</f>
        <v xml:space="preserve"> - </v>
      </c>
      <c r="H237" s="26"/>
    </row>
    <row r="238" spans="5:8">
      <c r="E238" s="20"/>
      <c r="F238" s="32">
        <f>+IMESI!A226</f>
        <v>36708</v>
      </c>
      <c r="G238" s="24" t="str">
        <f>IF($E$8="seleccione rubro"," - ",HLOOKUP($E$8,IMESI!B1:Q336, 226,0))</f>
        <v xml:space="preserve"> - </v>
      </c>
      <c r="H238" s="26"/>
    </row>
    <row r="239" spans="5:8">
      <c r="E239" s="20"/>
      <c r="F239" s="32">
        <f>+IMESI!A227</f>
        <v>36739</v>
      </c>
      <c r="G239" s="24" t="str">
        <f>IF($E$8="seleccione rubro"," - ",HLOOKUP($E$8,IMESI!B1:Q336, 227,0))</f>
        <v xml:space="preserve"> - </v>
      </c>
      <c r="H239" s="26"/>
    </row>
    <row r="240" spans="5:8">
      <c r="E240" s="20"/>
      <c r="F240" s="32">
        <f>+IMESI!A228</f>
        <v>36770</v>
      </c>
      <c r="G240" s="24" t="str">
        <f>IF($E$8="seleccione rubro"," - ",HLOOKUP($E$8,IMESI!B1:Q336, 228,0))</f>
        <v xml:space="preserve"> - </v>
      </c>
      <c r="H240" s="26"/>
    </row>
    <row r="241" spans="5:8">
      <c r="E241" s="20"/>
      <c r="F241" s="32">
        <f>+IMESI!A229</f>
        <v>36800</v>
      </c>
      <c r="G241" s="24" t="str">
        <f>IF($E$8="seleccione rubro"," - ",HLOOKUP($E$8,IMESI!B1:Q336, 229,0))</f>
        <v xml:space="preserve"> - </v>
      </c>
      <c r="H241" s="26"/>
    </row>
    <row r="242" spans="5:8">
      <c r="E242" s="20"/>
      <c r="F242" s="32">
        <f>+IMESI!A230</f>
        <v>36831</v>
      </c>
      <c r="G242" s="24" t="str">
        <f>IF($E$8="seleccione rubro"," - ",HLOOKUP($E$8,IMESI!B1:Q336, 230,0))</f>
        <v xml:space="preserve"> - </v>
      </c>
      <c r="H242" s="26"/>
    </row>
    <row r="243" spans="5:8">
      <c r="E243" s="20"/>
      <c r="F243" s="32">
        <f>+IMESI!A231</f>
        <v>36861</v>
      </c>
      <c r="G243" s="24" t="str">
        <f>IF($E$8="seleccione rubro"," - ",HLOOKUP($E$8,IMESI!B1:Q336, 231,0))</f>
        <v xml:space="preserve"> - </v>
      </c>
      <c r="H243" s="26"/>
    </row>
    <row r="244" spans="5:8">
      <c r="E244" s="20"/>
      <c r="F244" s="32">
        <f>+IMESI!A232</f>
        <v>36892</v>
      </c>
      <c r="G244" s="24" t="str">
        <f>IF($E$8="seleccione rubro"," - ",HLOOKUP($E$8,IMESI!B1:Q336, 232,0))</f>
        <v xml:space="preserve"> - </v>
      </c>
      <c r="H244" s="26"/>
    </row>
    <row r="245" spans="5:8">
      <c r="E245" s="20"/>
      <c r="F245" s="32">
        <f>+IMESI!A233</f>
        <v>36923</v>
      </c>
      <c r="G245" s="24" t="str">
        <f>IF($E$8="seleccione rubro"," - ",HLOOKUP($E$8,IMESI!B1:Q336, 233,0))</f>
        <v xml:space="preserve"> - </v>
      </c>
      <c r="H245" s="26"/>
    </row>
    <row r="246" spans="5:8">
      <c r="E246" s="20"/>
      <c r="F246" s="32">
        <f>+IMESI!A234</f>
        <v>36951</v>
      </c>
      <c r="G246" s="24" t="str">
        <f>IF($E$8="seleccione rubro"," - ",HLOOKUP($E$8,IMESI!B1:Q336, 234,0))</f>
        <v xml:space="preserve"> - </v>
      </c>
      <c r="H246" s="26"/>
    </row>
    <row r="247" spans="5:8">
      <c r="E247" s="20"/>
      <c r="F247" s="32">
        <f>+IMESI!A235</f>
        <v>36982</v>
      </c>
      <c r="G247" s="24" t="str">
        <f>IF($E$8="seleccione rubro"," - ",HLOOKUP($E$8,IMESI!B1:Q336, 235,0))</f>
        <v xml:space="preserve"> - </v>
      </c>
      <c r="H247" s="26"/>
    </row>
    <row r="248" spans="5:8">
      <c r="E248" s="20"/>
      <c r="F248" s="32">
        <f>+IMESI!A236</f>
        <v>37012</v>
      </c>
      <c r="G248" s="24" t="str">
        <f>IF($E$8="seleccione rubro"," - ",HLOOKUP($E$8,IMESI!B1:Q336, 236,0))</f>
        <v xml:space="preserve"> - </v>
      </c>
      <c r="H248" s="26"/>
    </row>
    <row r="249" spans="5:8">
      <c r="E249" s="20"/>
      <c r="F249" s="32">
        <f>+IMESI!A237</f>
        <v>37043</v>
      </c>
      <c r="G249" s="24" t="str">
        <f>IF($E$8="seleccione rubro"," - ",HLOOKUP($E$8,IMESI!B1:Q336, 237,0))</f>
        <v xml:space="preserve"> - </v>
      </c>
      <c r="H249" s="26"/>
    </row>
    <row r="250" spans="5:8">
      <c r="E250" s="20"/>
      <c r="F250" s="32">
        <f>+IMESI!A238</f>
        <v>37073</v>
      </c>
      <c r="G250" s="24" t="str">
        <f>IF($E$8="seleccione rubro"," - ",HLOOKUP($E$8,IMESI!B1:Q336, 238,0))</f>
        <v xml:space="preserve"> - </v>
      </c>
      <c r="H250" s="26"/>
    </row>
    <row r="251" spans="5:8">
      <c r="E251" s="20"/>
      <c r="F251" s="32">
        <f>+IMESI!A239</f>
        <v>37104</v>
      </c>
      <c r="G251" s="24" t="str">
        <f>IF($E$8="seleccione rubro"," - ",HLOOKUP($E$8,IMESI!B1:Q336, 239,0))</f>
        <v xml:space="preserve"> - </v>
      </c>
      <c r="H251" s="26"/>
    </row>
    <row r="252" spans="5:8">
      <c r="E252" s="20"/>
      <c r="F252" s="32">
        <f>+IMESI!A240</f>
        <v>37135</v>
      </c>
      <c r="G252" s="24" t="str">
        <f>IF($E$8="seleccione rubro"," - ",HLOOKUP($E$8,IMESI!B1:Q336, 240,0))</f>
        <v xml:space="preserve"> - </v>
      </c>
      <c r="H252" s="26"/>
    </row>
    <row r="253" spans="5:8">
      <c r="E253" s="20"/>
      <c r="F253" s="32">
        <f>+IMESI!A241</f>
        <v>37165</v>
      </c>
      <c r="G253" s="24" t="str">
        <f>IF($E$8="seleccione rubro"," - ",HLOOKUP($E$8,IMESI!B1:Q336, 241,0))</f>
        <v xml:space="preserve"> - </v>
      </c>
      <c r="H253" s="26"/>
    </row>
    <row r="254" spans="5:8">
      <c r="E254" s="20"/>
      <c r="F254" s="32">
        <f>+IMESI!A242</f>
        <v>37196</v>
      </c>
      <c r="G254" s="24" t="str">
        <f>IF($E$8="seleccione rubro"," - ",HLOOKUP($E$8,IMESI!B1:Q336, 242,0))</f>
        <v xml:space="preserve"> - </v>
      </c>
      <c r="H254" s="26"/>
    </row>
    <row r="255" spans="5:8">
      <c r="E255" s="20"/>
      <c r="F255" s="32">
        <f>+IMESI!A243</f>
        <v>37226</v>
      </c>
      <c r="G255" s="24" t="str">
        <f>IF($E$8="seleccione rubro"," - ",HLOOKUP($E$8,IMESI!B1:Q336, 243,0))</f>
        <v xml:space="preserve"> - </v>
      </c>
      <c r="H255" s="26"/>
    </row>
    <row r="256" spans="5:8">
      <c r="E256" s="20"/>
      <c r="F256" s="32">
        <f>+IMESI!A244</f>
        <v>37257</v>
      </c>
      <c r="G256" s="24" t="str">
        <f>IF($E$8="seleccione rubro"," - ",HLOOKUP($E$8,IMESI!B1:Q336, 244,0))</f>
        <v xml:space="preserve"> - </v>
      </c>
      <c r="H256" s="26"/>
    </row>
    <row r="257" spans="5:8">
      <c r="E257" s="20"/>
      <c r="F257" s="32">
        <f>+IMESI!A245</f>
        <v>37288</v>
      </c>
      <c r="G257" s="24" t="str">
        <f>IF($E$8="seleccione rubro"," - ",HLOOKUP($E$8,IMESI!B1:Q336, 245,0))</f>
        <v xml:space="preserve"> - </v>
      </c>
      <c r="H257" s="26"/>
    </row>
    <row r="258" spans="5:8">
      <c r="E258" s="20"/>
      <c r="F258" s="32">
        <f>+IMESI!A246</f>
        <v>37316</v>
      </c>
      <c r="G258" s="24" t="str">
        <f>IF($E$8="seleccione rubro"," - ",HLOOKUP($E$8,IMESI!B1:Q336, 246,0))</f>
        <v xml:space="preserve"> - </v>
      </c>
      <c r="H258" s="26"/>
    </row>
    <row r="259" spans="5:8">
      <c r="E259" s="20"/>
      <c r="F259" s="32">
        <f>+IMESI!A247</f>
        <v>37347</v>
      </c>
      <c r="G259" s="24" t="str">
        <f>IF($E$8="seleccione rubro"," - ",HLOOKUP($E$8,IMESI!B1:Q336, 247,0))</f>
        <v xml:space="preserve"> - </v>
      </c>
      <c r="H259" s="26"/>
    </row>
    <row r="260" spans="5:8">
      <c r="E260" s="20"/>
      <c r="F260" s="32">
        <f>+IMESI!A248</f>
        <v>37377</v>
      </c>
      <c r="G260" s="24" t="str">
        <f>IF($E$8="seleccione rubro"," - ",HLOOKUP($E$8,IMESI!B1:Q336, 248,0))</f>
        <v xml:space="preserve"> - </v>
      </c>
      <c r="H260" s="26"/>
    </row>
    <row r="261" spans="5:8">
      <c r="E261" s="20"/>
      <c r="F261" s="32">
        <f>+IMESI!A249</f>
        <v>37408</v>
      </c>
      <c r="G261" s="24" t="str">
        <f>IF($E$8="seleccione rubro"," - ",HLOOKUP($E$8,IMESI!B1:Q336, 249,0))</f>
        <v xml:space="preserve"> - </v>
      </c>
      <c r="H261" s="26"/>
    </row>
    <row r="262" spans="5:8">
      <c r="E262" s="20"/>
      <c r="F262" s="32">
        <f>+IMESI!A250</f>
        <v>37438</v>
      </c>
      <c r="G262" s="24" t="str">
        <f>IF($E$8="seleccione rubro"," - ",HLOOKUP($E$8,IMESI!B1:Q336, 250,0))</f>
        <v xml:space="preserve"> - </v>
      </c>
      <c r="H262" s="26"/>
    </row>
    <row r="263" spans="5:8">
      <c r="E263" s="20"/>
      <c r="F263" s="32">
        <f>+IMESI!A251</f>
        <v>37469</v>
      </c>
      <c r="G263" s="24" t="str">
        <f>IF($E$8="seleccione rubro"," - ",HLOOKUP($E$8,IMESI!B1:Q336, 251,0))</f>
        <v xml:space="preserve"> - </v>
      </c>
      <c r="H263" s="26"/>
    </row>
    <row r="264" spans="5:8">
      <c r="E264" s="20"/>
      <c r="F264" s="32">
        <f>+IMESI!A252</f>
        <v>37500</v>
      </c>
      <c r="G264" s="24" t="str">
        <f>IF($E$8="seleccione rubro"," - ",HLOOKUP($E$8,IMESI!B1:Q336, 252,0))</f>
        <v xml:space="preserve"> - </v>
      </c>
      <c r="H264" s="26"/>
    </row>
    <row r="265" spans="5:8">
      <c r="E265" s="20"/>
      <c r="F265" s="32">
        <f>+IMESI!A253</f>
        <v>37530</v>
      </c>
      <c r="G265" s="24" t="str">
        <f>IF($E$8="seleccione rubro"," - ",HLOOKUP($E$8,IMESI!B1:Q336, 253,0))</f>
        <v xml:space="preserve"> - </v>
      </c>
      <c r="H265" s="26"/>
    </row>
    <row r="266" spans="5:8">
      <c r="E266" s="20"/>
      <c r="F266" s="32">
        <f>+IMESI!A254</f>
        <v>37561</v>
      </c>
      <c r="G266" s="24" t="str">
        <f>IF($E$8="seleccione rubro"," - ",HLOOKUP($E$8,IMESI!B1:Q336, 254,0))</f>
        <v xml:space="preserve"> - </v>
      </c>
      <c r="H266" s="26"/>
    </row>
    <row r="267" spans="5:8">
      <c r="E267" s="20"/>
      <c r="F267" s="32">
        <f>+IMESI!A255</f>
        <v>37591</v>
      </c>
      <c r="G267" s="24" t="str">
        <f>IF($E$8="seleccione rubro"," - ",HLOOKUP($E$8,IMESI!B1:Q336, 255,0))</f>
        <v xml:space="preserve"> - </v>
      </c>
      <c r="H267" s="26"/>
    </row>
    <row r="268" spans="5:8">
      <c r="E268" s="20"/>
      <c r="F268" s="32">
        <f>+IMESI!A256</f>
        <v>37622</v>
      </c>
      <c r="G268" s="24" t="str">
        <f>IF($E$8="seleccione rubro"," - ",HLOOKUP($E$8,IMESI!B1:Q336, 256,0))</f>
        <v xml:space="preserve"> - </v>
      </c>
      <c r="H268" s="26"/>
    </row>
    <row r="269" spans="5:8">
      <c r="E269" s="20"/>
      <c r="F269" s="32">
        <f>+IMESI!A257</f>
        <v>37653</v>
      </c>
      <c r="G269" s="24" t="str">
        <f>IF($E$8="seleccione rubro"," - ",HLOOKUP($E$8,IMESI!B1:Q336, 257,0))</f>
        <v xml:space="preserve"> - </v>
      </c>
      <c r="H269" s="26"/>
    </row>
    <row r="270" spans="5:8">
      <c r="E270" s="20"/>
      <c r="F270" s="32">
        <f>+IMESI!A258</f>
        <v>37681</v>
      </c>
      <c r="G270" s="24" t="str">
        <f>IF($E$8="seleccione rubro"," - ",HLOOKUP($E$8,IMESI!B1:Q336, 258,0))</f>
        <v xml:space="preserve"> - </v>
      </c>
      <c r="H270" s="26"/>
    </row>
    <row r="271" spans="5:8">
      <c r="E271" s="20"/>
      <c r="F271" s="32">
        <f>+IMESI!A259</f>
        <v>37712</v>
      </c>
      <c r="G271" s="24" t="str">
        <f>IF($E$8="seleccione rubro"," - ",HLOOKUP($E$8,IMESI!B1:Q336, 259,0))</f>
        <v xml:space="preserve"> - </v>
      </c>
      <c r="H271" s="26"/>
    </row>
    <row r="272" spans="5:8">
      <c r="E272" s="20"/>
      <c r="F272" s="32">
        <f>+IMESI!A260</f>
        <v>37742</v>
      </c>
      <c r="G272" s="24" t="str">
        <f>IF($E$8="seleccione rubro"," - ",HLOOKUP($E$8,IMESI!B1:Q336, 260,0))</f>
        <v xml:space="preserve"> - </v>
      </c>
      <c r="H272" s="26"/>
    </row>
    <row r="273" spans="5:8">
      <c r="E273" s="20"/>
      <c r="F273" s="32">
        <f>+IMESI!A261</f>
        <v>37773</v>
      </c>
      <c r="G273" s="24" t="str">
        <f>IF($E$8="seleccione rubro"," - ",HLOOKUP($E$8,IMESI!B1:Q336, 261,0))</f>
        <v xml:space="preserve"> - </v>
      </c>
      <c r="H273" s="26"/>
    </row>
    <row r="274" spans="5:8">
      <c r="E274" s="20"/>
      <c r="F274" s="32">
        <f>+IMESI!A262</f>
        <v>37803</v>
      </c>
      <c r="G274" s="24" t="str">
        <f>IF($E$8="seleccione rubro"," - ",HLOOKUP($E$8,IMESI!B1:Q336, 262,0))</f>
        <v xml:space="preserve"> - </v>
      </c>
      <c r="H274" s="26"/>
    </row>
    <row r="275" spans="5:8">
      <c r="E275" s="20"/>
      <c r="F275" s="32">
        <f>+IMESI!A263</f>
        <v>37834</v>
      </c>
      <c r="G275" s="24" t="str">
        <f>IF($E$8="seleccione rubro"," - ",HLOOKUP($E$8,IMESI!B1:Q336, 263,0))</f>
        <v xml:space="preserve"> - </v>
      </c>
      <c r="H275" s="26"/>
    </row>
    <row r="276" spans="5:8">
      <c r="E276" s="20"/>
      <c r="F276" s="32">
        <f>+IMESI!A264</f>
        <v>37865</v>
      </c>
      <c r="G276" s="24" t="str">
        <f>IF($E$8="seleccione rubro"," - ",HLOOKUP($E$8,IMESI!B1:Q336, 264,0))</f>
        <v xml:space="preserve"> - </v>
      </c>
      <c r="H276" s="26"/>
    </row>
    <row r="277" spans="5:8">
      <c r="E277" s="20"/>
      <c r="F277" s="32">
        <f>+IMESI!A265</f>
        <v>37895</v>
      </c>
      <c r="G277" s="24" t="str">
        <f>IF($E$8="seleccione rubro"," - ",HLOOKUP($E$8,IMESI!B1:Q336, 265,0))</f>
        <v xml:space="preserve"> - </v>
      </c>
      <c r="H277" s="26"/>
    </row>
    <row r="278" spans="5:8">
      <c r="E278" s="20"/>
      <c r="F278" s="32">
        <f>+IMESI!A266</f>
        <v>37926</v>
      </c>
      <c r="G278" s="24" t="str">
        <f>IF($E$8="seleccione rubro"," - ",HLOOKUP($E$8,IMESI!B1:Q336, 266,0))</f>
        <v xml:space="preserve"> - </v>
      </c>
      <c r="H278" s="26"/>
    </row>
    <row r="279" spans="5:8">
      <c r="E279" s="20"/>
      <c r="F279" s="32">
        <f>+IMESI!A267</f>
        <v>37956</v>
      </c>
      <c r="G279" s="24" t="str">
        <f>IF($E$8="seleccione rubro"," - ",HLOOKUP($E$8,IMESI!B1:Q336, 267,0))</f>
        <v xml:space="preserve"> - </v>
      </c>
      <c r="H279" s="26"/>
    </row>
    <row r="280" spans="5:8">
      <c r="E280" s="20"/>
      <c r="F280" s="32">
        <f>+IMESI!A268</f>
        <v>37987</v>
      </c>
      <c r="G280" s="24" t="str">
        <f>IF($E$8="seleccione rubro"," - ",HLOOKUP($E$8,IMESI!B1:Q336, 268,0))</f>
        <v xml:space="preserve"> - </v>
      </c>
      <c r="H280" s="26"/>
    </row>
    <row r="281" spans="5:8">
      <c r="E281" s="20"/>
      <c r="F281" s="32">
        <f>+IMESI!A269</f>
        <v>38018</v>
      </c>
      <c r="G281" s="24" t="str">
        <f>IF($E$8="seleccione rubro"," - ",HLOOKUP($E$8,IMESI!B1:Q336, 269,0))</f>
        <v xml:space="preserve"> - </v>
      </c>
      <c r="H281" s="26"/>
    </row>
    <row r="282" spans="5:8">
      <c r="E282" s="20"/>
      <c r="F282" s="32">
        <f>+IMESI!A270</f>
        <v>38047</v>
      </c>
      <c r="G282" s="24" t="str">
        <f>IF($E$8="seleccione rubro"," - ",HLOOKUP($E$8,IMESI!B1:Q336, 270,0))</f>
        <v xml:space="preserve"> - </v>
      </c>
      <c r="H282" s="26"/>
    </row>
    <row r="283" spans="5:8">
      <c r="E283" s="20"/>
      <c r="F283" s="32">
        <f>+IMESI!A271</f>
        <v>38078</v>
      </c>
      <c r="G283" s="24" t="str">
        <f>IF($E$8="seleccione rubro"," - ",HLOOKUP($E$8,IMESI!B1:Q336, 271,0))</f>
        <v xml:space="preserve"> - </v>
      </c>
      <c r="H283" s="26"/>
    </row>
    <row r="284" spans="5:8">
      <c r="E284" s="20"/>
      <c r="F284" s="32">
        <f>+IMESI!A272</f>
        <v>38108</v>
      </c>
      <c r="G284" s="24" t="str">
        <f>IF($E$8="seleccione rubro"," - ",HLOOKUP($E$8,IMESI!B1:Q336, 272,0))</f>
        <v xml:space="preserve"> - </v>
      </c>
      <c r="H284" s="26"/>
    </row>
    <row r="285" spans="5:8">
      <c r="E285" s="20"/>
      <c r="F285" s="32">
        <f>+IMESI!A273</f>
        <v>38139</v>
      </c>
      <c r="G285" s="24" t="str">
        <f>IF($E$8="seleccione rubro"," - ",HLOOKUP($E$8,IMESI!B1:Q336, 273,0))</f>
        <v xml:space="preserve"> - </v>
      </c>
      <c r="H285" s="26"/>
    </row>
    <row r="286" spans="5:8">
      <c r="E286" s="20"/>
      <c r="F286" s="32">
        <f>+IMESI!A274</f>
        <v>38169</v>
      </c>
      <c r="G286" s="24" t="str">
        <f>IF($E$8="seleccione rubro"," - ",HLOOKUP($E$8,IMESI!B1:Q336, 274,0))</f>
        <v xml:space="preserve"> - </v>
      </c>
      <c r="H286" s="26"/>
    </row>
    <row r="287" spans="5:8">
      <c r="E287" s="20"/>
      <c r="F287" s="32">
        <f>+IMESI!A275</f>
        <v>38200</v>
      </c>
      <c r="G287" s="24" t="str">
        <f>IF($E$8="seleccione rubro"," - ",HLOOKUP($E$8,IMESI!B1:Q336, 275,0))</f>
        <v xml:space="preserve"> - </v>
      </c>
      <c r="H287" s="26"/>
    </row>
    <row r="288" spans="5:8">
      <c r="E288" s="20"/>
      <c r="F288" s="32">
        <f>+IMESI!A276</f>
        <v>38231</v>
      </c>
      <c r="G288" s="24" t="str">
        <f>IF($E$8="seleccione rubro"," - ",HLOOKUP($E$8,IMESI!B1:Q336, 276,0))</f>
        <v xml:space="preserve"> - </v>
      </c>
      <c r="H288" s="26"/>
    </row>
    <row r="289" spans="5:8">
      <c r="E289" s="20"/>
      <c r="F289" s="32">
        <f>+IMESI!A277</f>
        <v>38261</v>
      </c>
      <c r="G289" s="24" t="str">
        <f>IF($E$8="seleccione rubro"," - ",HLOOKUP($E$8,IMESI!B1:Q336, 277,0))</f>
        <v xml:space="preserve"> - </v>
      </c>
      <c r="H289" s="26"/>
    </row>
    <row r="290" spans="5:8">
      <c r="E290" s="20"/>
      <c r="F290" s="32">
        <f>+IMESI!A278</f>
        <v>38292</v>
      </c>
      <c r="G290" s="24" t="str">
        <f>IF($E$8="seleccione rubro"," - ",HLOOKUP($E$8,IMESI!B1:Q336, 278,0))</f>
        <v xml:space="preserve"> - </v>
      </c>
      <c r="H290" s="26"/>
    </row>
    <row r="291" spans="5:8">
      <c r="E291" s="20"/>
      <c r="F291" s="32">
        <f>+IMESI!A279</f>
        <v>38322</v>
      </c>
      <c r="G291" s="24" t="str">
        <f>IF($E$8="seleccione rubro"," - ",HLOOKUP($E$8,IMESI!B1:Q336, 279,0))</f>
        <v xml:space="preserve"> - </v>
      </c>
      <c r="H291" s="26"/>
    </row>
    <row r="292" spans="5:8">
      <c r="E292" s="20"/>
      <c r="F292" s="32">
        <f>+IMESI!A280</f>
        <v>38353</v>
      </c>
      <c r="G292" s="24" t="str">
        <f>IF($E$8="seleccione rubro"," - ",HLOOKUP($E$8,IMESI!B1:Q336, 280,0))</f>
        <v xml:space="preserve"> - </v>
      </c>
      <c r="H292" s="26"/>
    </row>
    <row r="293" spans="5:8">
      <c r="E293" s="20"/>
      <c r="F293" s="32">
        <f>+IMESI!A281</f>
        <v>38384</v>
      </c>
      <c r="G293" s="24" t="str">
        <f>IF($E$8="seleccione rubro"," - ",HLOOKUP($E$8,IMESI!B1:Q336, 281,0))</f>
        <v xml:space="preserve"> - </v>
      </c>
      <c r="H293" s="26"/>
    </row>
    <row r="294" spans="5:8">
      <c r="E294" s="20"/>
      <c r="F294" s="32">
        <f>+IMESI!A282</f>
        <v>38412</v>
      </c>
      <c r="G294" s="24" t="str">
        <f>IF($E$8="seleccione rubro"," - ",HLOOKUP($E$8,IMESI!B1:Q336, 282,0))</f>
        <v xml:space="preserve"> - </v>
      </c>
      <c r="H294" s="26"/>
    </row>
    <row r="295" spans="5:8">
      <c r="E295" s="20"/>
      <c r="F295" s="32">
        <f>+IMESI!A283</f>
        <v>38443</v>
      </c>
      <c r="G295" s="24" t="str">
        <f>IF($E$8="seleccione rubro"," - ",HLOOKUP($E$8,IMESI!B1:Q336, 283,0))</f>
        <v xml:space="preserve"> - </v>
      </c>
      <c r="H295" s="26"/>
    </row>
    <row r="296" spans="5:8">
      <c r="E296" s="20"/>
      <c r="F296" s="32">
        <f>+IMESI!A284</f>
        <v>38473</v>
      </c>
      <c r="G296" s="24" t="str">
        <f>IF($E$8="seleccione rubro"," - ",HLOOKUP($E$8,IMESI!B1:Q336, 284,0))</f>
        <v xml:space="preserve"> - </v>
      </c>
      <c r="H296" s="26"/>
    </row>
    <row r="297" spans="5:8">
      <c r="E297" s="20"/>
      <c r="F297" s="32">
        <f>+IMESI!A285</f>
        <v>38504</v>
      </c>
      <c r="G297" s="24" t="str">
        <f>IF($E$8="seleccione rubro"," - ",HLOOKUP($E$8,IMESI!B1:Q336, 285,0))</f>
        <v xml:space="preserve"> - </v>
      </c>
      <c r="H297" s="26"/>
    </row>
    <row r="298" spans="5:8">
      <c r="E298" s="20"/>
      <c r="F298" s="32">
        <f>+IMESI!A286</f>
        <v>38534</v>
      </c>
      <c r="G298" s="24" t="str">
        <f>IF($E$8="seleccione rubro"," - ",HLOOKUP($E$8,IMESI!B1:Q336, 286,0))</f>
        <v xml:space="preserve"> - </v>
      </c>
      <c r="H298" s="26"/>
    </row>
    <row r="299" spans="5:8">
      <c r="E299" s="20"/>
      <c r="F299" s="32">
        <f>+IMESI!A287</f>
        <v>38565</v>
      </c>
      <c r="G299" s="24" t="str">
        <f>IF($E$8="seleccione rubro"," - ",HLOOKUP($E$8,IMESI!B1:Q336, 287,0))</f>
        <v xml:space="preserve"> - </v>
      </c>
      <c r="H299" s="26"/>
    </row>
    <row r="300" spans="5:8">
      <c r="E300" s="20"/>
      <c r="F300" s="32">
        <f>+IMESI!A288</f>
        <v>38596</v>
      </c>
      <c r="G300" s="24" t="str">
        <f>IF($E$8="seleccione rubro"," - ",HLOOKUP($E$8,IMESI!B1:Q336, 288,0))</f>
        <v xml:space="preserve"> - </v>
      </c>
      <c r="H300" s="26"/>
    </row>
    <row r="301" spans="5:8">
      <c r="E301" s="20"/>
      <c r="F301" s="32">
        <f>+IMESI!A289</f>
        <v>38626</v>
      </c>
      <c r="G301" s="24" t="str">
        <f>IF($E$8="seleccione rubro"," - ",HLOOKUP($E$8,IMESI!B1:Q336, 289,0))</f>
        <v xml:space="preserve"> - </v>
      </c>
      <c r="H301" s="26"/>
    </row>
    <row r="302" spans="5:8">
      <c r="E302" s="20"/>
      <c r="F302" s="32">
        <f>+IMESI!A290</f>
        <v>38657</v>
      </c>
      <c r="G302" s="24" t="str">
        <f>IF($E$8="seleccione rubro"," - ",HLOOKUP($E$8,IMESI!B1:Q336, 290,0))</f>
        <v xml:space="preserve"> - </v>
      </c>
      <c r="H302" s="26"/>
    </row>
    <row r="303" spans="5:8">
      <c r="E303" s="20"/>
      <c r="F303" s="32">
        <f>+IMESI!A291</f>
        <v>38687</v>
      </c>
      <c r="G303" s="24" t="str">
        <f>IF($E$8="seleccione rubro"," - ",HLOOKUP($E$8,IMESI!B1:Q336, 291,0))</f>
        <v xml:space="preserve"> - </v>
      </c>
      <c r="H303" s="26"/>
    </row>
    <row r="304" spans="5:8">
      <c r="E304" s="20"/>
      <c r="F304" s="32">
        <f>+IMESI!A292</f>
        <v>38718</v>
      </c>
      <c r="G304" s="24" t="str">
        <f>IF($E$8="seleccione rubro"," - ",HLOOKUP($E$8,IMESI!B1:Q336, 292,0))</f>
        <v xml:space="preserve"> - </v>
      </c>
      <c r="H304" s="26"/>
    </row>
    <row r="305" spans="5:8">
      <c r="E305" s="20"/>
      <c r="F305" s="32">
        <f>+IMESI!A293</f>
        <v>38749</v>
      </c>
      <c r="G305" s="24" t="str">
        <f>IF($E$8="seleccione rubro"," - ",HLOOKUP($E$8,IMESI!B1:Q336, 293,0))</f>
        <v xml:space="preserve"> - </v>
      </c>
      <c r="H305" s="26"/>
    </row>
    <row r="306" spans="5:8">
      <c r="E306" s="20"/>
      <c r="F306" s="32">
        <f>+IMESI!A294</f>
        <v>38777</v>
      </c>
      <c r="G306" s="24" t="str">
        <f>IF($E$8="seleccione rubro"," - ",HLOOKUP($E$8,IMESI!B1:Q336, 294,0))</f>
        <v xml:space="preserve"> - </v>
      </c>
      <c r="H306" s="26"/>
    </row>
    <row r="307" spans="5:8">
      <c r="E307" s="20"/>
      <c r="F307" s="32">
        <f>+IMESI!A295</f>
        <v>38808</v>
      </c>
      <c r="G307" s="24" t="str">
        <f>IF($E$8="seleccione rubro"," - ",HLOOKUP($E$8,IMESI!B1:Q336, 295,0))</f>
        <v xml:space="preserve"> - </v>
      </c>
      <c r="H307" s="26"/>
    </row>
    <row r="308" spans="5:8">
      <c r="E308" s="20"/>
      <c r="F308" s="32">
        <f>+IMESI!A296</f>
        <v>38838</v>
      </c>
      <c r="G308" s="24" t="str">
        <f>IF($E$8="seleccione rubro"," - ",HLOOKUP($E$8,IMESI!B1:Q336, 296,0))</f>
        <v xml:space="preserve"> - </v>
      </c>
      <c r="H308" s="26"/>
    </row>
    <row r="309" spans="5:8">
      <c r="E309" s="20"/>
      <c r="F309" s="32">
        <f>+IMESI!A297</f>
        <v>38869</v>
      </c>
      <c r="G309" s="24" t="str">
        <f>IF($E$8="seleccione rubro"," - ",HLOOKUP($E$8,IMESI!B1:Q336, 297,0))</f>
        <v xml:space="preserve"> - </v>
      </c>
      <c r="H309" s="26"/>
    </row>
    <row r="310" spans="5:8">
      <c r="E310" s="20"/>
      <c r="F310" s="32">
        <f>+IMESI!A298</f>
        <v>38899</v>
      </c>
      <c r="G310" s="24" t="str">
        <f>IF($E$8="seleccione rubro"," - ",HLOOKUP($E$8,IMESI!B1:Q336, 298,0))</f>
        <v xml:space="preserve"> - </v>
      </c>
      <c r="H310" s="26"/>
    </row>
    <row r="311" spans="5:8">
      <c r="E311" s="20"/>
      <c r="F311" s="32">
        <f>+IMESI!A299</f>
        <v>38930</v>
      </c>
      <c r="G311" s="24" t="str">
        <f>IF($E$8="seleccione rubro"," - ",HLOOKUP($E$8,IMESI!B1:Q336, 299,0))</f>
        <v xml:space="preserve"> - </v>
      </c>
      <c r="H311" s="26"/>
    </row>
    <row r="312" spans="5:8">
      <c r="E312" s="20"/>
      <c r="F312" s="32">
        <f>+IMESI!A300</f>
        <v>38961</v>
      </c>
      <c r="G312" s="24" t="str">
        <f>IF($E$8="seleccione rubro"," - ",HLOOKUP($E$8,IMESI!B1:Q336, 300,0))</f>
        <v xml:space="preserve"> - </v>
      </c>
      <c r="H312" s="26"/>
    </row>
    <row r="313" spans="5:8">
      <c r="E313" s="20"/>
      <c r="F313" s="32">
        <f>+IMESI!A301</f>
        <v>38991</v>
      </c>
      <c r="G313" s="24" t="str">
        <f>IF($E$8="seleccione rubro"," - ",HLOOKUP($E$8,IMESI!B1:Q336, 301,0))</f>
        <v xml:space="preserve"> - </v>
      </c>
      <c r="H313" s="26"/>
    </row>
    <row r="314" spans="5:8">
      <c r="E314" s="20"/>
      <c r="F314" s="32">
        <f>+IMESI!A302</f>
        <v>39022</v>
      </c>
      <c r="G314" s="24" t="str">
        <f>IF($E$8="seleccione rubro"," - ",HLOOKUP($E$8,IMESI!B1:Q336, 302,0))</f>
        <v xml:space="preserve"> - </v>
      </c>
      <c r="H314" s="26"/>
    </row>
    <row r="315" spans="5:8">
      <c r="E315" s="20"/>
      <c r="F315" s="32">
        <f>+IMESI!A303</f>
        <v>39052</v>
      </c>
      <c r="G315" s="24" t="str">
        <f>IF($E$8="seleccione rubro"," - ",HLOOKUP($E$8,IMESI!B1:Q336, 303,0))</f>
        <v xml:space="preserve"> - </v>
      </c>
      <c r="H315" s="26"/>
    </row>
    <row r="316" spans="5:8">
      <c r="E316" s="20"/>
      <c r="F316" s="32">
        <f>+IMESI!A304</f>
        <v>39083</v>
      </c>
      <c r="G316" s="24" t="str">
        <f>IF($E$8="seleccione rubro"," - ",HLOOKUP($E$8,IMESI!B1:Q336, 304,0))</f>
        <v xml:space="preserve"> - </v>
      </c>
      <c r="H316" s="26"/>
    </row>
    <row r="317" spans="5:8">
      <c r="E317" s="20"/>
      <c r="F317" s="32">
        <f>+IMESI!A305</f>
        <v>39114</v>
      </c>
      <c r="G317" s="24" t="str">
        <f>IF($E$8="seleccione rubro"," - ",HLOOKUP($E$8,IMESI!B1:Q336, 305,0))</f>
        <v xml:space="preserve"> - </v>
      </c>
      <c r="H317" s="26"/>
    </row>
    <row r="318" spans="5:8">
      <c r="E318" s="20"/>
      <c r="F318" s="32">
        <f>+IMESI!A306</f>
        <v>39142</v>
      </c>
      <c r="G318" s="24" t="str">
        <f>IF($E$8="seleccione rubro"," - ",HLOOKUP($E$8,IMESI!B1:Q336, 306,0))</f>
        <v xml:space="preserve"> - </v>
      </c>
      <c r="H318" s="26"/>
    </row>
    <row r="319" spans="5:8">
      <c r="E319" s="20"/>
      <c r="F319" s="32">
        <f>+IMESI!A307</f>
        <v>39173</v>
      </c>
      <c r="G319" s="24" t="str">
        <f>IF($E$8="seleccione rubro"," - ",HLOOKUP($E$8,IMESI!B1:Q336, 307,0))</f>
        <v xml:space="preserve"> - </v>
      </c>
      <c r="H319" s="26"/>
    </row>
    <row r="320" spans="5:8">
      <c r="E320" s="20"/>
      <c r="F320" s="32">
        <f>+IMESI!A308</f>
        <v>39203</v>
      </c>
      <c r="G320" s="24" t="str">
        <f>IF($E$8="seleccione rubro"," - ",HLOOKUP($E$8,IMESI!B1:Q336, 308,0))</f>
        <v xml:space="preserve"> - </v>
      </c>
      <c r="H320" s="26"/>
    </row>
    <row r="321" spans="5:8">
      <c r="E321" s="20"/>
      <c r="F321" s="32">
        <f>+IMESI!A309</f>
        <v>39234</v>
      </c>
      <c r="G321" s="24" t="str">
        <f>IF($E$8="seleccione rubro"," - ",HLOOKUP($E$8,IMESI!B1:Q336, 309,0))</f>
        <v xml:space="preserve"> - </v>
      </c>
      <c r="H321" s="26"/>
    </row>
    <row r="322" spans="5:8">
      <c r="E322" s="20"/>
      <c r="F322" s="32">
        <f>+IMESI!A310</f>
        <v>39264</v>
      </c>
      <c r="G322" s="24" t="str">
        <f>IF($E$8="seleccione rubro"," - ",HLOOKUP($E$8,IMESI!B1:Q336, 310,0))</f>
        <v xml:space="preserve"> - </v>
      </c>
      <c r="H322" s="26"/>
    </row>
    <row r="323" spans="5:8">
      <c r="E323" s="20"/>
      <c r="F323" s="32">
        <f>+IMESI!A311</f>
        <v>39295</v>
      </c>
      <c r="G323" s="24" t="str">
        <f>IF($E$8="seleccione rubro"," - ",HLOOKUP($E$8,IMESI!$B$1:$Q$336, 311,0))</f>
        <v xml:space="preserve"> - </v>
      </c>
      <c r="H323" s="26"/>
    </row>
    <row r="324" spans="5:8">
      <c r="E324" s="20"/>
      <c r="F324" s="32">
        <f>+IMESI!A312</f>
        <v>39326</v>
      </c>
      <c r="G324" s="24" t="str">
        <f>IF($E$8="seleccione rubro"," - ",HLOOKUP($E$8,IMESI!$B$1:$Q$336, 312,0))</f>
        <v xml:space="preserve"> - </v>
      </c>
    </row>
    <row r="325" spans="5:8">
      <c r="E325" s="20"/>
      <c r="F325" s="32">
        <f>+IMESI!A313</f>
        <v>39356</v>
      </c>
      <c r="G325" s="24" t="str">
        <f>IF($E$8="seleccione rubro"," - ",HLOOKUP($E$8,IMESI!$B$1:$Q$336, 313,0))</f>
        <v xml:space="preserve"> - </v>
      </c>
    </row>
    <row r="326" spans="5:8">
      <c r="E326" s="20"/>
      <c r="F326" s="32">
        <f>+IMESI!A314</f>
        <v>39387</v>
      </c>
      <c r="G326" s="24" t="str">
        <f>IF($E$8="seleccione rubro"," - ",HLOOKUP($E$8,IMESI!$B$1:$Q$336, 314,0))</f>
        <v xml:space="preserve"> - </v>
      </c>
    </row>
    <row r="327" spans="5:8">
      <c r="E327" s="20"/>
      <c r="F327" s="32">
        <f>+IMESI!A315</f>
        <v>39417</v>
      </c>
      <c r="G327" s="24" t="str">
        <f>IF($E$8="seleccione rubro"," - ",HLOOKUP($E$8,IMESI!$B$1:$Q$336, 315,0))</f>
        <v xml:space="preserve"> - </v>
      </c>
    </row>
    <row r="328" spans="5:8">
      <c r="E328" s="20"/>
      <c r="F328" s="32">
        <f>+IMESI!A316</f>
        <v>39448</v>
      </c>
      <c r="G328" s="24" t="str">
        <f>IF($E$8="seleccione rubro"," - ",HLOOKUP($E$8,IMESI!$B$1:$Q$336, 316,0))</f>
        <v xml:space="preserve"> - </v>
      </c>
    </row>
    <row r="329" spans="5:8">
      <c r="E329" s="20"/>
      <c r="F329" s="32">
        <f>+IMESI!A317</f>
        <v>39479</v>
      </c>
      <c r="G329" s="24" t="str">
        <f>IF($E$8="seleccione rubro"," - ",HLOOKUP($E$8,IMESI!$B$1:$Q$336, 317,0))</f>
        <v xml:space="preserve"> - </v>
      </c>
    </row>
    <row r="330" spans="5:8">
      <c r="E330" s="20"/>
      <c r="F330" s="32">
        <f>+IMESI!A318</f>
        <v>39508</v>
      </c>
      <c r="G330" s="24" t="str">
        <f>IF($E$8="seleccione rubro"," - ",HLOOKUP($E$8,IMESI!$B$1:$Q$336, 318,0))</f>
        <v xml:space="preserve"> - </v>
      </c>
    </row>
    <row r="331" spans="5:8">
      <c r="E331" s="20"/>
      <c r="F331" s="32">
        <f>+IMESI!A319</f>
        <v>39539</v>
      </c>
      <c r="G331" s="24" t="str">
        <f>IF($E$8="seleccione rubro"," - ",HLOOKUP($E$8,IMESI!$B$1:$Q$336, 319,0))</f>
        <v xml:space="preserve"> - </v>
      </c>
    </row>
    <row r="332" spans="5:8">
      <c r="E332" s="20"/>
      <c r="F332" s="32">
        <f>+IMESI!A320</f>
        <v>39569</v>
      </c>
      <c r="G332" s="24" t="str">
        <f>IF($E$8="seleccione rubro"," - ",HLOOKUP($E$8,IMESI!$B$1:$Q$336, 320,0))</f>
        <v xml:space="preserve"> - </v>
      </c>
    </row>
    <row r="333" spans="5:8">
      <c r="E333" s="20"/>
      <c r="F333" s="32">
        <f>+IMESI!A321</f>
        <v>39600</v>
      </c>
      <c r="G333" s="24" t="str">
        <f>IF($E$8="seleccione rubro"," - ",HLOOKUP($E$8,IMESI!$B$1:$Q$336, 321,0))</f>
        <v xml:space="preserve"> - </v>
      </c>
    </row>
    <row r="334" spans="5:8">
      <c r="E334" s="20"/>
      <c r="F334" s="32">
        <f>+IMESI!A322</f>
        <v>39630</v>
      </c>
      <c r="G334" s="24" t="str">
        <f>IF($E$8="seleccione rubro"," - ",HLOOKUP($E$8,IMESI!$B$1:$Q$336, 322,0))</f>
        <v xml:space="preserve"> - </v>
      </c>
    </row>
    <row r="335" spans="5:8">
      <c r="E335" s="20"/>
      <c r="F335" s="32">
        <f>+IMESI!A323</f>
        <v>39661</v>
      </c>
      <c r="G335" s="24" t="str">
        <f>IF($E$8="seleccione rubro"," - ",HLOOKUP($E$8,IMESI!$B$1:$Q$336, 323,0))</f>
        <v xml:space="preserve"> - </v>
      </c>
    </row>
    <row r="336" spans="5:8">
      <c r="E336" s="20"/>
      <c r="F336" s="32">
        <f>+IMESI!A324</f>
        <v>39692</v>
      </c>
      <c r="G336" s="24" t="str">
        <f>IF($E$8="seleccione rubro"," - ",HLOOKUP($E$8,IMESI!$B$1:$Q$336, 324,0))</f>
        <v xml:space="preserve"> - </v>
      </c>
    </row>
    <row r="337" spans="5:7">
      <c r="E337" s="20"/>
      <c r="F337" s="32">
        <f>+IMESI!A325</f>
        <v>39722</v>
      </c>
      <c r="G337" s="24" t="str">
        <f>IF($E$8="seleccione rubro"," - ",HLOOKUP($E$8,IMESI!$B$1:$Q$336, 325,0))</f>
        <v xml:space="preserve"> - </v>
      </c>
    </row>
    <row r="338" spans="5:7">
      <c r="E338" s="20"/>
      <c r="F338" s="32">
        <f>+IMESI!A326</f>
        <v>39753</v>
      </c>
      <c r="G338" s="24" t="str">
        <f>IF($E$8="seleccione rubro"," - ",HLOOKUP($E$8,IMESI!$B$1:$Q$336, 326,0))</f>
        <v xml:space="preserve"> - </v>
      </c>
    </row>
    <row r="339" spans="5:7">
      <c r="E339" s="20"/>
      <c r="F339" s="32">
        <f>+IMESI!A327</f>
        <v>39783</v>
      </c>
      <c r="G339" s="24" t="str">
        <f>IF($E$8="seleccione rubro"," - ",HLOOKUP($E$8,IMESI!$B$1:$Q$336, 327,0))</f>
        <v xml:space="preserve"> - </v>
      </c>
    </row>
    <row r="340" spans="5:7">
      <c r="E340" s="20"/>
      <c r="F340" s="32">
        <f>+IMESI!A328</f>
        <v>39814</v>
      </c>
      <c r="G340" s="24" t="str">
        <f>IF($E$8="seleccione rubro"," - ",HLOOKUP($E$8,IMESI!$B$1:$Q$336, 328,0))</f>
        <v xml:space="preserve"> - </v>
      </c>
    </row>
    <row r="341" spans="5:7">
      <c r="E341" s="20"/>
      <c r="F341" s="32">
        <f>+IMESI!A329</f>
        <v>39845</v>
      </c>
      <c r="G341" s="24" t="str">
        <f>IF($E$8="seleccione rubro"," - ",HLOOKUP($E$8,IMESI!$B$1:$Q$336, 329,0))</f>
        <v xml:space="preserve"> - </v>
      </c>
    </row>
    <row r="342" spans="5:7">
      <c r="E342" s="20"/>
      <c r="F342" s="32">
        <f>+IMESI!A330</f>
        <v>39873</v>
      </c>
      <c r="G342" s="24" t="str">
        <f>IF($E$8="seleccione rubro"," - ",HLOOKUP($E$8,IMESI!$B$1:$Q$336, 330,0))</f>
        <v xml:space="preserve"> - </v>
      </c>
    </row>
    <row r="343" spans="5:7">
      <c r="E343" s="20"/>
      <c r="F343" s="32">
        <f>+IMESI!A331</f>
        <v>39904</v>
      </c>
      <c r="G343" s="24" t="str">
        <f>IF($E$8="seleccione rubro"," - ",HLOOKUP($E$8,IMESI!$B$1:$Q$336, 331,0))</f>
        <v xml:space="preserve"> - </v>
      </c>
    </row>
    <row r="344" spans="5:7">
      <c r="E344" s="20"/>
      <c r="F344" s="32">
        <f>+IMESI!A332</f>
        <v>39934</v>
      </c>
      <c r="G344" s="24" t="str">
        <f>IF($E$8="seleccione rubro"," - ",HLOOKUP($E$8,IMESI!$B$1:$Q$336, 332,0))</f>
        <v xml:space="preserve"> - </v>
      </c>
    </row>
    <row r="345" spans="5:7">
      <c r="E345" s="20"/>
      <c r="F345" s="32">
        <f>+IMESI!A333</f>
        <v>39965</v>
      </c>
      <c r="G345" s="24" t="str">
        <f>IF($E$8="seleccione rubro"," - ",HLOOKUP($E$8,IMESI!$B$1:$Q$336, 333,0))</f>
        <v xml:space="preserve"> - </v>
      </c>
    </row>
    <row r="346" spans="5:7">
      <c r="E346" s="20"/>
      <c r="F346" s="32">
        <f>+IMESI!A334</f>
        <v>39995</v>
      </c>
      <c r="G346" s="24" t="str">
        <f>IF($E$8="seleccione rubro"," - ",HLOOKUP($E$8,IMESI!$B$1:$Q$336, 334,0))</f>
        <v xml:space="preserve"> - </v>
      </c>
    </row>
    <row r="347" spans="5:7">
      <c r="E347" s="20"/>
      <c r="F347" s="32">
        <f>+IMESI!A335</f>
        <v>40026</v>
      </c>
      <c r="G347" s="24" t="str">
        <f>IF($E$8="seleccione rubro"," - ",HLOOKUP($E$8,IMESI!$B$1:Q336, 335,0))</f>
        <v xml:space="preserve"> - </v>
      </c>
    </row>
    <row r="348" spans="5:7">
      <c r="E348" s="20"/>
      <c r="F348" s="32">
        <f>+IMESI!A336</f>
        <v>40057</v>
      </c>
      <c r="G348" s="24" t="str">
        <f>IF($E$8="seleccione rubro"," - ",HLOOKUP($E$8,IMESI!$B$1:Q336, 336,0))</f>
        <v xml:space="preserve"> - </v>
      </c>
    </row>
    <row r="349" spans="5:7">
      <c r="E349" s="20"/>
      <c r="F349" s="32">
        <f>+IMESI!A337</f>
        <v>40087</v>
      </c>
      <c r="G349" s="24" t="str">
        <f>IF($E$8="seleccione rubro"," - ",HLOOKUP($E$8,IMESI!$B$1:Q337, 337,0))</f>
        <v xml:space="preserve"> - </v>
      </c>
    </row>
    <row r="350" spans="5:7">
      <c r="E350" s="20"/>
      <c r="F350" s="32">
        <f>+IMESI!A338</f>
        <v>40118</v>
      </c>
      <c r="G350" s="24" t="str">
        <f>IF($E$8="seleccione rubro"," - ",HLOOKUP($E$8,IMESI!$B$1:Q338, 338,0))</f>
        <v xml:space="preserve"> - </v>
      </c>
    </row>
    <row r="351" spans="5:7">
      <c r="E351" s="20"/>
      <c r="F351" s="32">
        <f>+IMESI!A339</f>
        <v>40148</v>
      </c>
      <c r="G351" s="24" t="str">
        <f>IF($E$8="seleccione rubro"," - ",HLOOKUP($E$8,IMESI!$B$1:Q339, 339,0))</f>
        <v xml:space="preserve"> - </v>
      </c>
    </row>
    <row r="352" spans="5:7">
      <c r="E352" s="20"/>
      <c r="F352" s="32">
        <f>+IMESI!A340</f>
        <v>40179</v>
      </c>
      <c r="G352" s="24" t="str">
        <f>IF($E$8="seleccione rubro"," - ",HLOOKUP($E$8,IMESI!$B$1:Q340, 340,0))</f>
        <v xml:space="preserve"> - </v>
      </c>
    </row>
    <row r="353" spans="5:7">
      <c r="E353" s="20"/>
      <c r="F353" s="32">
        <f>+IMESI!A341</f>
        <v>40210</v>
      </c>
      <c r="G353" s="24" t="str">
        <f>IF($E$8="seleccione rubro"," - ",HLOOKUP($E$8,IMESI!$B$1:Q341, 341,0))</f>
        <v xml:space="preserve"> - </v>
      </c>
    </row>
    <row r="354" spans="5:7">
      <c r="E354" s="20"/>
      <c r="F354" s="32">
        <f>+IMESI!A342</f>
        <v>40238</v>
      </c>
      <c r="G354" s="24" t="str">
        <f>IF($E$8="seleccione rubro"," - ",HLOOKUP($E$8,IMESI!$B$1:Q342, 342,0))</f>
        <v xml:space="preserve"> - </v>
      </c>
    </row>
    <row r="355" spans="5:7">
      <c r="E355" s="20"/>
      <c r="F355" s="32">
        <f>+IMESI!A343</f>
        <v>40269</v>
      </c>
      <c r="G355" s="24" t="str">
        <f>IF($E$8="seleccione rubro"," - ",HLOOKUP($E$8,IMESI!$B$1:Q343, 343,0))</f>
        <v xml:space="preserve"> - </v>
      </c>
    </row>
    <row r="356" spans="5:7">
      <c r="E356" s="20"/>
      <c r="F356" s="32">
        <f>+IMESI!A344</f>
        <v>40299</v>
      </c>
      <c r="G356" s="24" t="str">
        <f>IF($E$8="seleccione rubro"," - ",HLOOKUP($E$8,IMESI!$B$1:Q344, 344,0))</f>
        <v xml:space="preserve"> - </v>
      </c>
    </row>
    <row r="357" spans="5:7">
      <c r="E357" s="20"/>
      <c r="F357" s="32">
        <f>+IMESI!A345</f>
        <v>40330</v>
      </c>
      <c r="G357" s="24" t="str">
        <f>IF($E$8="seleccione rubro"," - ",HLOOKUP($E$8,IMESI!$B$1:Q345, 345,0))</f>
        <v xml:space="preserve"> - </v>
      </c>
    </row>
    <row r="358" spans="5:7">
      <c r="E358" s="20"/>
      <c r="F358" s="32">
        <f>+IMESI!A346</f>
        <v>40360</v>
      </c>
      <c r="G358" s="24" t="str">
        <f>IF($E$8="seleccione rubro"," - ",HLOOKUP($E$8,IMESI!$B$1:Q346, 346,0))</f>
        <v xml:space="preserve"> - </v>
      </c>
    </row>
    <row r="359" spans="5:7">
      <c r="E359" s="20"/>
      <c r="F359" s="32">
        <f>+IMESI!A347</f>
        <v>40391</v>
      </c>
      <c r="G359" s="24" t="str">
        <f>IF($E$8="seleccione rubro"," - ",HLOOKUP($E$8,IMESI!$B$1:Q347, 347,0))</f>
        <v xml:space="preserve"> - </v>
      </c>
    </row>
    <row r="360" spans="5:7">
      <c r="E360" s="20"/>
      <c r="F360" s="32">
        <f>+IMESI!A348</f>
        <v>40422</v>
      </c>
      <c r="G360" s="24" t="str">
        <f>IF($E$8="seleccione rubro"," - ",HLOOKUP($E$8,IMESI!$B$1:Q348, 348,0))</f>
        <v xml:space="preserve"> - </v>
      </c>
    </row>
    <row r="361" spans="5:7">
      <c r="E361" s="20"/>
      <c r="F361" s="32">
        <f>+IMESI!A349</f>
        <v>40452</v>
      </c>
      <c r="G361" s="24" t="str">
        <f>IF($E$8="seleccione rubro"," - ",HLOOKUP($E$8,IMESI!$B$1:Q349, 349,0))</f>
        <v xml:space="preserve"> - </v>
      </c>
    </row>
    <row r="362" spans="5:7">
      <c r="E362" s="20"/>
      <c r="F362" s="32">
        <f>+IMESI!A350</f>
        <v>40483</v>
      </c>
      <c r="G362" s="24" t="str">
        <f>IF($E$8="seleccione rubro"," - ",HLOOKUP($E$8,IMESI!$B$1:Q350, 350,0))</f>
        <v xml:space="preserve"> - </v>
      </c>
    </row>
    <row r="363" spans="5:7">
      <c r="E363" s="20"/>
      <c r="F363" s="32">
        <f>+IMESI!A351</f>
        <v>40513</v>
      </c>
      <c r="G363" s="24" t="str">
        <f>IF($E$8="seleccione rubro"," - ",HLOOKUP($E$8,IMESI!$B$1:Q351, 351,0))</f>
        <v xml:space="preserve"> - </v>
      </c>
    </row>
    <row r="364" spans="5:7">
      <c r="E364" s="20"/>
      <c r="F364" s="32">
        <f>+IMESI!A352</f>
        <v>40544</v>
      </c>
      <c r="G364" s="24" t="str">
        <f>IF($E$8="seleccione rubro"," - ",HLOOKUP($E$8,IMESI!$B$1:Q352, 352,0))</f>
        <v xml:space="preserve"> - </v>
      </c>
    </row>
    <row r="365" spans="5:7">
      <c r="E365" s="20"/>
      <c r="F365" s="32">
        <f>+IMESI!A353</f>
        <v>40575</v>
      </c>
      <c r="G365" s="24" t="str">
        <f>IF($E$8="seleccione rubro"," - ",HLOOKUP($E$8,IMESI!$B$1:Q353, 353,0))</f>
        <v xml:space="preserve"> - </v>
      </c>
    </row>
    <row r="366" spans="5:7">
      <c r="E366" s="20"/>
      <c r="F366" s="32">
        <f>+IMESI!A354</f>
        <v>40603</v>
      </c>
      <c r="G366" s="24" t="str">
        <f>IF($E$8="seleccione rubro"," - ",HLOOKUP($E$8,IMESI!$B$1:Q354, 354,0))</f>
        <v xml:space="preserve"> - </v>
      </c>
    </row>
    <row r="367" spans="5:7">
      <c r="E367" s="20"/>
      <c r="F367" s="32">
        <f>+IMESI!A355</f>
        <v>40634</v>
      </c>
      <c r="G367" s="24" t="str">
        <f>IF($E$8="seleccione rubro"," - ",HLOOKUP($E$8,IMESI!$B$1:Q355, 355,0))</f>
        <v xml:space="preserve"> - </v>
      </c>
    </row>
    <row r="368" spans="5:7">
      <c r="E368" s="20"/>
      <c r="F368" s="32">
        <f>+IMESI!A356</f>
        <v>40664</v>
      </c>
      <c r="G368" s="24" t="str">
        <f>IF($E$8="seleccione rubro"," - ",HLOOKUP($E$8,IMESI!$B$1:Q356, 356,0))</f>
        <v xml:space="preserve"> - </v>
      </c>
    </row>
    <row r="369" spans="5:7">
      <c r="E369" s="20"/>
      <c r="F369" s="32">
        <f>+IMESI!A357</f>
        <v>40695</v>
      </c>
      <c r="G369" s="24" t="str">
        <f>IF($E$8="seleccione rubro"," - ",HLOOKUP($E$8,IMESI!$B$1:Q357, 357,0))</f>
        <v xml:space="preserve"> - </v>
      </c>
    </row>
    <row r="370" spans="5:7">
      <c r="E370" s="20"/>
      <c r="F370" s="32">
        <f>+IMESI!A358</f>
        <v>40725</v>
      </c>
      <c r="G370" s="24" t="str">
        <f>IF($E$8="seleccione rubro"," - ",HLOOKUP($E$8,IMESI!$B$1:Q358, 358,0))</f>
        <v xml:space="preserve"> - </v>
      </c>
    </row>
    <row r="371" spans="5:7">
      <c r="E371" s="20"/>
      <c r="F371" s="32">
        <f>+IMESI!A359</f>
        <v>40756</v>
      </c>
      <c r="G371" s="24" t="str">
        <f>IF($E$8="seleccione rubro"," - ",HLOOKUP($E$8,IMESI!$B$1:Q359, 359,0))</f>
        <v xml:space="preserve"> - </v>
      </c>
    </row>
    <row r="372" spans="5:7">
      <c r="E372" s="20"/>
      <c r="F372" s="32">
        <f>+IMESI!A360</f>
        <v>40787</v>
      </c>
      <c r="G372" s="24" t="str">
        <f>IF($E$8="seleccione rubro"," - ",HLOOKUP($E$8,IMESI!$B$1:Q360, 360,0))</f>
        <v xml:space="preserve"> - </v>
      </c>
    </row>
    <row r="373" spans="5:7">
      <c r="E373" s="20"/>
      <c r="F373" s="32">
        <f>+IMESI!A361</f>
        <v>40817</v>
      </c>
      <c r="G373" s="24" t="str">
        <f>IF($E$8="seleccione rubro"," - ",HLOOKUP($E$8,IMESI!$B$1:Q361, 361,0))</f>
        <v xml:space="preserve"> - </v>
      </c>
    </row>
    <row r="374" spans="5:7">
      <c r="E374" s="20"/>
      <c r="F374" s="32">
        <f>+IMESI!A362</f>
        <v>40848</v>
      </c>
      <c r="G374" s="24" t="str">
        <f>IF($E$8="seleccione rubro"," - ",HLOOKUP($E$8,IMESI!$B$1:Q362, 362,0))</f>
        <v xml:space="preserve"> - </v>
      </c>
    </row>
    <row r="375" spans="5:7">
      <c r="E375" s="20"/>
      <c r="F375" s="32">
        <f>+IMESI!A363</f>
        <v>40878</v>
      </c>
      <c r="G375" s="24" t="str">
        <f>IF($E$8="seleccione rubro"," - ",HLOOKUP($E$8,IMESI!$B$1:Q363, 363,0))</f>
        <v xml:space="preserve"> - </v>
      </c>
    </row>
    <row r="376" spans="5:7">
      <c r="E376" s="20"/>
      <c r="F376" s="32">
        <f>+IMESI!A364</f>
        <v>40909</v>
      </c>
      <c r="G376" s="24" t="str">
        <f>IF($E$8="seleccione rubro"," - ",HLOOKUP($E$8,IMESI!$B$1:Q364, 364,0))</f>
        <v xml:space="preserve"> - </v>
      </c>
    </row>
    <row r="377" spans="5:7">
      <c r="E377" s="20"/>
      <c r="F377" s="32">
        <f>+IMESI!A365</f>
        <v>40940</v>
      </c>
      <c r="G377" s="24" t="str">
        <f>IF($E$8="seleccione rubro"," - ",HLOOKUP($E$8,IMESI!$B$1:Q365, 365,0))</f>
        <v xml:space="preserve"> - </v>
      </c>
    </row>
    <row r="378" spans="5:7">
      <c r="E378" s="20"/>
      <c r="F378" s="32">
        <f>+IMESI!A366</f>
        <v>40969</v>
      </c>
      <c r="G378" s="24" t="str">
        <f>IF($E$8="seleccione rubro"," - ",HLOOKUP($E$8,IMESI!$B$1:Q366, 366,0))</f>
        <v xml:space="preserve"> - </v>
      </c>
    </row>
    <row r="379" spans="5:7">
      <c r="E379" s="20"/>
      <c r="F379" s="32">
        <f>+IMESI!A367</f>
        <v>41000</v>
      </c>
      <c r="G379" s="24" t="str">
        <f>IF($E$8="seleccione rubro"," - ",HLOOKUP($E$8,IMESI!$B$1:Q367, 367,0))</f>
        <v xml:space="preserve"> - </v>
      </c>
    </row>
    <row r="380" spans="5:7">
      <c r="E380" s="20"/>
      <c r="F380" s="32">
        <f>+IMESI!A368</f>
        <v>41030</v>
      </c>
      <c r="G380" s="24" t="str">
        <f>IF($E$8="seleccione rubro"," - ",HLOOKUP($E$8,IMESI!$B$1:Q368, 368,0))</f>
        <v xml:space="preserve"> - </v>
      </c>
    </row>
    <row r="381" spans="5:7">
      <c r="E381" s="20"/>
      <c r="F381" s="32">
        <f>+IMESI!A369</f>
        <v>41061</v>
      </c>
      <c r="G381" s="24" t="str">
        <f>IF($E$8="seleccione rubro"," - ",HLOOKUP($E$8,IMESI!$B$1:Q369, 369,0))</f>
        <v xml:space="preserve"> - </v>
      </c>
    </row>
    <row r="382" spans="5:7">
      <c r="E382" s="20"/>
      <c r="F382" s="32">
        <f>+IMESI!A370</f>
        <v>41091</v>
      </c>
      <c r="G382" s="24" t="str">
        <f>IF($E$8="seleccione rubro"," - ",HLOOKUP($E$8,IMESI!$B$1:Q370, 370,0))</f>
        <v xml:space="preserve"> - </v>
      </c>
    </row>
    <row r="383" spans="5:7">
      <c r="E383" s="20"/>
      <c r="F383" s="32">
        <f>+IMESI!A371</f>
        <v>41122</v>
      </c>
      <c r="G383" s="24" t="str">
        <f>IF($E$8="seleccione rubro"," - ",HLOOKUP($E$8,IMESI!$B$1:Q371, 371,0))</f>
        <v xml:space="preserve"> - </v>
      </c>
    </row>
    <row r="384" spans="5:7">
      <c r="E384" s="20"/>
      <c r="F384" s="32">
        <f>+IMESI!A372</f>
        <v>41153</v>
      </c>
      <c r="G384" s="24" t="str">
        <f>IF($E$8="seleccione rubro"," - ",HLOOKUP($E$8,IMESI!$B$1:Q372, 372,0))</f>
        <v xml:space="preserve"> - </v>
      </c>
    </row>
    <row r="385" spans="5:7">
      <c r="E385" s="20"/>
      <c r="F385" s="32">
        <f>+IMESI!A373</f>
        <v>41183</v>
      </c>
      <c r="G385" s="24" t="str">
        <f>IF($E$8="seleccione rubro"," - ",HLOOKUP($E$8,IMESI!$B$1:Q373, 373,0))</f>
        <v xml:space="preserve"> - </v>
      </c>
    </row>
    <row r="386" spans="5:7">
      <c r="E386" s="20"/>
      <c r="F386" s="32">
        <f>+IMESI!A374</f>
        <v>41214</v>
      </c>
      <c r="G386" s="24" t="str">
        <f>IF($E$8="seleccione rubro"," - ",HLOOKUP($E$8,IMESI!$B$1:Q374, 374,0))</f>
        <v xml:space="preserve"> - </v>
      </c>
    </row>
    <row r="387" spans="5:7">
      <c r="E387" s="20"/>
      <c r="F387" s="32">
        <f>+IMESI!A375</f>
        <v>41244</v>
      </c>
      <c r="G387" s="24" t="str">
        <f>IF($E$8="seleccione rubro"," - ",HLOOKUP($E$8,IMESI!$B$1:Q375, 375,0))</f>
        <v xml:space="preserve"> - </v>
      </c>
    </row>
    <row r="388" spans="5:7">
      <c r="E388" s="20"/>
      <c r="F388" s="32">
        <f>+IMESI!A376</f>
        <v>41275</v>
      </c>
      <c r="G388" s="24" t="str">
        <f>IF($E$8="seleccione rubro"," - ",HLOOKUP($E$8,IMESI!$B$1:Q376, 376,0))</f>
        <v xml:space="preserve"> - </v>
      </c>
    </row>
    <row r="389" spans="5:7">
      <c r="E389" s="20"/>
      <c r="F389" s="32">
        <f>+IMESI!A377</f>
        <v>41306</v>
      </c>
      <c r="G389" s="24" t="str">
        <f>IF($E$8="seleccione rubro"," - ",HLOOKUP($E$8,IMESI!$B$1:Q377, 377,0))</f>
        <v xml:space="preserve"> - </v>
      </c>
    </row>
    <row r="390" spans="5:7">
      <c r="E390" s="20"/>
      <c r="F390" s="32">
        <f>+IMESI!A378</f>
        <v>41334</v>
      </c>
      <c r="G390" s="24" t="str">
        <f>IF($E$8="seleccione rubro"," - ",HLOOKUP($E$8,IMESI!$B$1:Q378, 378,0))</f>
        <v xml:space="preserve"> - </v>
      </c>
    </row>
    <row r="391" spans="5:7">
      <c r="E391" s="20"/>
      <c r="F391" s="32">
        <f>+IMESI!A379</f>
        <v>41365</v>
      </c>
      <c r="G391" s="24" t="str">
        <f>IF($E$8="seleccione rubro"," - ",HLOOKUP($E$8,IMESI!$B$1:Q379, 379,0))</f>
        <v xml:space="preserve"> - </v>
      </c>
    </row>
    <row r="392" spans="5:7">
      <c r="E392" s="20"/>
      <c r="F392" s="32">
        <f>+IMESI!A380</f>
        <v>41395</v>
      </c>
      <c r="G392" s="24" t="str">
        <f>IF($E$8="seleccione rubro"," - ",HLOOKUP($E$8,IMESI!$B$1:Q380, 380,0))</f>
        <v xml:space="preserve"> - </v>
      </c>
    </row>
    <row r="393" spans="5:7">
      <c r="E393" s="20"/>
      <c r="F393" s="32">
        <f>+IMESI!A381</f>
        <v>41426</v>
      </c>
      <c r="G393" s="24" t="str">
        <f>IF($E$8="seleccione rubro"," - ",HLOOKUP($E$8,IMESI!$B$1:Q381, 381,0))</f>
        <v xml:space="preserve"> - </v>
      </c>
    </row>
    <row r="394" spans="5:7">
      <c r="E394" s="20"/>
      <c r="F394" s="32">
        <f>+IMESI!A382</f>
        <v>41456</v>
      </c>
      <c r="G394" s="24" t="str">
        <f>IF($E$8="seleccione rubro"," - ",HLOOKUP($E$8,IMESI!$B$1:Q382, 382,0))</f>
        <v xml:space="preserve"> - </v>
      </c>
    </row>
    <row r="395" spans="5:7">
      <c r="E395" s="20"/>
      <c r="F395" s="32">
        <f>+IMESI!A383</f>
        <v>41487</v>
      </c>
      <c r="G395" s="24" t="str">
        <f>IF($E$8="seleccione rubro"," - ",HLOOKUP($E$8,IMESI!$B$1:Q383, 383,0))</f>
        <v xml:space="preserve"> - </v>
      </c>
    </row>
    <row r="396" spans="5:7">
      <c r="E396" s="20"/>
      <c r="F396" s="32">
        <f>+IMESI!A384</f>
        <v>41518</v>
      </c>
      <c r="G396" s="24" t="str">
        <f>IF($E$8="seleccione rubro"," - ",HLOOKUP($E$8,IMESI!$B$1:Q384, 384,0))</f>
        <v xml:space="preserve"> - </v>
      </c>
    </row>
    <row r="397" spans="5:7">
      <c r="E397" s="20"/>
      <c r="F397" s="32">
        <f>+IMESI!A385</f>
        <v>41548</v>
      </c>
      <c r="G397" s="24" t="str">
        <f>IF($E$8="seleccione rubro"," - ",HLOOKUP($E$8,IMESI!$B$1:Q385, 385,0))</f>
        <v xml:space="preserve"> - </v>
      </c>
    </row>
    <row r="398" spans="5:7">
      <c r="E398" s="20"/>
      <c r="F398" s="32">
        <f>+IMESI!A386</f>
        <v>41579</v>
      </c>
      <c r="G398" s="24" t="str">
        <f>IF($E$8="seleccione rubro"," - ",HLOOKUP($E$8,IMESI!$B$1:Q386, 386,0))</f>
        <v xml:space="preserve"> - </v>
      </c>
    </row>
    <row r="399" spans="5:7">
      <c r="E399" s="20"/>
      <c r="F399" s="32">
        <f>+IMESI!A387</f>
        <v>41609</v>
      </c>
      <c r="G399" s="24" t="str">
        <f>IF($E$8="seleccione rubro"," - ",HLOOKUP($E$8,IMESI!$B$1:Q387, 387,0))</f>
        <v xml:space="preserve"> - </v>
      </c>
    </row>
    <row r="400" spans="5:7">
      <c r="E400" s="20"/>
      <c r="F400" s="32">
        <f>+IMESI!A388</f>
        <v>41640</v>
      </c>
      <c r="G400" s="24" t="str">
        <f>IF($E$8="seleccione rubro"," - ",HLOOKUP($E$8,IMESI!$B$1:Q388, 388,0))</f>
        <v xml:space="preserve"> - </v>
      </c>
    </row>
    <row r="401" spans="5:7">
      <c r="E401" s="20"/>
      <c r="F401" s="32">
        <f>+IMESI!A389</f>
        <v>41671</v>
      </c>
      <c r="G401" s="24" t="str">
        <f>IF($E$8="seleccione rubro"," - ",HLOOKUP($E$8,IMESI!$B$1:Q389, 389,0))</f>
        <v xml:space="preserve"> - </v>
      </c>
    </row>
    <row r="402" spans="5:7">
      <c r="E402" s="20"/>
      <c r="F402" s="32">
        <f>+IMESI!A390</f>
        <v>41699</v>
      </c>
      <c r="G402" s="24" t="str">
        <f>IF($E$8="seleccione rubro"," - ",HLOOKUP($E$8,IMESI!$B$1:Q390, 390,0))</f>
        <v xml:space="preserve"> - </v>
      </c>
    </row>
    <row r="403" spans="5:7">
      <c r="E403" s="20"/>
      <c r="F403" s="32">
        <f>+IMESI!A391</f>
        <v>41730</v>
      </c>
      <c r="G403" s="24" t="str">
        <f>IF($E$8="seleccione rubro"," - ",HLOOKUP($E$8,IMESI!$B$1:Q391, 391,0))</f>
        <v xml:space="preserve"> - </v>
      </c>
    </row>
    <row r="404" spans="5:7">
      <c r="E404" s="20"/>
      <c r="F404" s="32">
        <f>+IMESI!A392</f>
        <v>41760</v>
      </c>
      <c r="G404" s="24" t="str">
        <f>IF($E$8="seleccione rubro"," - ",HLOOKUP($E$8,IMESI!$B$1:Q392, 392,0))</f>
        <v xml:space="preserve"> - </v>
      </c>
    </row>
    <row r="405" spans="5:7">
      <c r="E405" s="20"/>
      <c r="F405" s="32">
        <f>+IMESI!A393</f>
        <v>41791</v>
      </c>
      <c r="G405" s="24" t="str">
        <f>IF($E$8="seleccione rubro"," - ",HLOOKUP($E$8,IMESI!$B$1:Q393, 393,0))</f>
        <v xml:space="preserve"> - </v>
      </c>
    </row>
    <row r="406" spans="5:7">
      <c r="E406" s="20"/>
      <c r="F406" s="32">
        <f>+IMESI!A394</f>
        <v>41821</v>
      </c>
      <c r="G406" s="24" t="str">
        <f>IF($E$8="seleccione rubro"," - ",HLOOKUP($E$8,IMESI!$B$1:Q394, 394,0))</f>
        <v xml:space="preserve"> - </v>
      </c>
    </row>
    <row r="407" spans="5:7">
      <c r="E407" s="20"/>
      <c r="F407" s="32">
        <f>+IMESI!A395</f>
        <v>41852</v>
      </c>
      <c r="G407" s="24" t="str">
        <f>IF($E$8="seleccione rubro"," - ",HLOOKUP($E$8,IMESI!$B$1:Q395, 395,0))</f>
        <v xml:space="preserve"> - </v>
      </c>
    </row>
    <row r="408" spans="5:7">
      <c r="E408" s="20"/>
      <c r="F408" s="32">
        <f>+IMESI!A396</f>
        <v>41883</v>
      </c>
      <c r="G408" s="24" t="str">
        <f>IF($E$8="seleccione rubro"," - ",HLOOKUP($E$8,IMESI!$B$1:Q396, 396,0))</f>
        <v xml:space="preserve"> - </v>
      </c>
    </row>
    <row r="409" spans="5:7">
      <c r="E409" s="20"/>
      <c r="F409" s="32">
        <f>+IMESI!A397</f>
        <v>41913</v>
      </c>
      <c r="G409" s="24" t="str">
        <f>IF($E$8="seleccione rubro"," - ",HLOOKUP($E$8,IMESI!$B$1:Q397, 397,0))</f>
        <v xml:space="preserve"> - </v>
      </c>
    </row>
    <row r="410" spans="5:7">
      <c r="E410" s="20"/>
      <c r="F410" s="32">
        <f>+IMESI!A398</f>
        <v>41944</v>
      </c>
      <c r="G410" s="24" t="str">
        <f>IF($E$8="seleccione rubro"," - ",HLOOKUP($E$8,IMESI!$B$1:Q398, 398,0))</f>
        <v xml:space="preserve"> - </v>
      </c>
    </row>
    <row r="411" spans="5:7">
      <c r="E411" s="20"/>
      <c r="F411" s="32">
        <f>+IMESI!A399</f>
        <v>41974</v>
      </c>
      <c r="G411" s="24" t="str">
        <f>IF($E$8="seleccione rubro"," - ",HLOOKUP($E$8,IMESI!$B$1:Q399, 399,0))</f>
        <v xml:space="preserve"> - </v>
      </c>
    </row>
    <row r="412" spans="5:7">
      <c r="E412" s="20"/>
      <c r="F412" s="32">
        <f>+IMESI!A400</f>
        <v>42005</v>
      </c>
      <c r="G412" s="24" t="str">
        <f>IF($E$8="seleccione rubro"," - ",HLOOKUP($E$8,IMESI!$B$1:Q400, 400,0))</f>
        <v xml:space="preserve"> - </v>
      </c>
    </row>
    <row r="413" spans="5:7">
      <c r="E413" s="20"/>
      <c r="F413" s="32">
        <f>+IMESI!A401</f>
        <v>42036</v>
      </c>
      <c r="G413" s="24" t="str">
        <f>IF($E$8="seleccione rubro"," - ",HLOOKUP($E$8,IMESI!$B$1:Q401, 401,0))</f>
        <v xml:space="preserve"> - </v>
      </c>
    </row>
    <row r="414" spans="5:7">
      <c r="E414" s="20"/>
      <c r="F414" s="32">
        <f>+IMESI!A402</f>
        <v>42064</v>
      </c>
      <c r="G414" s="24" t="str">
        <f>IF($E$8="seleccione rubro"," - ",HLOOKUP($E$8,IMESI!$B$1:Q402, 402,0))</f>
        <v xml:space="preserve"> - </v>
      </c>
    </row>
    <row r="415" spans="5:7">
      <c r="E415" s="20"/>
      <c r="F415" s="32">
        <f>+IMESI!A403</f>
        <v>42095</v>
      </c>
      <c r="G415" s="24" t="str">
        <f>IF($E$8="seleccione rubro"," - ",HLOOKUP($E$8,IMESI!$B$1:Q403, 403,0))</f>
        <v xml:space="preserve"> - </v>
      </c>
    </row>
    <row r="416" spans="5:7">
      <c r="E416" s="20"/>
      <c r="F416" s="32">
        <f>+IMESI!A404</f>
        <v>42125</v>
      </c>
      <c r="G416" s="24" t="str">
        <f>IF($E$8="seleccione rubro"," - ",HLOOKUP($E$8,IMESI!$B$1:Q404, 404,0))</f>
        <v xml:space="preserve"> - </v>
      </c>
    </row>
    <row r="417" spans="5:7">
      <c r="E417" s="20"/>
      <c r="F417" s="32">
        <f>+IMESI!A405</f>
        <v>42156</v>
      </c>
      <c r="G417" s="24" t="str">
        <f>IF($E$8="seleccione rubro"," - ",HLOOKUP($E$8,IMESI!$B$1:Q405, 405,0))</f>
        <v xml:space="preserve"> - </v>
      </c>
    </row>
    <row r="418" spans="5:7">
      <c r="E418" s="20"/>
      <c r="F418" s="32">
        <f>+IMESI!A406</f>
        <v>42186</v>
      </c>
      <c r="G418" s="24" t="str">
        <f>IF($E$8="seleccione rubro"," - ",HLOOKUP($E$8,IMESI!$B$1:Q406, 406,0))</f>
        <v xml:space="preserve"> - </v>
      </c>
    </row>
    <row r="419" spans="5:7">
      <c r="E419" s="20"/>
      <c r="F419" s="32">
        <f>+IMESI!A407</f>
        <v>42217</v>
      </c>
      <c r="G419" s="24" t="str">
        <f>IF($E$8="seleccione rubro"," - ",HLOOKUP($E$8,IMESI!$B$1:Q407, 407,0))</f>
        <v xml:space="preserve"> - </v>
      </c>
    </row>
    <row r="420" spans="5:7">
      <c r="E420" s="20"/>
      <c r="F420" s="32">
        <f>+IMESI!A408</f>
        <v>42248</v>
      </c>
      <c r="G420" s="24" t="str">
        <f>IF($E$8="seleccione rubro"," - ",HLOOKUP($E$8,IMESI!$B$1:Q408, 408,0))</f>
        <v xml:space="preserve"> - </v>
      </c>
    </row>
    <row r="421" spans="5:7">
      <c r="E421" s="20"/>
      <c r="F421" s="32">
        <f>+IMESI!A409</f>
        <v>42278</v>
      </c>
      <c r="G421" s="24" t="str">
        <f>IF($E$8="seleccione rubro"," - ",HLOOKUP($E$8,IMESI!$B$1:Q409, 409,0))</f>
        <v xml:space="preserve"> - </v>
      </c>
    </row>
    <row r="422" spans="5:7">
      <c r="E422" s="20"/>
      <c r="F422" s="32">
        <f>+IMESI!A410</f>
        <v>42309</v>
      </c>
      <c r="G422" s="24" t="str">
        <f>IF($E$8="seleccione rubro"," - ",HLOOKUP($E$8,IMESI!$B$1:Q410, 410,0))</f>
        <v xml:space="preserve"> - </v>
      </c>
    </row>
    <row r="423" spans="5:7">
      <c r="E423" s="20"/>
      <c r="F423" s="32">
        <f>+IMESI!A411</f>
        <v>42339</v>
      </c>
      <c r="G423" s="24" t="str">
        <f>IF($E$8="seleccione rubro"," - ",HLOOKUP($E$8,IMESI!$B$1:Q411, 411,0))</f>
        <v xml:space="preserve"> - </v>
      </c>
    </row>
    <row r="424" spans="5:7">
      <c r="E424" s="20"/>
      <c r="F424" s="32">
        <f>+IMESI!A412</f>
        <v>42370</v>
      </c>
      <c r="G424" s="24" t="str">
        <f>IF($E$8="seleccione rubro"," - ",HLOOKUP($E$8,IMESI!$B$1:Q412, 412,0))</f>
        <v xml:space="preserve"> - </v>
      </c>
    </row>
    <row r="425" spans="5:7">
      <c r="E425" s="20"/>
      <c r="F425" s="32">
        <f>+IMESI!A413</f>
        <v>42401</v>
      </c>
      <c r="G425" s="24" t="str">
        <f>IF($E$8="seleccione rubro"," - ",HLOOKUP($E$8,IMESI!$B$1:Q413, 413,0))</f>
        <v xml:space="preserve"> - </v>
      </c>
    </row>
    <row r="426" spans="5:7">
      <c r="E426" s="20"/>
      <c r="F426" s="32">
        <f>+IMESI!A414</f>
        <v>42430</v>
      </c>
      <c r="G426" s="24" t="str">
        <f>IF($E$8="seleccione rubro"," - ",HLOOKUP($E$8,IMESI!$B$1:Q414, 414,0))</f>
        <v xml:space="preserve"> - </v>
      </c>
    </row>
    <row r="427" spans="5:7">
      <c r="E427" s="20"/>
      <c r="F427" s="32">
        <f>+IMESI!A415</f>
        <v>42461</v>
      </c>
      <c r="G427" s="24" t="str">
        <f>IF($E$8="seleccione rubro"," - ",HLOOKUP($E$8,IMESI!$B$1:Q415, 415,0))</f>
        <v xml:space="preserve"> - </v>
      </c>
    </row>
    <row r="428" spans="5:7">
      <c r="E428" s="20"/>
      <c r="F428" s="32">
        <f>+IMESI!A416</f>
        <v>42491</v>
      </c>
      <c r="G428" s="24" t="str">
        <f>IF($E$8="seleccione rubro"," - ",HLOOKUP($E$8,IMESI!$B$1:Q416, 416,0))</f>
        <v xml:space="preserve"> - </v>
      </c>
    </row>
    <row r="429" spans="5:7">
      <c r="E429" s="20"/>
      <c r="F429" s="32">
        <f>+IMESI!A417</f>
        <v>42522</v>
      </c>
      <c r="G429" s="24" t="str">
        <f>IF($E$8="seleccione rubro"," - ",HLOOKUP($E$8,IMESI!$B$1:Q417, 417,0))</f>
        <v xml:space="preserve"> - </v>
      </c>
    </row>
    <row r="430" spans="5:7">
      <c r="E430" s="20"/>
      <c r="F430" s="32">
        <f>+IMESI!A418</f>
        <v>42552</v>
      </c>
      <c r="G430" s="24" t="str">
        <f>IF($E$8="seleccione rubro"," - ",HLOOKUP($E$8,IMESI!$B$1:Q418, 418,0))</f>
        <v xml:space="preserve"> - </v>
      </c>
    </row>
    <row r="431" spans="5:7">
      <c r="E431" s="20"/>
      <c r="F431" s="32">
        <f>+IMESI!A419</f>
        <v>42583</v>
      </c>
      <c r="G431" s="24" t="str">
        <f>IF($E$8="seleccione rubro"," - ",HLOOKUP($E$8,IMESI!$B$1:Q419, 419,0))</f>
        <v xml:space="preserve"> - </v>
      </c>
    </row>
    <row r="432" spans="5:7">
      <c r="E432" s="20"/>
      <c r="F432" s="32">
        <f>+IMESI!A420</f>
        <v>42614</v>
      </c>
      <c r="G432" s="24" t="str">
        <f>IF($E$8="seleccione rubro"," - ",HLOOKUP($E$8,IMESI!$B$1:Q420, 420,0))</f>
        <v xml:space="preserve"> - </v>
      </c>
    </row>
    <row r="433" spans="5:7">
      <c r="E433" s="20"/>
      <c r="F433" s="32">
        <f>+IMESI!A421</f>
        <v>42644</v>
      </c>
      <c r="G433" s="24" t="str">
        <f>IF($E$8="seleccione rubro"," - ",HLOOKUP($E$8,IMESI!$B$1:Q421, 421,0))</f>
        <v xml:space="preserve"> - </v>
      </c>
    </row>
    <row r="434" spans="5:7">
      <c r="E434" s="20"/>
      <c r="F434" s="32">
        <f>+IMESI!A422</f>
        <v>42675</v>
      </c>
      <c r="G434" s="24" t="str">
        <f>IF($E$8="seleccione rubro"," - ",HLOOKUP($E$8,IMESI!$B$1:Q422, 422,0))</f>
        <v xml:space="preserve"> - </v>
      </c>
    </row>
    <row r="435" spans="5:7">
      <c r="E435" s="20"/>
      <c r="F435" s="32">
        <f>+IMESI!A423</f>
        <v>42705</v>
      </c>
      <c r="G435" s="24" t="str">
        <f>IF($E$8="seleccione rubro"," - ",HLOOKUP($E$8,IMESI!$B$1:Q423, 423,0))</f>
        <v xml:space="preserve"> - </v>
      </c>
    </row>
    <row r="436" spans="5:7">
      <c r="E436" s="20"/>
      <c r="F436" s="32">
        <f>+IMESI!A424</f>
        <v>42736</v>
      </c>
      <c r="G436" s="24" t="str">
        <f>IF($E$8="seleccione rubro"," - ",HLOOKUP($E$8,IMESI!$B$1:Q424, 424,0))</f>
        <v xml:space="preserve"> - </v>
      </c>
    </row>
    <row r="437" spans="5:7">
      <c r="E437" s="20"/>
      <c r="F437" s="32">
        <f>+IMESI!A425</f>
        <v>42767</v>
      </c>
      <c r="G437" s="24" t="str">
        <f>IF($E$8="seleccione rubro"," - ",HLOOKUP($E$8,IMESI!$B$1:Q425, 425,0))</f>
        <v xml:space="preserve"> - </v>
      </c>
    </row>
    <row r="438" spans="5:7">
      <c r="E438" s="20"/>
      <c r="F438" s="32">
        <f>+IMESI!A426</f>
        <v>42795</v>
      </c>
      <c r="G438" s="24" t="str">
        <f>IF($E$8="seleccione rubro"," - ",HLOOKUP($E$8,IMESI!$B$1:Q426, 426,0))</f>
        <v xml:space="preserve"> - </v>
      </c>
    </row>
    <row r="439" spans="5:7">
      <c r="E439" s="20"/>
      <c r="F439" s="32">
        <f>+IMESI!A427</f>
        <v>42826</v>
      </c>
      <c r="G439" s="24" t="str">
        <f>IF($E$8="seleccione rubro"," - ",HLOOKUP($E$8,IMESI!$B$1:Q427, 427,0))</f>
        <v xml:space="preserve"> - </v>
      </c>
    </row>
    <row r="440" spans="5:7">
      <c r="E440" s="20"/>
      <c r="F440" s="32">
        <f>+IMESI!A428</f>
        <v>42856</v>
      </c>
      <c r="G440" s="24" t="str">
        <f>IF($E$8="seleccione rubro"," - ",HLOOKUP($E$8,IMESI!$B$1:Q428, 428,0))</f>
        <v xml:space="preserve"> - </v>
      </c>
    </row>
    <row r="441" spans="5:7">
      <c r="E441" s="20"/>
      <c r="F441" s="32">
        <f>+IMESI!A429</f>
        <v>42887</v>
      </c>
      <c r="G441" s="24" t="str">
        <f>IF($E$8="seleccione rubro"," - ",HLOOKUP($E$8,IMESI!$B$1:Q429, 429,0))</f>
        <v xml:space="preserve"> - </v>
      </c>
    </row>
    <row r="442" spans="5:7">
      <c r="E442" s="20"/>
      <c r="F442" s="32">
        <f>+IMESI!A430</f>
        <v>42917</v>
      </c>
      <c r="G442" s="24" t="str">
        <f>IF($E$8="seleccione rubro"," - ",HLOOKUP($E$8,IMESI!$B$1:Q430, 430,0))</f>
        <v xml:space="preserve"> - </v>
      </c>
    </row>
    <row r="443" spans="5:7">
      <c r="E443" s="20"/>
      <c r="F443" s="32">
        <f>+IMESI!A431</f>
        <v>42948</v>
      </c>
      <c r="G443" s="24" t="str">
        <f>IF($E$8="seleccione rubro"," - ",HLOOKUP($E$8,IMESI!$B$1:Q431, 431,0))</f>
        <v xml:space="preserve"> - </v>
      </c>
    </row>
    <row r="444" spans="5:7">
      <c r="E444" s="20"/>
      <c r="F444" s="32">
        <f>+IMESI!A432</f>
        <v>42979</v>
      </c>
      <c r="G444" s="24" t="str">
        <f>IF($E$8="seleccione rubro"," - ",HLOOKUP($E$8,IMESI!$B$1:Q432, 432,0))</f>
        <v xml:space="preserve"> - </v>
      </c>
    </row>
    <row r="445" spans="5:7">
      <c r="E445" s="20"/>
      <c r="F445" s="32">
        <f>+IMESI!A433</f>
        <v>43009</v>
      </c>
      <c r="G445" s="24" t="str">
        <f>IF($E$8="seleccione rubro"," - ",HLOOKUP($E$8,IMESI!$B$1:Q433, 433,0))</f>
        <v xml:space="preserve"> - </v>
      </c>
    </row>
    <row r="446" spans="5:7">
      <c r="E446" s="20"/>
      <c r="F446" s="32">
        <f>+IMESI!A434</f>
        <v>43040</v>
      </c>
      <c r="G446" s="24" t="str">
        <f>IF($E$8="seleccione rubro"," - ",HLOOKUP($E$8,IMESI!$B$1:Q434, 434,0))</f>
        <v xml:space="preserve"> - </v>
      </c>
    </row>
    <row r="447" spans="5:7">
      <c r="E447" s="20"/>
      <c r="F447" s="32">
        <f>+IMESI!A435</f>
        <v>43070</v>
      </c>
      <c r="G447" s="24" t="str">
        <f>IF($E$8="seleccione rubro"," - ",HLOOKUP($E$8,IMESI!$B$1:Q435, 435,0))</f>
        <v xml:space="preserve"> - </v>
      </c>
    </row>
    <row r="448" spans="5:7">
      <c r="E448" s="23"/>
      <c r="F448" s="32">
        <f>+IMESI!A436</f>
        <v>43101</v>
      </c>
      <c r="G448" s="24" t="str">
        <f>IF($E$8="seleccione rubro"," - ",HLOOKUP($E$8,IMESI!$B$1:Q436, 436,0))</f>
        <v xml:space="preserve"> - </v>
      </c>
    </row>
    <row r="449" spans="5:7">
      <c r="E449" s="23"/>
      <c r="F449" s="32">
        <f>+IMESI!A437</f>
        <v>43132</v>
      </c>
      <c r="G449" s="24" t="str">
        <f>IF($E$8="seleccione rubro"," - ",HLOOKUP($E$8,IMESI!$B$1:Q437, 437,0))</f>
        <v xml:space="preserve"> - </v>
      </c>
    </row>
    <row r="450" spans="5:7">
      <c r="E450" s="23"/>
      <c r="F450" s="32">
        <f>+IMESI!A438</f>
        <v>43160</v>
      </c>
      <c r="G450" s="24" t="str">
        <f>IF($E$8="seleccione rubro"," - ",HLOOKUP($E$8,IMESI!$B$1:Q438, 438,0))</f>
        <v xml:space="preserve"> - </v>
      </c>
    </row>
    <row r="451" spans="5:7">
      <c r="E451" s="23"/>
      <c r="F451" s="32">
        <f>+IMESI!A439</f>
        <v>43191</v>
      </c>
      <c r="G451" s="24" t="str">
        <f>IF($E$8="seleccione rubro"," - ",HLOOKUP($E$8,IMESI!$B$1:Q439, 439,0))</f>
        <v xml:space="preserve"> - </v>
      </c>
    </row>
    <row r="452" spans="5:7">
      <c r="E452" s="23"/>
      <c r="F452" s="32">
        <f>+IMESI!A440</f>
        <v>43221</v>
      </c>
      <c r="G452" s="24" t="str">
        <f>IF($E$8="seleccione rubro"," - ",HLOOKUP($E$8,IMESI!$B$1:Q440, 440,0))</f>
        <v xml:space="preserve"> - </v>
      </c>
    </row>
    <row r="453" spans="5:7">
      <c r="E453" s="23"/>
      <c r="F453" s="32">
        <f>+IMESI!A441</f>
        <v>43252</v>
      </c>
      <c r="G453" s="24" t="str">
        <f>IF($E$8="seleccione rubro"," - ",HLOOKUP($E$8,IMESI!$B$1:Q441, 441,0))</f>
        <v xml:space="preserve"> - </v>
      </c>
    </row>
    <row r="454" spans="5:7">
      <c r="E454" s="23"/>
      <c r="F454" s="32">
        <f>+IMESI!A442</f>
        <v>43282</v>
      </c>
      <c r="G454" s="24" t="str">
        <f>IF($E$8="seleccione rubro"," - ",HLOOKUP($E$8,IMESI!$B$1:Q442, 442,0))</f>
        <v xml:space="preserve"> - </v>
      </c>
    </row>
    <row r="455" spans="5:7">
      <c r="E455" s="23"/>
      <c r="F455" s="32">
        <f>+IMESI!A443</f>
        <v>43313</v>
      </c>
      <c r="G455" s="24" t="str">
        <f>IF($E$8="seleccione rubro"," - ",HLOOKUP($E$8,IMESI!$B$1:Q443, 443,0))</f>
        <v xml:space="preserve"> - </v>
      </c>
    </row>
    <row r="456" spans="5:7">
      <c r="E456" s="23"/>
      <c r="F456" s="32">
        <f>+IMESI!A444</f>
        <v>43344</v>
      </c>
      <c r="G456" s="24" t="str">
        <f>IF($E$8="seleccione rubro"," - ",HLOOKUP($E$8,IMESI!$B$1:Q444, 444,0))</f>
        <v xml:space="preserve"> - </v>
      </c>
    </row>
    <row r="457" spans="5:7">
      <c r="E457" s="23"/>
      <c r="F457" s="32">
        <f>+IMESI!A445</f>
        <v>43374</v>
      </c>
      <c r="G457" s="24" t="str">
        <f>IF($E$8="seleccione rubro"," - ",HLOOKUP($E$8,IMESI!$B$1:Q445, 445,0))</f>
        <v xml:space="preserve"> - </v>
      </c>
    </row>
    <row r="458" spans="5:7">
      <c r="E458" s="23"/>
      <c r="F458" s="32">
        <f>+IMESI!A446</f>
        <v>43405</v>
      </c>
      <c r="G458" s="24" t="str">
        <f>IF($E$8="seleccione rubro"," - ",HLOOKUP($E$8,IMESI!$B$1:Q446, 446,0))</f>
        <v xml:space="preserve"> - </v>
      </c>
    </row>
    <row r="459" spans="5:7">
      <c r="E459" s="23"/>
      <c r="F459" s="32">
        <f>+IMESI!A447</f>
        <v>43435</v>
      </c>
      <c r="G459" s="24" t="str">
        <f>IF($E$8="seleccione rubro"," - ",HLOOKUP($E$8,IMESI!$B$1:Q447, 447,0))</f>
        <v xml:space="preserve"> - </v>
      </c>
    </row>
    <row r="460" spans="5:7">
      <c r="E460" s="23"/>
      <c r="F460" s="32">
        <f>+IMESI!A448</f>
        <v>43466</v>
      </c>
      <c r="G460" s="24" t="str">
        <f>IF($E$8="seleccione rubro"," - ",HLOOKUP($E$8,IMESI!$B$1:Q448, 448,0))</f>
        <v xml:space="preserve"> - </v>
      </c>
    </row>
    <row r="461" spans="5:7">
      <c r="E461" s="23"/>
      <c r="F461" s="32">
        <f>+IMESI!A449</f>
        <v>43497</v>
      </c>
      <c r="G461" s="24" t="str">
        <f>IF($E$8="seleccione rubro"," - ",HLOOKUP($E$8,IMESI!$B$1:Q449, 449,0))</f>
        <v xml:space="preserve"> - </v>
      </c>
    </row>
    <row r="462" spans="5:7">
      <c r="E462" s="23"/>
      <c r="F462" s="32">
        <f>+IMESI!A450</f>
        <v>43525</v>
      </c>
      <c r="G462" s="24" t="str">
        <f>IF($E$8="seleccione rubro"," - ",HLOOKUP($E$8,IMESI!$B$1:Q450, 450,0))</f>
        <v xml:space="preserve"> - </v>
      </c>
    </row>
    <row r="463" spans="5:7">
      <c r="E463" s="23"/>
      <c r="F463" s="32">
        <f>+IMESI!A451</f>
        <v>43556</v>
      </c>
      <c r="G463" s="24" t="str">
        <f>IF($E$8="seleccione rubro"," - ",HLOOKUP($E$8,IMESI!$B$1:Q451, 451,0))</f>
        <v xml:space="preserve"> - </v>
      </c>
    </row>
    <row r="464" spans="5:7">
      <c r="E464" s="23"/>
      <c r="F464" s="32">
        <f>+IMESI!A452</f>
        <v>43586</v>
      </c>
      <c r="G464" s="24" t="str">
        <f>IF($E$8="seleccione rubro"," - ",HLOOKUP($E$8,IMESI!$B$1:Q452, 452,0))</f>
        <v xml:space="preserve"> - </v>
      </c>
    </row>
    <row r="465" spans="5:7">
      <c r="E465" s="23"/>
      <c r="F465" s="32">
        <f>+IMESI!A453</f>
        <v>43617</v>
      </c>
      <c r="G465" s="24" t="str">
        <f>IF($E$8="seleccione rubro"," - ",HLOOKUP($E$8,IMESI!$B$1:Q453, 453,0))</f>
        <v xml:space="preserve"> - </v>
      </c>
    </row>
    <row r="466" spans="5:7">
      <c r="E466" s="23"/>
      <c r="F466" s="32">
        <f>+IMESI!A454</f>
        <v>43647</v>
      </c>
      <c r="G466" s="24" t="str">
        <f>IF($E$8="seleccione rubro"," - ",HLOOKUP($E$8,IMESI!$B$1:Q454, 454,0))</f>
        <v xml:space="preserve"> - </v>
      </c>
    </row>
    <row r="467" spans="5:7">
      <c r="E467" s="23"/>
      <c r="F467" s="32">
        <f>+IMESI!A455</f>
        <v>43678</v>
      </c>
      <c r="G467" s="24" t="str">
        <f>IF($E$8="seleccione rubro"," - ",HLOOKUP($E$8,IMESI!$B$1:Q455, 455,0))</f>
        <v xml:space="preserve"> - </v>
      </c>
    </row>
    <row r="468" spans="5:7">
      <c r="E468" s="23"/>
      <c r="F468" s="32">
        <f>+IMESI!A456</f>
        <v>43709</v>
      </c>
      <c r="G468" s="24" t="str">
        <f>IF($E$8="seleccione rubro"," - ",HLOOKUP($E$8,IMESI!$B$1:Q456, 456,0))</f>
        <v xml:space="preserve"> - </v>
      </c>
    </row>
    <row r="469" spans="5:7">
      <c r="E469" s="23"/>
      <c r="F469" s="32">
        <f>+IMESI!A457</f>
        <v>43739</v>
      </c>
      <c r="G469" s="24" t="str">
        <f>IF($E$8="seleccione rubro"," - ",HLOOKUP($E$8,IMESI!$B$1:Q457, 457,0))</f>
        <v xml:space="preserve"> - </v>
      </c>
    </row>
    <row r="470" spans="5:7">
      <c r="E470" s="23"/>
      <c r="F470" s="32">
        <f>+IMESI!A458</f>
        <v>43770</v>
      </c>
      <c r="G470" s="24" t="str">
        <f>IF($E$8="seleccione rubro"," - ",HLOOKUP($E$8,IMESI!$B$1:Q458, 458,0))</f>
        <v xml:space="preserve"> - </v>
      </c>
    </row>
    <row r="471" spans="5:7">
      <c r="E471" s="23"/>
      <c r="F471" s="32">
        <f>+IMESI!A459</f>
        <v>43800</v>
      </c>
      <c r="G471" s="24" t="str">
        <f>IF($E$8="seleccione rubro"," - ",HLOOKUP($E$8,IMESI!$B$1:Q459, 459,0))</f>
        <v xml:space="preserve"> - </v>
      </c>
    </row>
    <row r="472" spans="5:7">
      <c r="E472" s="23"/>
      <c r="F472" s="32">
        <f>+IMESI!A460</f>
        <v>43831</v>
      </c>
      <c r="G472" s="24" t="str">
        <f>IF($E$8="seleccione rubro"," - ",HLOOKUP($E$8,IMESI!$B$1:Q460, 460,0))</f>
        <v xml:space="preserve"> - </v>
      </c>
    </row>
    <row r="473" spans="5:7">
      <c r="E473" s="23"/>
      <c r="F473" s="32">
        <f>+IMESI!A461</f>
        <v>43862</v>
      </c>
      <c r="G473" s="24" t="str">
        <f>IF($E$8="seleccione rubro"," - ",HLOOKUP($E$8,IMESI!$B$1:Q461, 461,0))</f>
        <v xml:space="preserve"> - </v>
      </c>
    </row>
    <row r="474" spans="5:7">
      <c r="E474" s="23"/>
      <c r="F474" s="32">
        <f>+IMESI!A462</f>
        <v>43891</v>
      </c>
      <c r="G474" s="24" t="str">
        <f>IF($E$8="seleccione rubro"," - ",HLOOKUP($E$8,IMESI!$B$1:Q462, 462,0))</f>
        <v xml:space="preserve"> - </v>
      </c>
    </row>
    <row r="475" spans="5:7">
      <c r="E475" s="23"/>
      <c r="F475" s="32">
        <f>+IMESI!A463</f>
        <v>43922</v>
      </c>
      <c r="G475" s="24" t="str">
        <f>IF($E$8="seleccione rubro"," - ",HLOOKUP($E$8,IMESI!$B$1:Q463, 463,0))</f>
        <v xml:space="preserve"> - </v>
      </c>
    </row>
    <row r="476" spans="5:7">
      <c r="E476" s="23"/>
      <c r="F476" s="32">
        <f>+IMESI!A464</f>
        <v>43952</v>
      </c>
      <c r="G476" s="24" t="str">
        <f>IF($E$8="seleccione rubro"," - ",HLOOKUP($E$8,IMESI!$B$1:Q464, 464,0))</f>
        <v xml:space="preserve"> - </v>
      </c>
    </row>
    <row r="477" spans="5:7">
      <c r="E477" s="23"/>
      <c r="F477" s="32">
        <f>+IMESI!A465</f>
        <v>43983</v>
      </c>
      <c r="G477" s="24" t="str">
        <f>IF($E$8="seleccione rubro"," - ",HLOOKUP($E$8,IMESI!$B$1:Q465, 465,0))</f>
        <v xml:space="preserve"> - </v>
      </c>
    </row>
    <row r="478" spans="5:7">
      <c r="E478" s="23"/>
      <c r="F478" s="32">
        <f>+IMESI!A466</f>
        <v>44013</v>
      </c>
      <c r="G478" s="24" t="str">
        <f>IF($E$8="seleccione rubro"," - ",HLOOKUP($E$8,IMESI!$B$1:Q466, 466,0))</f>
        <v xml:space="preserve"> - </v>
      </c>
    </row>
    <row r="479" spans="5:7">
      <c r="E479" s="23"/>
      <c r="F479" s="32">
        <f>+IMESI!A467</f>
        <v>44044</v>
      </c>
      <c r="G479" s="24" t="str">
        <f>IF($E$8="seleccione rubro"," - ",HLOOKUP($E$8,IMESI!$B$1:Q467, 467,0))</f>
        <v xml:space="preserve"> - </v>
      </c>
    </row>
    <row r="480" spans="5:7">
      <c r="E480" s="23"/>
      <c r="F480" s="32">
        <f>+IMESI!A468</f>
        <v>44075</v>
      </c>
      <c r="G480" s="24" t="str">
        <f>IF($E$8="seleccione rubro"," - ",HLOOKUP($E$8,IMESI!$B$1:Q468, 468,0))</f>
        <v xml:space="preserve"> - </v>
      </c>
    </row>
    <row r="481" spans="5:7">
      <c r="E481" s="23"/>
      <c r="F481" s="32">
        <f>+IMESI!A469</f>
        <v>44105</v>
      </c>
      <c r="G481" s="24" t="str">
        <f>IF($E$8="seleccione rubro"," - ",HLOOKUP($E$8,IMESI!$B$1:Q469, 469,0))</f>
        <v xml:space="preserve"> - </v>
      </c>
    </row>
    <row r="482" spans="5:7">
      <c r="E482" s="23"/>
      <c r="F482" s="32">
        <f>+IMESI!A470</f>
        <v>44136</v>
      </c>
      <c r="G482" s="24" t="str">
        <f>IF($E$8="seleccione rubro"," - ",HLOOKUP($E$8,IMESI!$B$1:Q470, 470,0))</f>
        <v xml:space="preserve"> - </v>
      </c>
    </row>
    <row r="483" spans="5:7">
      <c r="E483" s="23"/>
      <c r="F483" s="32">
        <f>+IMESI!A471</f>
        <v>44166</v>
      </c>
      <c r="G483" s="24" t="str">
        <f>IF($E$8="seleccione rubro"," - ",HLOOKUP($E$8,IMESI!$B$1:Q471, 471,0))</f>
        <v xml:space="preserve"> - </v>
      </c>
    </row>
    <row r="484" spans="5:7">
      <c r="E484" s="23"/>
      <c r="F484" s="32">
        <f>+IMESI!A472</f>
        <v>44197</v>
      </c>
      <c r="G484" s="24" t="str">
        <f>IF($E$8="seleccione rubro"," - ",HLOOKUP($E$8,IMESI!$B$1:Q472, 472,0))</f>
        <v xml:space="preserve"> - </v>
      </c>
    </row>
    <row r="485" spans="5:7">
      <c r="E485" s="23"/>
      <c r="F485" s="32">
        <f>+IMESI!A473</f>
        <v>44228</v>
      </c>
      <c r="G485" s="24" t="str">
        <f>IF($E$8="seleccione rubro"," - ",HLOOKUP($E$8,IMESI!$B$1:Q473, 473,0))</f>
        <v xml:space="preserve"> - </v>
      </c>
    </row>
    <row r="486" spans="5:7">
      <c r="E486" s="23"/>
      <c r="F486" s="32">
        <f>+IMESI!A474</f>
        <v>44256</v>
      </c>
      <c r="G486" s="24" t="str">
        <f>IF($E$8="seleccione rubro"," - ",HLOOKUP($E$8,IMESI!$B$1:Q474, 474,0))</f>
        <v xml:space="preserve"> - </v>
      </c>
    </row>
    <row r="487" spans="5:7">
      <c r="E487" s="23"/>
      <c r="F487" s="32">
        <f>+IMESI!A475</f>
        <v>44287</v>
      </c>
      <c r="G487" s="24" t="str">
        <f>IF($E$8="seleccione rubro"," - ",HLOOKUP($E$8,IMESI!$B$1:Q475, 475,0))</f>
        <v xml:space="preserve"> - </v>
      </c>
    </row>
    <row r="488" spans="5:7">
      <c r="E488" s="23"/>
      <c r="F488" s="32">
        <f>+IMESI!A476</f>
        <v>44317</v>
      </c>
      <c r="G488" s="24" t="str">
        <f>IF($E$8="seleccione rubro"," - ",HLOOKUP($E$8,IMESI!$B$1:Q476, 476,0))</f>
        <v xml:space="preserve"> - </v>
      </c>
    </row>
    <row r="489" spans="5:7">
      <c r="E489" s="23"/>
      <c r="F489" s="32">
        <f>+IMESI!A477</f>
        <v>44348</v>
      </c>
      <c r="G489" s="24" t="str">
        <f>IF($E$8="seleccione rubro"," - ",HLOOKUP($E$8,IMESI!$B$1:Q477, 477,0))</f>
        <v xml:space="preserve"> - </v>
      </c>
    </row>
    <row r="490" spans="5:7">
      <c r="E490" s="23"/>
      <c r="F490" s="32">
        <f>+IMESI!A478</f>
        <v>44378</v>
      </c>
      <c r="G490" s="24" t="str">
        <f>IF($E$8="seleccione rubro"," - ",HLOOKUP($E$8,IMESI!$B$1:Q478, 478,0))</f>
        <v xml:space="preserve"> - </v>
      </c>
    </row>
    <row r="491" spans="5:7">
      <c r="E491" s="23"/>
      <c r="F491" s="32">
        <f>+IMESI!A479</f>
        <v>44409</v>
      </c>
      <c r="G491" s="24" t="str">
        <f>IF($E$8="seleccione rubro"," - ",HLOOKUP($E$8,IMESI!$B$1:Q479, 479,0))</f>
        <v xml:space="preserve"> - </v>
      </c>
    </row>
    <row r="492" spans="5:7">
      <c r="E492" s="23"/>
      <c r="F492" s="32">
        <f>+IMESI!A480</f>
        <v>44440</v>
      </c>
      <c r="G492" s="24" t="str">
        <f>IF($E$8="seleccione rubro"," - ",HLOOKUP($E$8,IMESI!$B$1:Q480, 480,0))</f>
        <v xml:space="preserve"> - </v>
      </c>
    </row>
    <row r="493" spans="5:7">
      <c r="E493" s="23"/>
      <c r="F493" s="32">
        <f>+IMESI!A481</f>
        <v>44470</v>
      </c>
      <c r="G493" s="24" t="str">
        <f>IF($E$8="seleccione rubro"," - ",HLOOKUP($E$8,IMESI!$B$1:Q481, 481,0))</f>
        <v xml:space="preserve"> - </v>
      </c>
    </row>
    <row r="494" spans="5:7">
      <c r="E494" s="23"/>
      <c r="F494" s="32">
        <f>+IMESI!A482</f>
        <v>44501</v>
      </c>
      <c r="G494" s="24" t="str">
        <f>IF($E$8="seleccione rubro"," - ",HLOOKUP($E$8,IMESI!$B$1:Q482, 482,0))</f>
        <v xml:space="preserve"> - </v>
      </c>
    </row>
    <row r="495" spans="5:7">
      <c r="E495" s="23"/>
      <c r="F495" s="32">
        <f>+IMESI!A483</f>
        <v>44531</v>
      </c>
      <c r="G495" s="24" t="str">
        <f>IF($E$8="seleccione rubro"," - ",HLOOKUP($E$8,IMESI!$B$1:Q483, 483,0))</f>
        <v xml:space="preserve"> - </v>
      </c>
    </row>
    <row r="496" spans="5:7">
      <c r="E496" s="23"/>
      <c r="F496" s="32">
        <f>+IMESI!A484</f>
        <v>44562</v>
      </c>
      <c r="G496" s="24" t="str">
        <f>IF($E$8="seleccione rubro"," - ",HLOOKUP($E$8,IMESI!$B$1:Q484, 484,0))</f>
        <v xml:space="preserve"> - </v>
      </c>
    </row>
    <row r="497" spans="5:7">
      <c r="E497" s="23"/>
      <c r="F497" s="32">
        <f>+IMESI!A485</f>
        <v>44593</v>
      </c>
      <c r="G497" s="24" t="str">
        <f>IF($E$8="seleccione rubro"," - ",HLOOKUP($E$8,IMESI!$B$1:Q485, 485,0))</f>
        <v xml:space="preserve"> - </v>
      </c>
    </row>
    <row r="498" spans="5:7">
      <c r="E498" s="23"/>
      <c r="F498" s="32">
        <f>+IMESI!A486</f>
        <v>44621</v>
      </c>
      <c r="G498" s="24" t="str">
        <f>IF($E$8="seleccione rubro"," - ",HLOOKUP($E$8,IMESI!$B$1:Q486, 486,0))</f>
        <v xml:space="preserve"> - </v>
      </c>
    </row>
    <row r="499" spans="5:7">
      <c r="E499" s="23"/>
      <c r="F499" s="32">
        <f>+IMESI!A487</f>
        <v>44652</v>
      </c>
      <c r="G499" s="24" t="str">
        <f>IF($E$8="seleccione rubro"," - ",HLOOKUP($E$8,IMESI!$B$1:Q487, 487,0))</f>
        <v xml:space="preserve"> - </v>
      </c>
    </row>
    <row r="500" spans="5:7">
      <c r="E500" s="23"/>
      <c r="F500" s="32">
        <f>+IMESI!A488</f>
        <v>44682</v>
      </c>
      <c r="G500" s="24" t="str">
        <f>IF($E$8="seleccione rubro"," - ",HLOOKUP($E$8,IMESI!$B$1:Q488, 488,0))</f>
        <v xml:space="preserve"> - </v>
      </c>
    </row>
    <row r="501" spans="5:7">
      <c r="E501" s="23"/>
      <c r="F501" s="32">
        <f>+IMESI!A489</f>
        <v>44713</v>
      </c>
      <c r="G501" s="24" t="str">
        <f>IF($E$8="seleccione rubro"," - ",HLOOKUP($E$8,IMESI!$B$1:Q489, 489,0))</f>
        <v xml:space="preserve"> - </v>
      </c>
    </row>
    <row r="502" spans="5:7">
      <c r="E502" s="23"/>
      <c r="F502" s="32">
        <f>+IMESI!A490</f>
        <v>44743</v>
      </c>
      <c r="G502" s="24" t="str">
        <f>IF($E$8="seleccione rubro"," - ",HLOOKUP($E$8,IMESI!$B$1:Q490, 490,0))</f>
        <v xml:space="preserve"> - </v>
      </c>
    </row>
    <row r="503" spans="5:7">
      <c r="E503" s="23"/>
      <c r="F503" s="32">
        <f>+IMESI!A491</f>
        <v>44774</v>
      </c>
      <c r="G503" s="24" t="str">
        <f>IF($E$8="seleccione rubro"," - ",HLOOKUP($E$8,IMESI!$B$1:Q491, 491,0))</f>
        <v xml:space="preserve"> - </v>
      </c>
    </row>
    <row r="504" spans="5:7">
      <c r="E504" s="23"/>
      <c r="F504" s="32">
        <f>+IMESI!A492</f>
        <v>44805</v>
      </c>
      <c r="G504" s="24" t="str">
        <f>IF($E$8="seleccione rubro"," - ",HLOOKUP($E$8,IMESI!$B$1:Q492, 492,0))</f>
        <v xml:space="preserve"> - </v>
      </c>
    </row>
    <row r="505" spans="5:7">
      <c r="E505" s="23"/>
      <c r="F505" s="32">
        <f>+IMESI!A493</f>
        <v>44835</v>
      </c>
      <c r="G505" s="24" t="str">
        <f>IF($E$8="seleccione rubro"," - ",HLOOKUP($E$8,IMESI!$B$1:Q493, 493,0))</f>
        <v xml:space="preserve"> - </v>
      </c>
    </row>
    <row r="506" spans="5:7">
      <c r="E506" s="23"/>
      <c r="F506" s="32">
        <f>+IMESI!A494</f>
        <v>44866</v>
      </c>
      <c r="G506" s="24" t="str">
        <f>IF($E$8="seleccione rubro"," - ",HLOOKUP($E$8,IMESI!$B$1:Q494, 494,0))</f>
        <v xml:space="preserve"> - </v>
      </c>
    </row>
    <row r="507" spans="5:7">
      <c r="E507" s="23"/>
      <c r="F507" s="32">
        <f>+IMESI!A495</f>
        <v>44896</v>
      </c>
      <c r="G507" s="24" t="str">
        <f>IF($E$8="seleccione rubro"," - ",HLOOKUP($E$8,IMESI!$B$1:Q495, 495,0))</f>
        <v xml:space="preserve"> - </v>
      </c>
    </row>
    <row r="508" spans="5:7">
      <c r="E508" s="23"/>
      <c r="F508" s="32">
        <f>+IMESI!A496</f>
        <v>44927</v>
      </c>
      <c r="G508" s="24" t="str">
        <f>IF($E$8="seleccione rubro"," - ",HLOOKUP($E$8,IMESI!$B$1:Q496, 496,0))</f>
        <v xml:space="preserve"> - </v>
      </c>
    </row>
    <row r="509" spans="5:7">
      <c r="E509" s="23"/>
      <c r="F509" s="32">
        <f>+IMESI!A497</f>
        <v>44958</v>
      </c>
      <c r="G509" s="24" t="str">
        <f>IF($E$8="seleccione rubro"," - ",HLOOKUP($E$8,IMESI!$B$1:Q497, 497,0))</f>
        <v xml:space="preserve"> - </v>
      </c>
    </row>
    <row r="510" spans="5:7">
      <c r="E510" s="23"/>
      <c r="F510" s="32">
        <f>+IMESI!A498</f>
        <v>44986</v>
      </c>
      <c r="G510" s="24" t="str">
        <f>IF($E$8="seleccione rubro"," - ",HLOOKUP($E$8,IMESI!$B$1:Q498, 498,0))</f>
        <v xml:space="preserve"> - </v>
      </c>
    </row>
    <row r="511" spans="5:7">
      <c r="E511" s="23"/>
      <c r="F511" s="32">
        <f>+IMESI!A499</f>
        <v>45017</v>
      </c>
      <c r="G511" s="24" t="str">
        <f>IF($E$8="seleccione rubro"," - ",HLOOKUP($E$8,IMESI!$B$1:Q499, 499,0))</f>
        <v xml:space="preserve"> - </v>
      </c>
    </row>
    <row r="512" spans="5:7">
      <c r="E512" s="23"/>
      <c r="F512" s="32">
        <f>+IMESI!A500</f>
        <v>45047</v>
      </c>
      <c r="G512" s="24" t="str">
        <f>IF($E$8="seleccione rubro"," - ",HLOOKUP($E$8,IMESI!$B$1:Q500, 500,0))</f>
        <v xml:space="preserve"> - </v>
      </c>
    </row>
    <row r="513" spans="5:8">
      <c r="E513" s="23"/>
      <c r="F513" s="32">
        <f>+IMESI!A501</f>
        <v>45078</v>
      </c>
      <c r="G513" s="24" t="str">
        <f>IF($E$8="seleccione rubro"," - ",HLOOKUP($E$8,IMESI!$B$1:Q501, 501,0))</f>
        <v xml:space="preserve"> - </v>
      </c>
    </row>
    <row r="514" spans="5:8">
      <c r="E514" s="23"/>
      <c r="F514" s="32">
        <f>+IMESI!A502</f>
        <v>45108</v>
      </c>
      <c r="G514" s="24" t="str">
        <f>IF($E$8="seleccione rubro"," - ",HLOOKUP($E$8,IMESI!$B$1:Q502, 502,0))</f>
        <v xml:space="preserve"> - </v>
      </c>
    </row>
    <row r="515" spans="5:8">
      <c r="E515" s="23"/>
      <c r="F515" s="32">
        <f>+IMESI!A503</f>
        <v>45139</v>
      </c>
      <c r="G515" s="24" t="str">
        <f>IF($E$8="seleccione rubro"," - ",HLOOKUP($E$8,IMESI!$B$1:Q503, 503,0))</f>
        <v xml:space="preserve"> - </v>
      </c>
    </row>
    <row r="516" spans="5:8">
      <c r="E516" s="23"/>
      <c r="F516" s="32">
        <f>+IMESI!A504</f>
        <v>45170</v>
      </c>
      <c r="G516" s="24" t="str">
        <f>IF($E$8="seleccione rubro"," - ",HLOOKUP($E$8,IMESI!$B$1:Q504, 504,0))</f>
        <v xml:space="preserve"> - </v>
      </c>
    </row>
    <row r="517" spans="5:8">
      <c r="E517" s="23"/>
      <c r="F517" s="32">
        <f>+IMESI!A505</f>
        <v>45200</v>
      </c>
      <c r="G517" s="24" t="str">
        <f>IF($E$8="seleccione rubro"," - ",HLOOKUP($E$8,IMESI!$B$1:Q505, 505,0))</f>
        <v xml:space="preserve"> - </v>
      </c>
    </row>
    <row r="518" spans="5:8">
      <c r="E518" s="23"/>
      <c r="F518" s="32">
        <f>+IMESI!A506</f>
        <v>45231</v>
      </c>
      <c r="G518" s="24" t="str">
        <f>IF($E$8="seleccione rubro"," - ",HLOOKUP($E$8,IMESI!$B$1:Q506, 506,0))</f>
        <v xml:space="preserve"> - </v>
      </c>
    </row>
    <row r="519" spans="5:8">
      <c r="E519" s="23"/>
      <c r="F519" s="32">
        <f>+IMESI!A507</f>
        <v>45261</v>
      </c>
      <c r="G519" s="24" t="str">
        <f>IF($E$8="seleccione rubro"," - ",HLOOKUP($E$8,IMESI!$B$1:Q507, 507,0))</f>
        <v xml:space="preserve"> - </v>
      </c>
    </row>
    <row r="520" spans="5:8">
      <c r="E520" s="23"/>
      <c r="F520" s="32">
        <f>+IMESI!A508</f>
        <v>45292</v>
      </c>
      <c r="G520" s="24" t="str">
        <f>IF($E$8="seleccione rubro"," - ",HLOOKUP($E$8,IMESI!$B$1:Q508, 508,0))</f>
        <v xml:space="preserve"> - </v>
      </c>
    </row>
    <row r="521" spans="5:8">
      <c r="E521" s="23"/>
      <c r="F521" s="32"/>
      <c r="G521" s="24"/>
    </row>
    <row r="522" spans="5:8">
      <c r="E522" s="34"/>
      <c r="F522" s="34"/>
      <c r="G522" s="34"/>
    </row>
    <row r="523" spans="5:8">
      <c r="E523" s="34"/>
      <c r="F523" s="34"/>
      <c r="G523" s="34"/>
    </row>
    <row r="524" spans="5:8">
      <c r="E524" s="34"/>
      <c r="F524" s="34"/>
      <c r="G524" s="34"/>
    </row>
    <row r="525" spans="5:8" ht="44.25" customHeight="1">
      <c r="E525" s="34"/>
      <c r="F525" s="34"/>
      <c r="G525" s="34"/>
      <c r="H525" s="28"/>
    </row>
    <row r="526" spans="5:8">
      <c r="E526" s="29"/>
      <c r="F526" s="29"/>
    </row>
    <row r="527" spans="5:8">
      <c r="E527" s="29"/>
      <c r="F527" s="29"/>
    </row>
    <row r="528" spans="5:8">
      <c r="E528" s="29"/>
      <c r="F528" s="29"/>
    </row>
    <row r="529" spans="5:6">
      <c r="E529" s="29"/>
      <c r="F529" s="29"/>
    </row>
    <row r="530" spans="5:6">
      <c r="E530" s="29"/>
      <c r="F530" s="29"/>
    </row>
    <row r="531" spans="5:6">
      <c r="E531" s="29"/>
      <c r="F531" s="29"/>
    </row>
    <row r="532" spans="5:6">
      <c r="E532" s="29"/>
      <c r="F532" s="29"/>
    </row>
    <row r="533" spans="5:6" ht="10.5" customHeight="1">
      <c r="E533" s="29"/>
      <c r="F533" s="29"/>
    </row>
    <row r="534" spans="5:6">
      <c r="E534" s="29"/>
      <c r="F534" s="29"/>
    </row>
    <row r="535" spans="5:6">
      <c r="E535" s="29"/>
      <c r="F535" s="29"/>
    </row>
    <row r="536" spans="5:6">
      <c r="E536" s="29"/>
      <c r="F536" s="29"/>
    </row>
    <row r="537" spans="5:6">
      <c r="E537" s="29"/>
      <c r="F537" s="29"/>
    </row>
    <row r="538" spans="5:6">
      <c r="E538" s="29"/>
      <c r="F538" s="29"/>
    </row>
    <row r="539" spans="5:6">
      <c r="E539" s="29"/>
      <c r="F539" s="29"/>
    </row>
    <row r="540" spans="5:6">
      <c r="E540" s="29"/>
      <c r="F540" s="29"/>
    </row>
    <row r="541" spans="5:6">
      <c r="E541" s="29"/>
      <c r="F541" s="29"/>
    </row>
    <row r="542" spans="5:6">
      <c r="E542" s="29"/>
      <c r="F542" s="29"/>
    </row>
    <row r="543" spans="5:6">
      <c r="E543" s="29"/>
      <c r="F543" s="29"/>
    </row>
    <row r="544" spans="5:6">
      <c r="E544" s="31"/>
    </row>
    <row r="545" spans="5:6">
      <c r="E545" s="31"/>
    </row>
    <row r="546" spans="5:6">
      <c r="E546" s="31"/>
    </row>
    <row r="547" spans="5:6">
      <c r="E547" s="31"/>
    </row>
    <row r="548" spans="5:6">
      <c r="E548" s="31"/>
    </row>
    <row r="549" spans="5:6">
      <c r="E549" s="31"/>
    </row>
    <row r="550" spans="5:6">
      <c r="E550" s="31"/>
    </row>
    <row r="551" spans="5:6">
      <c r="E551" s="31"/>
    </row>
    <row r="552" spans="5:6">
      <c r="E552" s="31"/>
    </row>
    <row r="553" spans="5:6">
      <c r="E553" s="31"/>
    </row>
    <row r="554" spans="5:6">
      <c r="E554" s="31"/>
    </row>
    <row r="555" spans="5:6">
      <c r="E555" s="31"/>
    </row>
    <row r="556" spans="5:6">
      <c r="E556" s="31"/>
    </row>
    <row r="557" spans="5:6">
      <c r="E557" s="31"/>
    </row>
    <row r="558" spans="5:6">
      <c r="E558" s="31"/>
    </row>
    <row r="559" spans="5:6">
      <c r="F559" s="27"/>
    </row>
    <row r="560" spans="5:6">
      <c r="E560" s="31"/>
    </row>
    <row r="561" spans="5:5">
      <c r="E561" s="31"/>
    </row>
    <row r="562" spans="5:5">
      <c r="E562" s="31"/>
    </row>
    <row r="563" spans="5:5">
      <c r="E563" s="31"/>
    </row>
    <row r="564" spans="5:5">
      <c r="E564" s="31"/>
    </row>
    <row r="565" spans="5:5">
      <c r="E565" s="31"/>
    </row>
    <row r="566" spans="5:5">
      <c r="E566" s="31"/>
    </row>
    <row r="567" spans="5:5">
      <c r="E567" s="31"/>
    </row>
    <row r="568" spans="5:5">
      <c r="E568" s="31"/>
    </row>
    <row r="569" spans="5:5">
      <c r="E569" s="31"/>
    </row>
    <row r="570" spans="5:5">
      <c r="E570" s="31"/>
    </row>
    <row r="571" spans="5:5">
      <c r="E571" s="31"/>
    </row>
    <row r="572" spans="5:5">
      <c r="E572" s="31"/>
    </row>
    <row r="573" spans="5:5">
      <c r="E573" s="31"/>
    </row>
    <row r="574" spans="5:5">
      <c r="E574" s="31"/>
    </row>
    <row r="575" spans="5:5">
      <c r="E575" s="31"/>
    </row>
    <row r="576" spans="5:5">
      <c r="E576" s="31"/>
    </row>
    <row r="577" spans="5:5">
      <c r="E577" s="31"/>
    </row>
    <row r="578" spans="5:5">
      <c r="E578" s="31"/>
    </row>
    <row r="579" spans="5:5">
      <c r="E579" s="31"/>
    </row>
    <row r="580" spans="5:5">
      <c r="E580" s="31"/>
    </row>
    <row r="581" spans="5:5">
      <c r="E581" s="31"/>
    </row>
    <row r="582" spans="5:5">
      <c r="E582" s="31"/>
    </row>
    <row r="583" spans="5:5">
      <c r="E583" s="31"/>
    </row>
    <row r="584" spans="5:5">
      <c r="E584" s="31"/>
    </row>
    <row r="585" spans="5:5">
      <c r="E585" s="31"/>
    </row>
    <row r="586" spans="5:5">
      <c r="E586" s="31"/>
    </row>
    <row r="587" spans="5:5">
      <c r="E587" s="31"/>
    </row>
    <row r="588" spans="5:5">
      <c r="E588" s="31"/>
    </row>
    <row r="589" spans="5:5">
      <c r="E589" s="31"/>
    </row>
    <row r="590" spans="5:5">
      <c r="E590" s="31"/>
    </row>
    <row r="591" spans="5:5">
      <c r="E591" s="31"/>
    </row>
    <row r="592" spans="5:5">
      <c r="E592" s="31"/>
    </row>
    <row r="593" spans="5:5">
      <c r="E593" s="31"/>
    </row>
    <row r="594" spans="5:5">
      <c r="E594" s="31"/>
    </row>
    <row r="595" spans="5:5">
      <c r="E595" s="31"/>
    </row>
    <row r="596" spans="5:5">
      <c r="E596" s="31"/>
    </row>
    <row r="597" spans="5:5">
      <c r="E597" s="31"/>
    </row>
    <row r="598" spans="5:5">
      <c r="E598" s="31"/>
    </row>
    <row r="599" spans="5:5">
      <c r="E599" s="31"/>
    </row>
    <row r="600" spans="5:5">
      <c r="E600" s="31"/>
    </row>
    <row r="601" spans="5:5">
      <c r="E601" s="31"/>
    </row>
    <row r="602" spans="5:5">
      <c r="E602" s="31"/>
    </row>
    <row r="603" spans="5:5">
      <c r="E603" s="31"/>
    </row>
    <row r="604" spans="5:5">
      <c r="E604" s="31"/>
    </row>
    <row r="605" spans="5:5">
      <c r="E605" s="31"/>
    </row>
    <row r="606" spans="5:5">
      <c r="E606" s="31"/>
    </row>
    <row r="607" spans="5:5">
      <c r="E607" s="31"/>
    </row>
    <row r="608" spans="5:5">
      <c r="E608" s="31"/>
    </row>
    <row r="609" spans="5:5">
      <c r="E609" s="31"/>
    </row>
    <row r="610" spans="5:5">
      <c r="E610" s="31"/>
    </row>
    <row r="611" spans="5:5">
      <c r="E611" s="31"/>
    </row>
    <row r="612" spans="5:5">
      <c r="E612" s="31"/>
    </row>
    <row r="613" spans="5:5">
      <c r="E613" s="31"/>
    </row>
    <row r="614" spans="5:5">
      <c r="E614" s="31"/>
    </row>
    <row r="615" spans="5:5">
      <c r="E615" s="31"/>
    </row>
    <row r="616" spans="5:5">
      <c r="E616" s="31"/>
    </row>
    <row r="617" spans="5:5">
      <c r="E617" s="31"/>
    </row>
    <row r="618" spans="5:5">
      <c r="E618" s="31"/>
    </row>
    <row r="619" spans="5:5">
      <c r="E619" s="31"/>
    </row>
    <row r="620" spans="5:5">
      <c r="E620" s="31"/>
    </row>
    <row r="621" spans="5:5">
      <c r="E621" s="31"/>
    </row>
    <row r="622" spans="5:5">
      <c r="E622" s="31"/>
    </row>
    <row r="623" spans="5:5">
      <c r="E623" s="31"/>
    </row>
    <row r="624" spans="5:5">
      <c r="E624" s="31"/>
    </row>
    <row r="625" spans="5:5">
      <c r="E625" s="31"/>
    </row>
    <row r="626" spans="5:5">
      <c r="E626" s="31"/>
    </row>
    <row r="627" spans="5:5">
      <c r="E627" s="31"/>
    </row>
    <row r="628" spans="5:5">
      <c r="E628" s="31"/>
    </row>
    <row r="629" spans="5:5">
      <c r="E629" s="31"/>
    </row>
    <row r="630" spans="5:5">
      <c r="E630" s="31"/>
    </row>
    <row r="631" spans="5:5">
      <c r="E631" s="31"/>
    </row>
    <row r="632" spans="5:5">
      <c r="E632" s="31"/>
    </row>
    <row r="633" spans="5:5">
      <c r="E633" s="31"/>
    </row>
    <row r="634" spans="5:5">
      <c r="E634" s="31"/>
    </row>
    <row r="635" spans="5:5">
      <c r="E635" s="31"/>
    </row>
  </sheetData>
  <sheetProtection password="C70A" sheet="1" autoFilter="0"/>
  <autoFilter ref="F15:G520"/>
  <mergeCells count="6">
    <mergeCell ref="E522:G525"/>
    <mergeCell ref="E6:G6"/>
    <mergeCell ref="E8:G8"/>
    <mergeCell ref="E10:G10"/>
    <mergeCell ref="E12:G12"/>
    <mergeCell ref="D11:H11"/>
  </mergeCells>
  <conditionalFormatting sqref="E6">
    <cfRule type="expression" dxfId="1" priority="2" stopIfTrue="1">
      <formula>"Seleccione impuesto"</formula>
    </cfRule>
  </conditionalFormatting>
  <conditionalFormatting sqref="E8:G8">
    <cfRule type="cellIs" dxfId="0" priority="1" stopIfTrue="1" operator="equal">
      <formula>"SELECCIONE RUBRO"</formula>
    </cfRule>
  </conditionalFormatting>
  <dataValidations count="2">
    <dataValidation allowBlank="1" showDropDown="1" showInputMessage="1" showErrorMessage="1" sqref="I16:I18 G15"/>
    <dataValidation type="list" allowBlank="1" showInputMessage="1" showErrorMessage="1" sqref="E8">
      <formula1>RUBRO_IMESI</formula1>
    </dataValidation>
  </dataValidations>
  <pageMargins left="0.75" right="0.75" top="1" bottom="1" header="0" footer="0"/>
  <pageSetup paperSize="9" scale="74" orientation="portrait" r:id="rId1"/>
  <headerFooter alignWithMargins="0"/>
  <ignoredErrors>
    <ignoredError sqref="F13 F508:F513 G508:G5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Recaudación</vt:lpstr>
      <vt:lpstr>Recaudación!Área_de_impresión</vt:lpstr>
      <vt:lpstr>Recaudación!Criterios</vt:lpstr>
      <vt:lpstr>RUBRO_IMESI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2016-06-23T14:06:44Z</cp:lastPrinted>
  <dcterms:created xsi:type="dcterms:W3CDTF">2010-01-29T12:14:18Z</dcterms:created>
  <dcterms:modified xsi:type="dcterms:W3CDTF">2024-03-21T13:04:54Z</dcterms:modified>
</cp:coreProperties>
</file>