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workbookProtection lockWindows="1"/>
  <bookViews>
    <workbookView xWindow="0" yWindow="0" windowWidth="28800" windowHeight="12210" tabRatio="577" firstSheet="1" activeTab="1"/>
  </bookViews>
  <sheets>
    <sheet name="Series" sheetId="1" state="veryHidden" r:id="rId1"/>
    <sheet name="Recaudación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Recaudación!$F$14:$G$522</definedName>
    <definedName name="_xlnm.Criteria" localSheetId="1">Recaudación!$F$15:$F$26</definedName>
    <definedName name="impuestos">Series!$C$1:$AO$1</definedName>
    <definedName name="inicioserie">Series!$C$2:$AO$2</definedName>
    <definedName name="lista">'[1]Hoja1 (2)'!$C$8:$AJ$8</definedName>
    <definedName name="notas">Series!$C$3:$AO$3</definedName>
  </definedNames>
  <calcPr calcId="125725"/>
</workbook>
</file>

<file path=xl/calcChain.xml><?xml version="1.0" encoding="utf-8"?>
<calcChain xmlns="http://schemas.openxmlformats.org/spreadsheetml/2006/main">
  <c r="G519" i="5"/>
  <c r="F519"/>
  <c r="G518"/>
  <c r="F518"/>
  <c r="G517"/>
  <c r="F517"/>
  <c r="G516"/>
  <c r="F516"/>
  <c r="G515"/>
  <c r="F515"/>
  <c r="G514"/>
  <c r="F514"/>
  <c r="G513"/>
  <c r="F513"/>
  <c r="G512"/>
  <c r="F512"/>
  <c r="AP484" i="1"/>
  <c r="AP485"/>
  <c r="AP486"/>
  <c r="AR486"/>
  <c r="AP487"/>
  <c r="AP488"/>
  <c r="AP489"/>
  <c r="AP483"/>
  <c r="G511" i="5"/>
  <c r="G510"/>
  <c r="G509"/>
  <c r="G508"/>
  <c r="G507"/>
  <c r="F507"/>
  <c r="F508"/>
  <c r="F509"/>
  <c r="F510"/>
  <c r="F511"/>
  <c r="AQ489" i="1"/>
  <c r="AR489"/>
  <c r="G506" i="5"/>
  <c r="G505"/>
  <c r="G504"/>
  <c r="G503"/>
  <c r="G502"/>
  <c r="G501"/>
  <c r="F501"/>
  <c r="F502"/>
  <c r="F503"/>
  <c r="F504"/>
  <c r="F505"/>
  <c r="F506"/>
  <c r="G500"/>
  <c r="G499"/>
  <c r="G498"/>
  <c r="G497"/>
  <c r="G496"/>
  <c r="G495"/>
  <c r="F500"/>
  <c r="F495"/>
  <c r="F496"/>
  <c r="F497"/>
  <c r="F498"/>
  <c r="F499"/>
  <c r="AQ484" i="1"/>
  <c r="AR484"/>
  <c r="AQ485"/>
  <c r="AR485"/>
  <c r="AQ486"/>
  <c r="AQ487"/>
  <c r="AR487"/>
  <c r="AQ488"/>
  <c r="AR488"/>
  <c r="G494" i="5"/>
  <c r="G493"/>
  <c r="G492"/>
  <c r="G491"/>
  <c r="F494"/>
  <c r="F491"/>
  <c r="F492"/>
  <c r="F493"/>
  <c r="AP482" i="1"/>
  <c r="AP481"/>
  <c r="AP480"/>
  <c r="AQ483"/>
  <c r="AR483"/>
  <c r="AQ482"/>
  <c r="AR482"/>
  <c r="AQ481"/>
  <c r="AR481"/>
  <c r="AQ480"/>
  <c r="AR480"/>
  <c r="G490" i="5"/>
  <c r="G489"/>
  <c r="G488"/>
  <c r="G487"/>
  <c r="F487"/>
  <c r="F488"/>
  <c r="F489"/>
  <c r="F490"/>
  <c r="AQ476" i="1"/>
  <c r="AQ477"/>
  <c r="AQ478"/>
  <c r="AQ479"/>
  <c r="AR479"/>
  <c r="AP479"/>
  <c r="AP478"/>
  <c r="AP477"/>
  <c r="AP476"/>
  <c r="G486" i="5"/>
  <c r="G485"/>
  <c r="G484"/>
  <c r="G483"/>
  <c r="F486"/>
  <c r="F483"/>
  <c r="F484"/>
  <c r="F485"/>
  <c r="AQ473" i="1"/>
  <c r="AQ474"/>
  <c r="AQ475"/>
  <c r="AR475"/>
  <c r="AP475"/>
  <c r="AP474"/>
  <c r="AP473"/>
  <c r="AQ472"/>
  <c r="AP472"/>
  <c r="AR472"/>
  <c r="G482" i="5"/>
  <c r="G481"/>
  <c r="F481"/>
  <c r="F482"/>
  <c r="AQ470" i="1"/>
  <c r="AR470"/>
  <c r="AQ471"/>
  <c r="AR471"/>
  <c r="AP471"/>
  <c r="AP470"/>
  <c r="G480" i="5"/>
  <c r="G479"/>
  <c r="G478"/>
  <c r="G477"/>
  <c r="G476"/>
  <c r="G475"/>
  <c r="F475"/>
  <c r="F476"/>
  <c r="F477"/>
  <c r="F478"/>
  <c r="F479"/>
  <c r="F480"/>
  <c r="AQ465" i="1"/>
  <c r="AQ466"/>
  <c r="AQ467"/>
  <c r="AQ468"/>
  <c r="AQ469"/>
  <c r="AP469"/>
  <c r="AP468"/>
  <c r="AP467"/>
  <c r="AR467"/>
  <c r="AP466"/>
  <c r="AR466"/>
  <c r="AP465"/>
  <c r="AR465"/>
  <c r="AP464"/>
  <c r="AP452"/>
  <c r="AP440"/>
  <c r="AP428"/>
  <c r="AQ464"/>
  <c r="AR464"/>
  <c r="G474" i="5"/>
  <c r="F474"/>
  <c r="AQ463" i="1"/>
  <c r="AR463"/>
  <c r="AP463"/>
  <c r="G473" i="5"/>
  <c r="G472"/>
  <c r="G471"/>
  <c r="F471"/>
  <c r="F472"/>
  <c r="F473"/>
  <c r="AQ460" i="1"/>
  <c r="AQ461"/>
  <c r="AQ462"/>
  <c r="AP462"/>
  <c r="AR462"/>
  <c r="AP461"/>
  <c r="AR461"/>
  <c r="AP460"/>
  <c r="AR460"/>
  <c r="AP431"/>
  <c r="AP432"/>
  <c r="AR432"/>
  <c r="AP433"/>
  <c r="AP434"/>
  <c r="AP443"/>
  <c r="AP444"/>
  <c r="AR444"/>
  <c r="AP445"/>
  <c r="AP446"/>
  <c r="AQ443"/>
  <c r="AR443"/>
  <c r="AP457"/>
  <c r="AP456"/>
  <c r="AP455"/>
  <c r="G470" i="5"/>
  <c r="F470"/>
  <c r="AP458" i="1"/>
  <c r="AQ421"/>
  <c r="AQ459"/>
  <c r="AR459"/>
  <c r="AP459"/>
  <c r="G469" i="5"/>
  <c r="G467"/>
  <c r="G468"/>
  <c r="F467"/>
  <c r="F468"/>
  <c r="F469"/>
  <c r="AQ456" i="1"/>
  <c r="AR456"/>
  <c r="AQ458"/>
  <c r="AR458"/>
  <c r="AQ457"/>
  <c r="AR457"/>
  <c r="G466" i="5"/>
  <c r="F466"/>
  <c r="AQ455" i="1"/>
  <c r="AR455"/>
  <c r="G465" i="5"/>
  <c r="G464"/>
  <c r="F464"/>
  <c r="F465"/>
  <c r="AP454" i="1"/>
  <c r="AR454"/>
  <c r="AP453"/>
  <c r="AP448"/>
  <c r="AP451"/>
  <c r="AR451"/>
  <c r="AP450"/>
  <c r="AP449"/>
  <c r="AQ453"/>
  <c r="AR453"/>
  <c r="AQ454"/>
  <c r="G463" i="5"/>
  <c r="F463"/>
  <c r="AQ452" i="1"/>
  <c r="AR452"/>
  <c r="G462" i="5"/>
  <c r="F462"/>
  <c r="AQ451" i="1"/>
  <c r="G461" i="5"/>
  <c r="F461"/>
  <c r="AQ450" i="1"/>
  <c r="AR450"/>
  <c r="G460" i="5"/>
  <c r="G459"/>
  <c r="G16"/>
  <c r="F459"/>
  <c r="F460"/>
  <c r="AQ449" i="1"/>
  <c r="AR449"/>
  <c r="AQ448"/>
  <c r="AR448"/>
  <c r="G458" i="5"/>
  <c r="F458"/>
  <c r="F457"/>
  <c r="AP447" i="1"/>
  <c r="AQ447"/>
  <c r="AR447"/>
  <c r="AQ446"/>
  <c r="AR446"/>
  <c r="G457" i="5"/>
  <c r="G456"/>
  <c r="F456"/>
  <c r="AQ445" i="1"/>
  <c r="AR445"/>
  <c r="G455" i="5"/>
  <c r="F455"/>
  <c r="AQ444" i="1"/>
  <c r="G454" i="5"/>
  <c r="F454"/>
  <c r="G453"/>
  <c r="F453"/>
  <c r="AP442" i="1"/>
  <c r="AR442"/>
  <c r="AQ442"/>
  <c r="G452" i="5"/>
  <c r="F452"/>
  <c r="AP441" i="1"/>
  <c r="AR441"/>
  <c r="AQ441"/>
  <c r="G451" i="5"/>
  <c r="F451"/>
  <c r="AQ440" i="1"/>
  <c r="AR440"/>
  <c r="G450" i="5"/>
  <c r="F450"/>
  <c r="AP439" i="1"/>
  <c r="AQ439"/>
  <c r="AR439"/>
  <c r="G449" i="5"/>
  <c r="F449"/>
  <c r="AP438" i="1"/>
  <c r="AQ438"/>
  <c r="AR438"/>
  <c r="G448" i="5"/>
  <c r="F448"/>
  <c r="AP437" i="1"/>
  <c r="AR437"/>
  <c r="AQ437"/>
  <c r="G447" i="5"/>
  <c r="F447"/>
  <c r="AP436" i="1"/>
  <c r="AR436"/>
  <c r="AQ436"/>
  <c r="AP435"/>
  <c r="AR435"/>
  <c r="AQ435"/>
  <c r="AQ434"/>
  <c r="AR434"/>
  <c r="AQ433"/>
  <c r="AR433"/>
  <c r="AQ432"/>
  <c r="K431"/>
  <c r="AQ431"/>
  <c r="AR431"/>
  <c r="AP430"/>
  <c r="K430"/>
  <c r="AQ430"/>
  <c r="AR430"/>
  <c r="AP427"/>
  <c r="AQ429"/>
  <c r="E10" i="5"/>
  <c r="F12"/>
  <c r="F15"/>
  <c r="G15"/>
  <c r="F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E522"/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E522"/>
  <c r="E550" s="1"/>
  <c r="A344"/>
  <c r="A345"/>
  <c r="A346"/>
  <c r="A347"/>
  <c r="A348"/>
  <c r="A349"/>
  <c r="A350"/>
  <c r="A351"/>
  <c r="AP412"/>
  <c r="AQ412"/>
  <c r="AR412"/>
  <c r="AP413"/>
  <c r="AR413"/>
  <c r="AQ413"/>
  <c r="AP414"/>
  <c r="AQ414"/>
  <c r="AR414"/>
  <c r="AP415"/>
  <c r="AQ415"/>
  <c r="AR415"/>
  <c r="AP416"/>
  <c r="AQ416"/>
  <c r="AR416"/>
  <c r="K417"/>
  <c r="AQ417"/>
  <c r="AR417"/>
  <c r="AP417"/>
  <c r="K418"/>
  <c r="AQ418"/>
  <c r="AR418"/>
  <c r="AP418"/>
  <c r="K419"/>
  <c r="AQ419"/>
  <c r="AR419"/>
  <c r="AP419"/>
  <c r="K420"/>
  <c r="AQ420"/>
  <c r="AR420"/>
  <c r="AP420"/>
  <c r="K421"/>
  <c r="AP421"/>
  <c r="AR421"/>
  <c r="K422"/>
  <c r="AQ422"/>
  <c r="AR422"/>
  <c r="AP422"/>
  <c r="K423"/>
  <c r="AQ423"/>
  <c r="AR423"/>
  <c r="AP423"/>
  <c r="K424"/>
  <c r="AQ424"/>
  <c r="AR424"/>
  <c r="AP424"/>
  <c r="K425"/>
  <c r="AQ425"/>
  <c r="AR425"/>
  <c r="AP425"/>
  <c r="K426"/>
  <c r="AQ426"/>
  <c r="AR426"/>
  <c r="AP426"/>
  <c r="K427"/>
  <c r="AQ427"/>
  <c r="AR427"/>
  <c r="K428"/>
  <c r="AQ428"/>
  <c r="AR428"/>
  <c r="AP429"/>
  <c r="AR429"/>
  <c r="AR469"/>
  <c r="AR468"/>
  <c r="AR473"/>
  <c r="AR476"/>
  <c r="AR478"/>
  <c r="AR477"/>
  <c r="AR474"/>
  <c r="D520"/>
  <c r="D548" s="1"/>
  <c r="D519"/>
  <c r="D547" s="1"/>
  <c r="E519"/>
  <c r="E547" s="1"/>
  <c r="E513"/>
  <c r="E541"/>
  <c r="D522"/>
  <c r="D550"/>
  <c r="F550" s="1"/>
  <c r="D518"/>
  <c r="D546"/>
  <c r="E520"/>
  <c r="E548" s="1"/>
  <c r="E517"/>
  <c r="E545" s="1"/>
  <c r="E518"/>
  <c r="E546" s="1"/>
  <c r="F546" s="1"/>
  <c r="D517"/>
  <c r="D545" s="1"/>
  <c r="D514"/>
  <c r="D542" s="1"/>
  <c r="E516"/>
  <c r="E544" s="1"/>
  <c r="D521"/>
  <c r="D549"/>
  <c r="D513"/>
  <c r="D541"/>
  <c r="F541" s="1"/>
  <c r="E515"/>
  <c r="E543" s="1"/>
  <c r="E514"/>
  <c r="E542" s="1"/>
  <c r="D516"/>
  <c r="D544" s="1"/>
  <c r="F544" s="1"/>
  <c r="E521"/>
  <c r="E549" s="1"/>
  <c r="D515"/>
  <c r="D543" s="1"/>
  <c r="F549" l="1"/>
  <c r="F542"/>
  <c r="F543"/>
  <c r="F548"/>
  <c r="F545"/>
  <c r="F547"/>
</calcChain>
</file>

<file path=xl/comments1.xml><?xml version="1.0" encoding="utf-8"?>
<comments xmlns="http://schemas.openxmlformats.org/spreadsheetml/2006/main">
  <authors>
    <author>1611</author>
    <author>0312</author>
  </authors>
  <commentList>
    <comment ref="K416" authorId="0">
      <text>
        <r>
          <rPr>
            <b/>
            <sz val="9"/>
            <color indexed="81"/>
            <rFont val="Tahoma"/>
            <family val="2"/>
          </rPr>
          <t>1611:</t>
        </r>
        <r>
          <rPr>
            <sz val="9"/>
            <color indexed="81"/>
            <rFont val="Tahoma"/>
            <family val="2"/>
          </rPr>
          <t xml:space="preserve">
se suman 
</t>
        </r>
      </text>
    </comment>
    <comment ref="Y424" authorId="1">
      <text>
        <r>
          <rPr>
            <b/>
            <sz val="9"/>
            <color indexed="81"/>
            <rFont val="Tahoma"/>
            <family val="2"/>
          </rPr>
          <t>Corregido último año. Se agregaron las de IRIC instantáneo!</t>
        </r>
      </text>
    </comment>
  </commentList>
</comments>
</file>

<file path=xl/sharedStrings.xml><?xml version="1.0" encoding="utf-8"?>
<sst xmlns="http://schemas.openxmlformats.org/spreadsheetml/2006/main" count="612" uniqueCount="90">
  <si>
    <t>Inicio serie</t>
  </si>
  <si>
    <t>Enero 1982 hasta el último dato disponible</t>
  </si>
  <si>
    <t>IMPUESTO A LOS INGRESOS DE LAS COMPAÑÍAS DE SEGUROS</t>
  </si>
  <si>
    <t>Enero 1990 hasta el último dato disponible</t>
  </si>
  <si>
    <t>IMPUESTO A LA COMPRA-VENTA DE BIENES EN REMATE PÚBLICO</t>
  </si>
  <si>
    <t>IMPUESTO A LAS VENTAS FORZADAS</t>
  </si>
  <si>
    <t>Enero 1994 hasta el último dato disponible</t>
  </si>
  <si>
    <t>IMPUESTO A LAS TRASMISIONES PATRIMONIALES - Adicional</t>
  </si>
  <si>
    <t>Enero 2000 hasta el último dato disponible</t>
  </si>
  <si>
    <t>Diciembre 2000 hasta el último dato disponible</t>
  </si>
  <si>
    <t>Abril 2002 hasta el último dato disponible</t>
  </si>
  <si>
    <t>Julio 2007 hasta el último dato disponible</t>
  </si>
  <si>
    <t>Diciembre 1985 hasta el último dato disponible</t>
  </si>
  <si>
    <t>Febrero 1991 hasta el último dato disponible</t>
  </si>
  <si>
    <t>IMPUESTO AL PATRIMONIO PERSONAS JURÍDICAS</t>
  </si>
  <si>
    <t>IMPUESTO AL PATRIMONIO PERSONAS FÍSICAS</t>
  </si>
  <si>
    <t>IMPUESTO AL PATRIMONIO DE LAS EXPLOTACIONES AGROPECUARIAS</t>
  </si>
  <si>
    <t>Setiembre 1996 hasta el último dato disponible</t>
  </si>
  <si>
    <t>IMPUESTO A LAS COMISIONES</t>
  </si>
  <si>
    <t>IMPUESTO A LAS TARJETAS DE CREDITO</t>
  </si>
  <si>
    <t>IMPUESTO A LA ENAJENACIÓN DE LOS BIENES AGROPECUARIOS - Adicional MEVIR</t>
  </si>
  <si>
    <t>IMPUESTO A LA ENAJENACIÓN DE LOS BIENES AGROPECUARIOS - Adicional INIA</t>
  </si>
  <si>
    <t>Enero 1995 hasta el último dato disponible</t>
  </si>
  <si>
    <t>Agosto 1990 hasta el último dato disponible</t>
  </si>
  <si>
    <t>IMPUESTO A LAS CESIONES DE DERECHOS SOBRE DEPORTISTAS</t>
  </si>
  <si>
    <t>Agosto 2001 hasta el último dato disponible</t>
  </si>
  <si>
    <t>IMPUESTO A LOS INGRESOS DE LOS ORGANIZADORES DE SORTEOS</t>
  </si>
  <si>
    <t>RECAUDACIÓN TOTAL DE LA DGI</t>
  </si>
  <si>
    <t xml:space="preserve">Recaudación mensual </t>
  </si>
  <si>
    <t>(en pesos corrientes)</t>
  </si>
  <si>
    <t>Año</t>
  </si>
  <si>
    <t>Mes</t>
  </si>
  <si>
    <t>Importe</t>
  </si>
  <si>
    <t>SELECCIONE IMPUESTO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</si>
  <si>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</si>
  <si>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</si>
  <si>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</si>
  <si>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</si>
  <si>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</si>
  <si>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</si>
  <si>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</si>
  <si>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</si>
  <si>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</si>
  <si>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</si>
  <si>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</si>
  <si>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</si>
  <si>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Notas</t>
  </si>
  <si>
    <t>IMPUESTO ESPECÍFICO A LOS SERVICIOS DE SALUD - IMESSA</t>
  </si>
  <si>
    <t>IMPUESTO ESPECÍFICO INTERNO - IMESI</t>
  </si>
  <si>
    <t>IMPUESTO A LA ENAJENACIÓN DE LOS BIENES AGROPECUARIOS - IMEBA</t>
  </si>
  <si>
    <t>IMPUESTO A LAS ACTIVIDADES AGROPECUARIAS - IMAGRO</t>
  </si>
  <si>
    <t>IMPUESTO A LOS ACTIVOS DE LAS EMPRESAS BANCARIAS - IMABA</t>
  </si>
  <si>
    <t>IMPUESTO DE CONTROL DEL SISTEMA FINANCIERO - ICOSIFI</t>
  </si>
  <si>
    <t>IMPUESTO DE CONTROL DE SOCIEDADES ANÓNIMAS - ICOSA</t>
  </si>
  <si>
    <t>IMPUESTO A LA COMPRA DE MONEDA EXTRANJERA - ICOME</t>
  </si>
  <si>
    <t>IMPUESTO DE CONTRIBUCION AL FINANCIAMIENTO DE LA SEGURIDAD SOCIAL - COFIS</t>
  </si>
  <si>
    <t>IMPUESTO PARA EL FONDO DE INSPECCIÓN SANITARIA - FIS</t>
  </si>
  <si>
    <t>IMPUESTO AL VALOR AGREGADO - IVA</t>
  </si>
  <si>
    <t>IMPUESTO A LAS TRASMISIONES PATRIMONIALES - ITP</t>
  </si>
  <si>
    <t>IMPUESTO A LAS TELECOMUNICACIONES - ITEL</t>
  </si>
  <si>
    <t>IMPUESTO A LAS SOCIEDAES FINANCIERAS DE INVERSIÓN - ISAFI</t>
  </si>
  <si>
    <t>IMPUESTO A LA RENTA DE LAS PERSONAS FÍSICAS  CATEGORÍA II - IRPF Cat II</t>
  </si>
  <si>
    <t>IMPUESTO A LAS RENTAS DE LOS NO RESIDENTES - IRNR</t>
  </si>
  <si>
    <t>IMPUESTO A LAS RENTAS DE LAS ACTIVIDADES ECONÓMICAS - IRAE</t>
  </si>
  <si>
    <t>IMPUESTO A LAS RENTAS AGROPECUARIAS - IRA</t>
  </si>
  <si>
    <t>IMPUESTO A LA RENTA DE LAS PERSONAS FÍSICAS  CATEGORÍA I - IRPF Cat I</t>
  </si>
  <si>
    <t>Julio 2008 hasta el último dato disponible</t>
  </si>
  <si>
    <t>IMPUESTO DE ASISTENCIA A LA SEGURIDAD SOCIAL - IASS</t>
  </si>
  <si>
    <t>SOBRETASA DEL IMPUESTO AL PATRIMONIO</t>
  </si>
  <si>
    <t>Octubre 2013 hasta el último dato disponible</t>
  </si>
  <si>
    <t>IMPUESTO A LAS RENTAS DE INDUSTRIA  COMERCIO - IRIC</t>
  </si>
  <si>
    <t>Mao 2001 hasta el último dato disponible</t>
  </si>
  <si>
    <t>Hasta julio 2007: IRIC lit. E art.33 T.4 T.O. 1996. Desde julio 2007: IVA Mínimo de contribuentes comprendidos en el lit. E art. 52 T.4 T.O. 1996.</t>
  </si>
  <si>
    <t>ma</t>
  </si>
  <si>
    <t>A partir de enero de 2008 inclue la recaudación por "IVA Mínimo" de contribuentes comprendidos en el lit.E art.52 T.4 T.O. 1996 (Peabueñas empresas)</t>
  </si>
  <si>
    <t>En 1982 la suma de los rubros del IMESI no coincide con el total del impuesto debido a abue en ese año varios de los mismos estaban agrupados  no se dispone actualmente de la información desagregada.</t>
  </si>
  <si>
    <t>Derogado por el Art. 1 de la 18.083 del 27-12-2006. Esta estadística recoge la información sobre recaudación con un criterio de caja, por lo abue pueden existir valores para fechas posteriores a su derogación, originados en el cobro de obligaciones tributarias generadas durante la vigencia del impuesto  abue son canceladas en la fecha registrada en esta serie.</t>
  </si>
  <si>
    <t>Fecha</t>
  </si>
  <si>
    <t>set</t>
  </si>
  <si>
    <t>IMPUESTO A LA PEQUEÑA EMPRESA (IVA Mínimo)</t>
  </si>
  <si>
    <t>Setiembre 2015 hasta el último dato disponible</t>
  </si>
  <si>
    <t>IRAE</t>
  </si>
  <si>
    <t>IRIC</t>
  </si>
  <si>
    <t>Viejo</t>
  </si>
  <si>
    <t>El viejo de 2016 tomó sólo al IRIC y no todos los otros IRIC pequeños</t>
  </si>
  <si>
    <t>IMPUESTO DE ENSEÑANZA PRIMARIA</t>
  </si>
  <si>
    <t>CONTROLES</t>
  </si>
  <si>
    <t>Oct</t>
  </si>
  <si>
    <t>Nov</t>
  </si>
  <si>
    <t>Dic</t>
  </si>
</sst>
</file>

<file path=xl/styles.xml><?xml version="1.0" encoding="utf-8"?>
<styleSheet xmlns="http://schemas.openxmlformats.org/spreadsheetml/2006/main">
  <numFmts count="3">
    <numFmt numFmtId="187" formatCode="_ * #,##0.00_ ;_ * \-#,##0.00_ ;_ * &quot;-&quot;??_ ;_ @_ "/>
    <numFmt numFmtId="215" formatCode="mmm\-yyyy"/>
    <numFmt numFmtId="220" formatCode="_ * #,##0_ ;_ * \-#,##0_ ;_ * &quot;-&quot;??_ ;_ @_ "/>
  </numFmts>
  <fonts count="17">
    <font>
      <sz val="10"/>
      <name val="Arial"/>
    </font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sz val="10"/>
      <color indexed="5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37" fontId="2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" fontId="5" fillId="0" borderId="0" xfId="0" applyNumberFormat="1" applyFont="1" applyFill="1"/>
    <xf numFmtId="3" fontId="5" fillId="0" borderId="0" xfId="0" applyNumberFormat="1" applyFont="1" applyFill="1"/>
    <xf numFmtId="0" fontId="0" fillId="0" borderId="0" xfId="0" applyFill="1"/>
    <xf numFmtId="37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5" fillId="0" borderId="0" xfId="2" applyNumberFormat="1" applyFont="1" applyFill="1" applyProtection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5" fillId="0" borderId="0" xfId="2" applyNumberFormat="1" applyFont="1" applyFill="1" applyAlignment="1" applyProtection="1">
      <alignment horizontal="right"/>
    </xf>
    <xf numFmtId="3" fontId="5" fillId="0" borderId="0" xfId="0" applyNumberFormat="1" applyFont="1" applyFill="1" applyAlignment="1"/>
    <xf numFmtId="3" fontId="5" fillId="0" borderId="0" xfId="0" applyNumberFormat="1" applyFont="1" applyFill="1" applyAlignment="1" applyProtection="1">
      <alignment horizontal="right"/>
    </xf>
    <xf numFmtId="3" fontId="5" fillId="0" borderId="0" xfId="2" applyNumberFormat="1" applyFont="1" applyFill="1" applyAlignment="1" applyProtection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0" fontId="12" fillId="2" borderId="0" xfId="0" applyFont="1" applyFill="1" applyBorder="1" applyAlignment="1" applyProtection="1">
      <alignment horizontal="center"/>
      <protection locked="0" hidden="1"/>
    </xf>
    <xf numFmtId="0" fontId="12" fillId="2" borderId="0" xfId="0" applyFont="1" applyFill="1" applyBorder="1" applyAlignment="1" applyProtection="1">
      <alignment horizontal="center" vertical="center" wrapText="1"/>
      <protection locked="0" hidden="1"/>
    </xf>
    <xf numFmtId="3" fontId="11" fillId="0" borderId="0" xfId="0" applyNumberFormat="1" applyFont="1" applyProtection="1">
      <protection locked="0" hidden="1"/>
    </xf>
    <xf numFmtId="0" fontId="0" fillId="2" borderId="0" xfId="0" applyFill="1" applyProtection="1">
      <protection locked="0" hidden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7" fontId="0" fillId="0" borderId="0" xfId="0" applyNumberFormat="1" applyFill="1"/>
    <xf numFmtId="3" fontId="0" fillId="0" borderId="0" xfId="0" applyNumberFormat="1" applyFill="1"/>
    <xf numFmtId="0" fontId="11" fillId="0" borderId="0" xfId="0" applyFont="1" applyProtection="1">
      <protection locked="0" hidden="1"/>
    </xf>
    <xf numFmtId="3" fontId="11" fillId="0" borderId="0" xfId="0" applyNumberFormat="1" applyFont="1" applyAlignment="1" applyProtection="1">
      <alignment horizontal="right"/>
      <protection locked="0" hidden="1"/>
    </xf>
    <xf numFmtId="0" fontId="13" fillId="0" borderId="0" xfId="0" applyFont="1" applyFill="1" applyAlignment="1" applyProtection="1">
      <alignment horizontal="left"/>
      <protection locked="0" hidden="1"/>
    </xf>
    <xf numFmtId="0" fontId="14" fillId="0" borderId="0" xfId="0" applyFont="1" applyProtection="1">
      <protection locked="0" hidden="1"/>
    </xf>
    <xf numFmtId="3" fontId="5" fillId="4" borderId="0" xfId="0" applyNumberFormat="1" applyFont="1" applyFill="1"/>
    <xf numFmtId="37" fontId="5" fillId="4" borderId="0" xfId="0" applyNumberFormat="1" applyFont="1" applyFill="1" applyBorder="1" applyProtection="1"/>
    <xf numFmtId="0" fontId="0" fillId="4" borderId="0" xfId="0" applyFill="1"/>
    <xf numFmtId="17" fontId="5" fillId="4" borderId="0" xfId="0" applyNumberFormat="1" applyFont="1" applyFill="1"/>
    <xf numFmtId="3" fontId="5" fillId="4" borderId="0" xfId="2" applyNumberFormat="1" applyFont="1" applyFill="1" applyProtection="1"/>
    <xf numFmtId="3" fontId="5" fillId="4" borderId="0" xfId="0" applyNumberFormat="1" applyFont="1" applyFill="1" applyAlignment="1" applyProtection="1">
      <alignment horizontal="right"/>
    </xf>
    <xf numFmtId="37" fontId="0" fillId="4" borderId="0" xfId="0" applyNumberFormat="1" applyFill="1"/>
    <xf numFmtId="0" fontId="0" fillId="5" borderId="0" xfId="0" applyFill="1"/>
    <xf numFmtId="17" fontId="5" fillId="5" borderId="0" xfId="0" applyNumberFormat="1" applyFont="1" applyFill="1"/>
    <xf numFmtId="3" fontId="5" fillId="5" borderId="0" xfId="0" applyNumberFormat="1" applyFont="1" applyFill="1"/>
    <xf numFmtId="3" fontId="5" fillId="5" borderId="0" xfId="2" applyNumberFormat="1" applyFont="1" applyFill="1" applyProtection="1"/>
    <xf numFmtId="3" fontId="5" fillId="5" borderId="0" xfId="2" applyNumberFormat="1" applyFont="1" applyFill="1" applyAlignment="1" applyProtection="1"/>
    <xf numFmtId="3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/>
    <xf numFmtId="0" fontId="3" fillId="0" borderId="0" xfId="0" applyFont="1" applyFill="1"/>
    <xf numFmtId="3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Protection="1"/>
    <xf numFmtId="3" fontId="6" fillId="0" borderId="0" xfId="3" applyNumberFormat="1" applyFont="1" applyFill="1" applyAlignment="1">
      <alignment horizontal="center"/>
    </xf>
    <xf numFmtId="3" fontId="7" fillId="0" borderId="0" xfId="2" applyNumberFormat="1" applyFont="1" applyFill="1" applyProtection="1"/>
    <xf numFmtId="3" fontId="0" fillId="5" borderId="0" xfId="0" applyNumberFormat="1" applyFill="1"/>
    <xf numFmtId="3" fontId="5" fillId="5" borderId="0" xfId="0" applyNumberFormat="1" applyFont="1" applyFill="1" applyBorder="1" applyProtection="1"/>
    <xf numFmtId="3" fontId="5" fillId="4" borderId="0" xfId="0" applyNumberFormat="1" applyFont="1" applyFill="1" applyBorder="1" applyProtection="1"/>
    <xf numFmtId="3" fontId="5" fillId="4" borderId="0" xfId="0" applyNumberFormat="1" applyFont="1" applyFill="1" applyBorder="1"/>
    <xf numFmtId="3" fontId="5" fillId="0" borderId="0" xfId="0" applyNumberFormat="1" applyFont="1" applyFill="1" applyBorder="1"/>
    <xf numFmtId="0" fontId="3" fillId="4" borderId="0" xfId="0" applyFont="1" applyFill="1"/>
    <xf numFmtId="3" fontId="3" fillId="0" borderId="0" xfId="0" applyNumberFormat="1" applyFont="1" applyFill="1"/>
    <xf numFmtId="37" fontId="3" fillId="0" borderId="0" xfId="0" applyNumberFormat="1" applyFont="1" applyFill="1"/>
    <xf numFmtId="3" fontId="5" fillId="6" borderId="0" xfId="0" applyNumberFormat="1" applyFont="1" applyFill="1"/>
    <xf numFmtId="3" fontId="5" fillId="6" borderId="0" xfId="2" applyNumberFormat="1" applyFont="1" applyFill="1" applyProtection="1"/>
    <xf numFmtId="3" fontId="3" fillId="4" borderId="0" xfId="0" applyNumberFormat="1" applyFont="1" applyFill="1"/>
    <xf numFmtId="3" fontId="5" fillId="7" borderId="0" xfId="0" applyNumberFormat="1" applyFont="1" applyFill="1"/>
    <xf numFmtId="3" fontId="5" fillId="8" borderId="0" xfId="0" applyNumberFormat="1" applyFont="1" applyFill="1"/>
    <xf numFmtId="215" fontId="11" fillId="0" borderId="0" xfId="0" applyNumberFormat="1" applyFont="1" applyAlignment="1" applyProtection="1">
      <alignment horizontal="center"/>
      <protection locked="0" hidden="1"/>
    </xf>
    <xf numFmtId="0" fontId="3" fillId="9" borderId="0" xfId="0" applyFont="1" applyFill="1"/>
    <xf numFmtId="17" fontId="5" fillId="9" borderId="0" xfId="0" applyNumberFormat="1" applyFont="1" applyFill="1"/>
    <xf numFmtId="3" fontId="5" fillId="9" borderId="0" xfId="0" applyNumberFormat="1" applyFont="1" applyFill="1"/>
    <xf numFmtId="3" fontId="5" fillId="9" borderId="0" xfId="2" applyNumberFormat="1" applyFont="1" applyFill="1" applyProtection="1"/>
    <xf numFmtId="37" fontId="5" fillId="9" borderId="0" xfId="0" applyNumberFormat="1" applyFont="1" applyFill="1" applyBorder="1" applyProtection="1"/>
    <xf numFmtId="37" fontId="3" fillId="9" borderId="0" xfId="0" applyNumberFormat="1" applyFont="1" applyFill="1"/>
    <xf numFmtId="3" fontId="3" fillId="9" borderId="0" xfId="0" applyNumberFormat="1" applyFont="1" applyFill="1"/>
    <xf numFmtId="3" fontId="5" fillId="10" borderId="0" xfId="0" applyNumberFormat="1" applyFont="1" applyFill="1"/>
    <xf numFmtId="0" fontId="5" fillId="11" borderId="1" xfId="0" applyFont="1" applyFill="1" applyBorder="1" applyAlignment="1">
      <alignment horizontal="center" vertical="center" wrapText="1"/>
    </xf>
    <xf numFmtId="220" fontId="0" fillId="0" borderId="0" xfId="0" applyNumberFormat="1" applyFill="1"/>
    <xf numFmtId="220" fontId="3" fillId="0" borderId="0" xfId="1" applyNumberFormat="1" applyFont="1" applyFill="1"/>
    <xf numFmtId="220" fontId="3" fillId="0" borderId="0" xfId="0" applyNumberFormat="1" applyFont="1" applyFill="1"/>
    <xf numFmtId="0" fontId="3" fillId="0" borderId="3" xfId="0" applyFont="1" applyFill="1" applyBorder="1"/>
    <xf numFmtId="17" fontId="5" fillId="0" borderId="3" xfId="0" applyNumberFormat="1" applyFont="1" applyFill="1" applyBorder="1"/>
    <xf numFmtId="3" fontId="5" fillId="0" borderId="3" xfId="0" applyNumberFormat="1" applyFont="1" applyFill="1" applyBorder="1"/>
    <xf numFmtId="3" fontId="5" fillId="0" borderId="3" xfId="2" applyNumberFormat="1" applyFont="1" applyFill="1" applyBorder="1" applyProtection="1"/>
    <xf numFmtId="37" fontId="5" fillId="0" borderId="3" xfId="0" applyNumberFormat="1" applyFont="1" applyFill="1" applyBorder="1" applyProtection="1"/>
    <xf numFmtId="37" fontId="3" fillId="0" borderId="3" xfId="0" applyNumberFormat="1" applyFont="1" applyFill="1" applyBorder="1"/>
    <xf numFmtId="3" fontId="3" fillId="0" borderId="3" xfId="0" applyNumberFormat="1" applyFont="1" applyFill="1" applyBorder="1"/>
    <xf numFmtId="0" fontId="5" fillId="1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 hidden="1"/>
    </xf>
    <xf numFmtId="0" fontId="10" fillId="0" borderId="6" xfId="0" applyFont="1" applyBorder="1" applyAlignment="1" applyProtection="1">
      <alignment horizontal="center" vertical="center" wrapText="1"/>
      <protection locked="0" hidden="1"/>
    </xf>
    <xf numFmtId="0" fontId="10" fillId="0" borderId="7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</cellXfs>
  <cellStyles count="4">
    <cellStyle name="Millares" xfId="1" builtinId="3"/>
    <cellStyle name="Normal" xfId="0" builtinId="0"/>
    <cellStyle name="Normal_Hoja1" xfId="2"/>
    <cellStyle name="Porcentual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142875</xdr:rowOff>
    </xdr:from>
    <xdr:to>
      <xdr:col>7</xdr:col>
      <xdr:colOff>523875</xdr:colOff>
      <xdr:row>4</xdr:row>
      <xdr:rowOff>19050</xdr:rowOff>
    </xdr:to>
    <xdr:pic>
      <xdr:nvPicPr>
        <xdr:cNvPr id="6459" name="2 Imagen" descr="Logo_DGI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142875"/>
          <a:ext cx="2505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102\Asesoria%20Economica\Archivos%20Excel\PUBLICACION%20WEB\Series\Series%20Mensuales\nuevo%20dise&#241;o%20todos%20los%20impues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0.147\Estudios_Economicos\Victoria\Archivos%20Excel\CUENTA%20MENSUAL%20DE%20RECAUDACION\CUENTA%202022\-%20Cuenta%20mensual%20de%20recaudaci&#243;n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102\Asesoria%20Economica\Asesoria%20Economica\Archivos%20Excel\CUENTA%20MENSUAL%20DE%20RECAUDACION\CUENTA%202016\-%20Cuenta%20mensual%20de%20recaudaci&#243;n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102\Asesoria%20Economica\Archivos%20Excel\CUENTA%20MENSUAL%20DE%20RECAUDACION\CUENTA%202017\-%20Cuenta%20mensual%20de%20recaudaci&#243;n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245\Asesoria%20Economica\Archivos%20Excel\CUENTA%20MENSUAL%20DE%20RECAUDACION\CUENTA%202017\-%20Cuenta%20mensual%20de%20recaudaci&#243;n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245\Asesoria%20Economica\Archivos%20Excel\CUENTA%20MENSUAL%20DE%20RECAUDACION\CUENTA%202018\-%20Cuenta%20mensual%20de%20recaudaci&#243;n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245\Asesoria%20Economica\Archivos%20Excel\CUENTA%20MENSUAL%20DE%20RECAUDACION\CUENTA%202019\-%20Cuenta%20mensual%20de%20recaudaci&#243;n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245\Asesoria%20Economica\Archivos%20Excel\CUENTA%20MENSUAL%20DE%20RECAUDACION\CUENTA%202020\-%20Cuenta%20mensual%20de%20recaudaci&#243;n%202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245\Asesoria%20Economica\Archivos%20Excel\CUENTA%20MENSUAL%20DE%20RECAUDACION\CUENTA%202021\-%20Cuenta%20mensual%20de%20recaudaci&#243;n%20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0.147\Estudios_Economicos\Victoria\Archivos%20Excel\CUENTA%20MENSUAL%20DE%20RECAUDACION\CUENTA%202021\-%20Cuenta%20mensual%20de%20recaudaci&#243;n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3"/>
    </sheetNames>
    <sheetDataSet>
      <sheetData sheetId="0" refreshError="1"/>
      <sheetData sheetId="1">
        <row r="8">
          <cell r="C8" t="str">
            <v>Seleccione impuesto</v>
          </cell>
          <cell r="D8" t="str">
            <v>Cesiones o permutas derechos deportistas</v>
          </cell>
          <cell r="E8" t="str">
            <v>Ingresos de los organizadores de sorteos</v>
          </cell>
          <cell r="F8" t="str">
            <v>Contribución de financiamiento a la Seguridad Social - COFIS</v>
          </cell>
          <cell r="G8" t="str">
            <v>Comisiones</v>
          </cell>
          <cell r="H8" t="str">
            <v>Fondo de Inspección Sanitaria - FIS</v>
          </cell>
          <cell r="I8" t="str">
            <v>Compra de Moneda Extranjera- ICOME</v>
          </cell>
          <cell r="J8" t="str">
            <v>Control de  Sociedades Anónimas - ICOSA</v>
          </cell>
          <cell r="K8" t="str">
            <v>Control del Sistema Financiero - ICOSIFI</v>
          </cell>
          <cell r="L8" t="str">
            <v>Activos Bancarios - IMABA</v>
          </cell>
          <cell r="M8" t="str">
            <v>Actividades Agropecuarias - IMAGRO</v>
          </cell>
          <cell r="N8" t="str">
            <v>Enajenación de Bienes Agropecuarios - IMEBA</v>
          </cell>
          <cell r="O8" t="str">
            <v>Adicional MEVIR  - IMEBA</v>
          </cell>
          <cell r="P8" t="str">
            <v>Adicional INIA - IMEBA</v>
          </cell>
          <cell r="Q8" t="str">
            <v>Específico Interno - IMESI</v>
          </cell>
          <cell r="R8" t="str">
            <v>Específico a los Servicios de Salud - IMESSA</v>
          </cell>
          <cell r="S8" t="str">
            <v>Pequeñas Empresas - IPEQUE</v>
          </cell>
          <cell r="T8" t="str">
            <v>Rentas Agropecuarias - IRA</v>
          </cell>
          <cell r="U8" t="str">
            <v>Renta de Industria y Comercio - IRIC</v>
          </cell>
          <cell r="V8" t="str">
            <v>Telecomunicaciones - ITEL</v>
          </cell>
          <cell r="W8" t="str">
            <v>Transmisiones Patrimoniales - ITP</v>
          </cell>
          <cell r="X8" t="str">
            <v>Transmisiones Patrimoniales Adicional - Adicional ITP</v>
          </cell>
          <cell r="Y8" t="str">
            <v>Valor Agregado - IVA</v>
          </cell>
          <cell r="Z8" t="str">
            <v>Ventas Forzadas - IVF</v>
          </cell>
          <cell r="AA8" t="str">
            <v>Patrimonio Persona Física - IP Persona Física</v>
          </cell>
          <cell r="AB8" t="str">
            <v>Patrimonio Persona Jurídica - IP Persona Jurídica</v>
          </cell>
          <cell r="AC8" t="str">
            <v>Compra Venta de Bienes en Remate Público</v>
          </cell>
          <cell r="AD8" t="str">
            <v>Sociedades Financieras de Inversión -  ISAFI</v>
          </cell>
          <cell r="AE8" t="str">
            <v>Ingresos de las Compañías Aseguradoras</v>
          </cell>
          <cell r="AF8" t="str">
            <v>Tarjetas de Crédito</v>
          </cell>
          <cell r="AG8" t="str">
            <v>IRAE</v>
          </cell>
          <cell r="AH8" t="str">
            <v>IRPF - Categoría I</v>
          </cell>
          <cell r="AI8" t="str">
            <v>IRPF - Categoría II</v>
          </cell>
          <cell r="AJ8" t="str">
            <v>IRNR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enta2016"/>
      <sheetName val="DOCS2016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uenta2017"/>
      <sheetName val="DOCS2017"/>
    </sheetNames>
    <sheetDataSet>
      <sheetData sheetId="0" refreshError="1">
        <row r="7">
          <cell r="R7">
            <v>26609939939</v>
          </cell>
          <cell r="S7">
            <v>29425791006</v>
          </cell>
          <cell r="AB7">
            <v>0</v>
          </cell>
        </row>
        <row r="108">
          <cell r="R108">
            <v>2660175</v>
          </cell>
          <cell r="S108">
            <v>4205070</v>
          </cell>
          <cell r="AB108">
            <v>0</v>
          </cell>
        </row>
        <row r="123">
          <cell r="AB123">
            <v>0</v>
          </cell>
        </row>
        <row r="136">
          <cell r="S136">
            <v>3212</v>
          </cell>
          <cell r="AB136">
            <v>0</v>
          </cell>
        </row>
        <row r="139">
          <cell r="R139">
            <v>241237</v>
          </cell>
          <cell r="S139">
            <v>97673</v>
          </cell>
          <cell r="AB139">
            <v>0</v>
          </cell>
        </row>
        <row r="140">
          <cell r="R140">
            <v>107367</v>
          </cell>
          <cell r="S140">
            <v>152996</v>
          </cell>
          <cell r="AB140">
            <v>0</v>
          </cell>
        </row>
        <row r="143">
          <cell r="R143">
            <v>59643388</v>
          </cell>
          <cell r="S143">
            <v>73920961</v>
          </cell>
          <cell r="AB143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uenta2017"/>
      <sheetName val="DOCS2017"/>
    </sheetNames>
    <sheetDataSet>
      <sheetData sheetId="0">
        <row r="7">
          <cell r="T7">
            <v>31100650441</v>
          </cell>
          <cell r="U7">
            <v>30883958389</v>
          </cell>
          <cell r="V7">
            <v>26705400180</v>
          </cell>
          <cell r="W7">
            <v>27830974235</v>
          </cell>
          <cell r="X7">
            <v>28922969735</v>
          </cell>
          <cell r="Y7">
            <v>28852455020</v>
          </cell>
          <cell r="Z7">
            <v>29526826360</v>
          </cell>
          <cell r="AA7">
            <v>30764462107</v>
          </cell>
          <cell r="AB7">
            <v>31097896854</v>
          </cell>
        </row>
        <row r="108">
          <cell r="U108">
            <v>5327441</v>
          </cell>
          <cell r="V108">
            <v>6265887</v>
          </cell>
          <cell r="W108">
            <v>4397161</v>
          </cell>
          <cell r="X108">
            <v>5369757</v>
          </cell>
          <cell r="Y108">
            <v>4649242</v>
          </cell>
          <cell r="Z108">
            <v>6945760</v>
          </cell>
          <cell r="AA108">
            <v>5673691</v>
          </cell>
          <cell r="AB108">
            <v>4541060</v>
          </cell>
        </row>
        <row r="110">
          <cell r="T110">
            <v>2853149</v>
          </cell>
        </row>
        <row r="125">
          <cell r="T125">
            <v>0</v>
          </cell>
          <cell r="U125">
            <v>0</v>
          </cell>
          <cell r="V125">
            <v>0</v>
          </cell>
          <cell r="X125">
            <v>3730</v>
          </cell>
          <cell r="Y125">
            <v>542</v>
          </cell>
          <cell r="Z125">
            <v>0</v>
          </cell>
          <cell r="AA125">
            <v>0</v>
          </cell>
          <cell r="AB125">
            <v>172</v>
          </cell>
        </row>
        <row r="138">
          <cell r="T138">
            <v>18568</v>
          </cell>
          <cell r="U138">
            <v>3210</v>
          </cell>
          <cell r="V138">
            <v>9630</v>
          </cell>
          <cell r="X138">
            <v>7233</v>
          </cell>
          <cell r="Y138">
            <v>3210</v>
          </cell>
          <cell r="Z138">
            <v>3210</v>
          </cell>
          <cell r="AA138">
            <v>3210</v>
          </cell>
          <cell r="AB138">
            <v>3209</v>
          </cell>
        </row>
        <row r="142">
          <cell r="T142">
            <v>166255</v>
          </cell>
          <cell r="U142">
            <v>134895</v>
          </cell>
          <cell r="V142">
            <v>191879</v>
          </cell>
          <cell r="W142">
            <v>145185</v>
          </cell>
          <cell r="X142">
            <v>301169</v>
          </cell>
          <cell r="Y142">
            <v>319587</v>
          </cell>
          <cell r="Z142">
            <v>55471</v>
          </cell>
          <cell r="AA142">
            <v>192134</v>
          </cell>
          <cell r="AB142">
            <v>138154</v>
          </cell>
        </row>
        <row r="143">
          <cell r="T143">
            <v>152196</v>
          </cell>
          <cell r="U143">
            <v>238383</v>
          </cell>
          <cell r="V143">
            <v>185131</v>
          </cell>
          <cell r="W143">
            <v>147565</v>
          </cell>
          <cell r="X143">
            <v>145857</v>
          </cell>
          <cell r="Y143">
            <v>146655</v>
          </cell>
          <cell r="Z143">
            <v>199583</v>
          </cell>
          <cell r="AA143">
            <v>370247</v>
          </cell>
          <cell r="AB143">
            <v>137474</v>
          </cell>
        </row>
        <row r="144">
          <cell r="U144">
            <v>0</v>
          </cell>
        </row>
        <row r="146">
          <cell r="T146">
            <v>48519934</v>
          </cell>
          <cell r="U146">
            <v>64880330</v>
          </cell>
          <cell r="V146">
            <v>87453732</v>
          </cell>
          <cell r="W146">
            <v>88999566</v>
          </cell>
          <cell r="X146">
            <v>99642059</v>
          </cell>
          <cell r="Y146">
            <v>71003141</v>
          </cell>
          <cell r="Z146">
            <v>89450715</v>
          </cell>
          <cell r="AA146">
            <v>98578601</v>
          </cell>
          <cell r="AB146">
            <v>72339583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uenta2018"/>
      <sheetName val="DOCS2018"/>
    </sheetNames>
    <sheetDataSet>
      <sheetData sheetId="0">
        <row r="9">
          <cell r="Q9">
            <v>33780480683</v>
          </cell>
          <cell r="R9">
            <v>29380247137</v>
          </cell>
          <cell r="S9">
            <v>29559975504</v>
          </cell>
          <cell r="T9">
            <v>35561129315</v>
          </cell>
          <cell r="U9">
            <v>32779017054</v>
          </cell>
          <cell r="V9">
            <v>30366711204</v>
          </cell>
          <cell r="W9">
            <v>31274835280</v>
          </cell>
          <cell r="X9">
            <v>31602947241</v>
          </cell>
          <cell r="Y9">
            <v>30721130620</v>
          </cell>
          <cell r="Z9">
            <v>33461230798</v>
          </cell>
          <cell r="AA9">
            <v>32203691397</v>
          </cell>
          <cell r="AB9">
            <v>32165080307</v>
          </cell>
        </row>
        <row r="59">
          <cell r="Q59">
            <v>45559139</v>
          </cell>
          <cell r="R59">
            <v>29915429</v>
          </cell>
          <cell r="S59">
            <v>28929387</v>
          </cell>
          <cell r="T59">
            <v>192843281</v>
          </cell>
          <cell r="U59">
            <v>692590977</v>
          </cell>
          <cell r="V59">
            <v>495600197</v>
          </cell>
          <cell r="W59">
            <v>44516882</v>
          </cell>
          <cell r="X59">
            <v>65126576</v>
          </cell>
          <cell r="Y59">
            <v>436487988</v>
          </cell>
          <cell r="Z59">
            <v>262895887</v>
          </cell>
          <cell r="AA59">
            <v>390621558</v>
          </cell>
        </row>
        <row r="112">
          <cell r="Q112">
            <v>8001548</v>
          </cell>
          <cell r="R112">
            <v>4575231</v>
          </cell>
          <cell r="S112">
            <v>7832559</v>
          </cell>
          <cell r="T112">
            <v>7486293</v>
          </cell>
          <cell r="U112">
            <v>6274636</v>
          </cell>
          <cell r="V112">
            <v>7484793</v>
          </cell>
          <cell r="W112">
            <v>4336221</v>
          </cell>
          <cell r="X112">
            <v>4100516</v>
          </cell>
          <cell r="Y112">
            <v>2935993</v>
          </cell>
          <cell r="Z112">
            <v>4634302</v>
          </cell>
          <cell r="AA112">
            <v>4032246</v>
          </cell>
          <cell r="AB112">
            <v>3964805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1084</v>
          </cell>
          <cell r="V129">
            <v>0</v>
          </cell>
          <cell r="W129">
            <v>542</v>
          </cell>
          <cell r="X129">
            <v>0</v>
          </cell>
          <cell r="Y129">
            <v>271</v>
          </cell>
          <cell r="Z129">
            <v>37</v>
          </cell>
          <cell r="AA129">
            <v>0</v>
          </cell>
          <cell r="AB129">
            <v>0</v>
          </cell>
        </row>
        <row r="142">
          <cell r="Q142">
            <v>6424</v>
          </cell>
          <cell r="R142">
            <v>0</v>
          </cell>
          <cell r="S142">
            <v>3400</v>
          </cell>
          <cell r="T142">
            <v>4528</v>
          </cell>
          <cell r="U142">
            <v>3211</v>
          </cell>
          <cell r="V142">
            <v>11148</v>
          </cell>
          <cell r="W142">
            <v>0</v>
          </cell>
          <cell r="X142">
            <v>15285</v>
          </cell>
          <cell r="Y142">
            <v>0</v>
          </cell>
          <cell r="Z142">
            <v>3212</v>
          </cell>
          <cell r="AA142">
            <v>6421</v>
          </cell>
          <cell r="AB142">
            <v>0</v>
          </cell>
        </row>
        <row r="146">
          <cell r="Q146">
            <v>134987</v>
          </cell>
          <cell r="R146">
            <v>49295</v>
          </cell>
          <cell r="S146">
            <v>139022</v>
          </cell>
          <cell r="T146">
            <v>153088</v>
          </cell>
          <cell r="U146">
            <v>119017</v>
          </cell>
          <cell r="V146">
            <v>260842</v>
          </cell>
          <cell r="W146">
            <v>171129</v>
          </cell>
          <cell r="X146">
            <v>169595</v>
          </cell>
          <cell r="Y146">
            <v>261742</v>
          </cell>
          <cell r="Z146">
            <v>266219</v>
          </cell>
          <cell r="AA146">
            <v>188718</v>
          </cell>
          <cell r="AB146">
            <v>117979</v>
          </cell>
        </row>
        <row r="147">
          <cell r="Q147">
            <v>3260573</v>
          </cell>
          <cell r="R147">
            <v>3339540</v>
          </cell>
          <cell r="S147">
            <v>4106699</v>
          </cell>
          <cell r="T147">
            <v>9654799</v>
          </cell>
          <cell r="U147">
            <v>3126723</v>
          </cell>
          <cell r="V147">
            <v>4289493</v>
          </cell>
          <cell r="W147">
            <v>2935795</v>
          </cell>
          <cell r="X147">
            <v>3713711</v>
          </cell>
          <cell r="Y147">
            <v>2782051</v>
          </cell>
          <cell r="Z147">
            <v>7168590</v>
          </cell>
          <cell r="AA147">
            <v>3323235</v>
          </cell>
          <cell r="AB147">
            <v>4427007</v>
          </cell>
        </row>
        <row r="148">
          <cell r="Q148">
            <v>57583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50">
          <cell r="Q150">
            <v>58932994</v>
          </cell>
          <cell r="R150">
            <v>73111890</v>
          </cell>
          <cell r="S150">
            <v>63441872</v>
          </cell>
          <cell r="T150">
            <v>85209618</v>
          </cell>
          <cell r="U150">
            <v>100383315</v>
          </cell>
          <cell r="V150">
            <v>80343480</v>
          </cell>
          <cell r="W150">
            <v>84798582</v>
          </cell>
          <cell r="X150">
            <v>92881552</v>
          </cell>
          <cell r="Y150">
            <v>75628879</v>
          </cell>
          <cell r="Z150">
            <v>76545246</v>
          </cell>
          <cell r="AA150">
            <v>78364251</v>
          </cell>
          <cell r="AB150">
            <v>126791229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uenta2019"/>
      <sheetName val="DOCS2019"/>
    </sheetNames>
    <sheetDataSet>
      <sheetData sheetId="0">
        <row r="9">
          <cell r="Q9">
            <v>36846285522</v>
          </cell>
          <cell r="R9">
            <v>31573297915</v>
          </cell>
          <cell r="S9">
            <v>32642346883</v>
          </cell>
          <cell r="T9">
            <v>33772445702</v>
          </cell>
          <cell r="U9">
            <v>38021076129</v>
          </cell>
          <cell r="V9">
            <v>31194114632</v>
          </cell>
          <cell r="W9">
            <v>33856712453</v>
          </cell>
          <cell r="X9">
            <v>33819038395</v>
          </cell>
          <cell r="Y9">
            <v>34789498272</v>
          </cell>
          <cell r="Z9">
            <v>37023458532</v>
          </cell>
          <cell r="AA9">
            <v>34533714390</v>
          </cell>
          <cell r="AB9">
            <v>35578083503</v>
          </cell>
        </row>
        <row r="113">
          <cell r="Q113">
            <v>3454575</v>
          </cell>
          <cell r="R113">
            <v>4744326</v>
          </cell>
          <cell r="S113">
            <v>5211485</v>
          </cell>
          <cell r="T113">
            <v>3530101</v>
          </cell>
          <cell r="U113">
            <v>5892884</v>
          </cell>
          <cell r="V113">
            <v>5442116</v>
          </cell>
          <cell r="W113">
            <v>6459636</v>
          </cell>
          <cell r="X113">
            <v>3981333</v>
          </cell>
          <cell r="Y113">
            <v>5694513</v>
          </cell>
          <cell r="Z113">
            <v>4665847</v>
          </cell>
          <cell r="AA113">
            <v>4768046</v>
          </cell>
          <cell r="AB113">
            <v>5350356</v>
          </cell>
        </row>
        <row r="130">
          <cell r="Q130">
            <v>0</v>
          </cell>
          <cell r="R130">
            <v>23771</v>
          </cell>
          <cell r="S130">
            <v>631</v>
          </cell>
          <cell r="T130">
            <v>1333</v>
          </cell>
          <cell r="U130">
            <v>3648</v>
          </cell>
          <cell r="V130">
            <v>0</v>
          </cell>
          <cell r="W130">
            <v>945</v>
          </cell>
          <cell r="X130">
            <v>15625</v>
          </cell>
          <cell r="Y130">
            <v>945</v>
          </cell>
          <cell r="Z130">
            <v>945</v>
          </cell>
          <cell r="AA130">
            <v>0</v>
          </cell>
          <cell r="AB130">
            <v>0</v>
          </cell>
        </row>
        <row r="143">
          <cell r="Q143">
            <v>3207</v>
          </cell>
          <cell r="R143">
            <v>3211</v>
          </cell>
          <cell r="S143">
            <v>7363</v>
          </cell>
          <cell r="T143">
            <v>6383</v>
          </cell>
          <cell r="U143">
            <v>3680</v>
          </cell>
          <cell r="V143">
            <v>3693</v>
          </cell>
          <cell r="W143">
            <v>3681</v>
          </cell>
          <cell r="X143">
            <v>3679</v>
          </cell>
          <cell r="Y143">
            <v>3211</v>
          </cell>
          <cell r="Z143">
            <v>8831</v>
          </cell>
          <cell r="AA143">
            <v>0</v>
          </cell>
          <cell r="AB143">
            <v>39111</v>
          </cell>
        </row>
        <row r="147">
          <cell r="Q147">
            <v>177305</v>
          </cell>
          <cell r="R147">
            <v>224669</v>
          </cell>
          <cell r="S147">
            <v>52871</v>
          </cell>
          <cell r="T147">
            <v>153071</v>
          </cell>
          <cell r="U147">
            <v>176967</v>
          </cell>
          <cell r="V147">
            <v>155773</v>
          </cell>
          <cell r="W147">
            <v>248865</v>
          </cell>
          <cell r="X147">
            <v>490788</v>
          </cell>
          <cell r="Y147">
            <v>181021</v>
          </cell>
          <cell r="Z147">
            <v>513472</v>
          </cell>
          <cell r="AA147">
            <v>112280</v>
          </cell>
          <cell r="AB147">
            <v>226817</v>
          </cell>
        </row>
        <row r="148">
          <cell r="Q148">
            <v>10133855</v>
          </cell>
          <cell r="R148">
            <v>3815944</v>
          </cell>
          <cell r="S148">
            <v>3117981</v>
          </cell>
          <cell r="T148">
            <v>11448576</v>
          </cell>
          <cell r="U148">
            <v>7352360</v>
          </cell>
          <cell r="V148">
            <v>4000299</v>
          </cell>
          <cell r="W148">
            <v>2706774</v>
          </cell>
          <cell r="X148">
            <v>3392630</v>
          </cell>
          <cell r="Y148">
            <v>3710872</v>
          </cell>
          <cell r="Z148">
            <v>5440023</v>
          </cell>
          <cell r="AA148">
            <v>6246065</v>
          </cell>
          <cell r="AB148">
            <v>3076746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1">
          <cell r="Q151">
            <v>68920522</v>
          </cell>
          <cell r="R151">
            <v>65170737</v>
          </cell>
          <cell r="S151">
            <v>61447591</v>
          </cell>
          <cell r="T151">
            <v>83435540</v>
          </cell>
          <cell r="U151">
            <v>74469039</v>
          </cell>
          <cell r="V151">
            <v>70525645</v>
          </cell>
          <cell r="W151">
            <v>84093071</v>
          </cell>
          <cell r="X151">
            <v>94136075</v>
          </cell>
          <cell r="Y151">
            <v>76475268</v>
          </cell>
          <cell r="Z151">
            <v>139350331</v>
          </cell>
          <cell r="AA151">
            <v>63527623</v>
          </cell>
          <cell r="AB151">
            <v>98958038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uenta2020"/>
      <sheetName val="DOCS2020"/>
    </sheetNames>
    <sheetDataSet>
      <sheetData sheetId="0">
        <row r="9">
          <cell r="Q9">
            <v>40620265987</v>
          </cell>
          <cell r="R9">
            <v>32994480790</v>
          </cell>
          <cell r="S9">
            <v>36641761018</v>
          </cell>
          <cell r="T9">
            <v>33746082311</v>
          </cell>
          <cell r="U9">
            <v>34152160678</v>
          </cell>
          <cell r="V9">
            <v>33289822554</v>
          </cell>
          <cell r="W9">
            <v>37177020328</v>
          </cell>
          <cell r="X9">
            <v>36193923955</v>
          </cell>
          <cell r="Y9">
            <v>38575699370</v>
          </cell>
          <cell r="Z9">
            <v>39396505991</v>
          </cell>
          <cell r="AA9">
            <v>39046188215</v>
          </cell>
          <cell r="AB9">
            <v>40038070956</v>
          </cell>
        </row>
        <row r="113">
          <cell r="Q113">
            <v>4690996</v>
          </cell>
          <cell r="R113">
            <v>4167216</v>
          </cell>
          <cell r="S113">
            <v>6245352</v>
          </cell>
          <cell r="T113">
            <v>4856096</v>
          </cell>
          <cell r="U113">
            <v>1772628</v>
          </cell>
          <cell r="V113">
            <v>2833842</v>
          </cell>
          <cell r="W113">
            <v>3445026</v>
          </cell>
          <cell r="X113">
            <v>3568818</v>
          </cell>
          <cell r="Y113">
            <v>2606282</v>
          </cell>
          <cell r="Z113">
            <v>3510299</v>
          </cell>
          <cell r="AA113">
            <v>2100366</v>
          </cell>
          <cell r="AB113">
            <v>1837849</v>
          </cell>
        </row>
        <row r="130"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4882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43">
          <cell r="Q143">
            <v>7363</v>
          </cell>
          <cell r="R143">
            <v>0</v>
          </cell>
          <cell r="S143">
            <v>3981</v>
          </cell>
          <cell r="T143">
            <v>3981</v>
          </cell>
          <cell r="U143">
            <v>2273</v>
          </cell>
          <cell r="V143">
            <v>1</v>
          </cell>
          <cell r="W143">
            <v>0</v>
          </cell>
          <cell r="X143">
            <v>0</v>
          </cell>
          <cell r="Y143">
            <v>0</v>
          </cell>
          <cell r="Z143">
            <v>375</v>
          </cell>
          <cell r="AA143">
            <v>0</v>
          </cell>
          <cell r="AB143">
            <v>0</v>
          </cell>
        </row>
        <row r="147">
          <cell r="Q147">
            <v>85850</v>
          </cell>
          <cell r="R147">
            <v>22712</v>
          </cell>
          <cell r="S147">
            <v>37953</v>
          </cell>
          <cell r="T147">
            <v>161083</v>
          </cell>
          <cell r="U147">
            <v>483700</v>
          </cell>
          <cell r="V147">
            <v>0</v>
          </cell>
          <cell r="W147">
            <v>48922</v>
          </cell>
          <cell r="X147">
            <v>51509</v>
          </cell>
          <cell r="Y147">
            <v>50135</v>
          </cell>
          <cell r="Z147">
            <v>35410</v>
          </cell>
          <cell r="AA147">
            <v>56473</v>
          </cell>
          <cell r="AB147">
            <v>119812</v>
          </cell>
        </row>
        <row r="148">
          <cell r="Q148">
            <v>2707200</v>
          </cell>
          <cell r="R148">
            <v>9035286</v>
          </cell>
          <cell r="S148">
            <v>2829910</v>
          </cell>
          <cell r="T148">
            <v>4673405</v>
          </cell>
          <cell r="U148">
            <v>7318316</v>
          </cell>
          <cell r="V148">
            <v>2932192</v>
          </cell>
          <cell r="W148">
            <v>3290604</v>
          </cell>
          <cell r="X148">
            <v>3491328</v>
          </cell>
          <cell r="Y148">
            <v>2277082</v>
          </cell>
          <cell r="Z148">
            <v>808460</v>
          </cell>
          <cell r="AA148">
            <v>1328205</v>
          </cell>
          <cell r="AB148">
            <v>1136615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1">
          <cell r="Q151">
            <v>57296549</v>
          </cell>
          <cell r="R151">
            <v>56877329</v>
          </cell>
          <cell r="S151">
            <v>49209671</v>
          </cell>
          <cell r="T151">
            <v>39888765</v>
          </cell>
          <cell r="U151">
            <v>42322973</v>
          </cell>
          <cell r="V151">
            <v>68147711</v>
          </cell>
          <cell r="W151">
            <v>97794234</v>
          </cell>
          <cell r="X151">
            <v>70370868</v>
          </cell>
          <cell r="Y151">
            <v>71529875</v>
          </cell>
          <cell r="Z151">
            <v>70137756</v>
          </cell>
          <cell r="AA151">
            <v>72626360</v>
          </cell>
          <cell r="AB151">
            <v>78497523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uenta2021"/>
      <sheetName val="DOCS2021"/>
    </sheetNames>
    <sheetDataSet>
      <sheetData sheetId="0">
        <row r="9">
          <cell r="Q9">
            <v>41650162150</v>
          </cell>
          <cell r="R9">
            <v>33494980790</v>
          </cell>
          <cell r="S9">
            <v>43556526952</v>
          </cell>
          <cell r="T9">
            <v>43079303962</v>
          </cell>
          <cell r="U9">
            <v>41508815481</v>
          </cell>
          <cell r="V9">
            <v>39117028624</v>
          </cell>
          <cell r="W9">
            <v>42156066489</v>
          </cell>
          <cell r="X9">
            <v>41530785741</v>
          </cell>
        </row>
        <row r="113">
          <cell r="Q113">
            <v>1940543</v>
          </cell>
          <cell r="R113">
            <v>2424457</v>
          </cell>
          <cell r="S113">
            <v>1903797</v>
          </cell>
          <cell r="T113">
            <v>4002626</v>
          </cell>
          <cell r="U113">
            <v>7370488</v>
          </cell>
          <cell r="V113">
            <v>9501085</v>
          </cell>
          <cell r="W113">
            <v>7966638</v>
          </cell>
          <cell r="X113">
            <v>4952889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1054</v>
          </cell>
          <cell r="V130">
            <v>0</v>
          </cell>
          <cell r="W130">
            <v>0</v>
          </cell>
          <cell r="X130">
            <v>5290</v>
          </cell>
        </row>
        <row r="143"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7">
          <cell r="Q147">
            <v>271231</v>
          </cell>
          <cell r="R147">
            <v>65245</v>
          </cell>
          <cell r="S147">
            <v>2337</v>
          </cell>
          <cell r="T147">
            <v>0</v>
          </cell>
          <cell r="U147">
            <v>27594</v>
          </cell>
          <cell r="V147">
            <v>0</v>
          </cell>
          <cell r="W147">
            <v>0</v>
          </cell>
          <cell r="X147">
            <v>0</v>
          </cell>
        </row>
        <row r="148">
          <cell r="Q148">
            <v>1031206</v>
          </cell>
          <cell r="R148">
            <v>2399310</v>
          </cell>
          <cell r="S148">
            <v>11953173</v>
          </cell>
          <cell r="T148">
            <v>894864</v>
          </cell>
          <cell r="U148">
            <v>295950</v>
          </cell>
          <cell r="V148">
            <v>684781</v>
          </cell>
          <cell r="W148">
            <v>3964556</v>
          </cell>
          <cell r="X148">
            <v>788901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1">
          <cell r="Q151">
            <v>57082895</v>
          </cell>
          <cell r="R151">
            <v>44205188</v>
          </cell>
          <cell r="S151">
            <v>86192710</v>
          </cell>
          <cell r="T151">
            <v>50048102</v>
          </cell>
          <cell r="U151">
            <v>51948012</v>
          </cell>
          <cell r="V151">
            <v>59529938</v>
          </cell>
          <cell r="W151">
            <v>63629508</v>
          </cell>
          <cell r="X151">
            <v>68723671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uenta2021"/>
      <sheetName val="DOCS2021"/>
    </sheetNames>
    <sheetDataSet>
      <sheetData sheetId="0">
        <row r="9">
          <cell r="Y9">
            <v>44052649683</v>
          </cell>
          <cell r="Z9">
            <v>45906891203</v>
          </cell>
          <cell r="AA9">
            <v>46777499638</v>
          </cell>
          <cell r="AB9">
            <v>47246149700</v>
          </cell>
        </row>
        <row r="113">
          <cell r="Y113">
            <v>3943712</v>
          </cell>
          <cell r="Z113">
            <v>2201798</v>
          </cell>
          <cell r="AA113">
            <v>5770844</v>
          </cell>
          <cell r="AB113">
            <v>6036871</v>
          </cell>
        </row>
        <row r="130"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43">
          <cell r="Y143">
            <v>0</v>
          </cell>
          <cell r="Z143">
            <v>0</v>
          </cell>
          <cell r="AA143">
            <v>0</v>
          </cell>
          <cell r="AB143">
            <v>2100</v>
          </cell>
        </row>
        <row r="147">
          <cell r="Y147">
            <v>0</v>
          </cell>
          <cell r="Z147">
            <v>0</v>
          </cell>
          <cell r="AA147">
            <v>39564</v>
          </cell>
          <cell r="AB147">
            <v>66694</v>
          </cell>
        </row>
        <row r="148">
          <cell r="Y148">
            <v>4015301</v>
          </cell>
          <cell r="Z148">
            <v>2085234</v>
          </cell>
          <cell r="AA148">
            <v>812028</v>
          </cell>
          <cell r="AB148">
            <v>2727464</v>
          </cell>
        </row>
        <row r="149"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1">
          <cell r="Y151">
            <v>68768623</v>
          </cell>
          <cell r="Z151">
            <v>105856274</v>
          </cell>
          <cell r="AA151">
            <v>103729470</v>
          </cell>
          <cell r="AB151">
            <v>91809656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R551"/>
  <sheetViews>
    <sheetView windowProtection="1" workbookViewId="0">
      <pane xSplit="3" ySplit="3" topLeftCell="F490" activePane="bottomRight" state="frozen"/>
      <selection pane="topRight" activeCell="D1" sqref="D1"/>
      <selection pane="bottomLeft" activeCell="A4" sqref="A4"/>
      <selection pane="bottomRight" activeCell="AO510" sqref="AO510"/>
    </sheetView>
  </sheetViews>
  <sheetFormatPr baseColWidth="10" defaultColWidth="11.28515625" defaultRowHeight="12.75"/>
  <cols>
    <col min="1" max="1" width="7.7109375" style="6" customWidth="1"/>
    <col min="2" max="2" width="5.7109375" style="6" customWidth="1"/>
    <col min="3" max="3" width="9.85546875" style="6" customWidth="1"/>
    <col min="4" max="4" width="15.28515625" style="6" customWidth="1"/>
    <col min="5" max="5" width="14.140625" style="6" bestFit="1" customWidth="1"/>
    <col min="6" max="9" width="13.7109375" style="6" customWidth="1"/>
    <col min="10" max="10" width="12.28515625" style="6" bestFit="1" customWidth="1"/>
    <col min="11" max="11" width="13.85546875" style="6" customWidth="1"/>
    <col min="12" max="12" width="11.7109375" style="6" bestFit="1" customWidth="1"/>
    <col min="13" max="13" width="11.7109375" style="6" customWidth="1"/>
    <col min="14" max="15" width="12.28515625" style="6" bestFit="1" customWidth="1"/>
    <col min="16" max="16" width="14.140625" style="6" bestFit="1" customWidth="1"/>
    <col min="17" max="17" width="11.7109375" style="6" bestFit="1" customWidth="1"/>
    <col min="18" max="18" width="15.140625" style="6" customWidth="1"/>
    <col min="19" max="19" width="12.28515625" style="6" bestFit="1" customWidth="1"/>
    <col min="20" max="20" width="14" style="6" customWidth="1"/>
    <col min="21" max="22" width="12.28515625" style="6" bestFit="1" customWidth="1"/>
    <col min="23" max="23" width="12.140625" style="6" customWidth="1"/>
    <col min="24" max="24" width="12.28515625" style="6" bestFit="1" customWidth="1"/>
    <col min="25" max="25" width="12.7109375" style="6" customWidth="1"/>
    <col min="26" max="26" width="15.140625" style="6" customWidth="1"/>
    <col min="27" max="28" width="11.7109375" style="6" bestFit="1" customWidth="1"/>
    <col min="29" max="29" width="13" style="6" bestFit="1" customWidth="1"/>
    <col min="30" max="33" width="11.7109375" style="6" bestFit="1" customWidth="1"/>
    <col min="34" max="34" width="12.140625" style="6" customWidth="1"/>
    <col min="35" max="37" width="11.7109375" style="6" bestFit="1" customWidth="1"/>
    <col min="38" max="38" width="16.140625" style="6" customWidth="1"/>
    <col min="39" max="39" width="11.7109375" style="6" bestFit="1" customWidth="1"/>
    <col min="40" max="40" width="12.85546875" style="6" customWidth="1"/>
    <col min="41" max="41" width="16.7109375" style="6" bestFit="1" customWidth="1"/>
    <col min="42" max="42" width="16.28515625" style="6" bestFit="1" customWidth="1"/>
    <col min="43" max="43" width="13" style="6" bestFit="1" customWidth="1"/>
    <col min="44" max="44" width="11.7109375" style="6" bestFit="1" customWidth="1"/>
    <col min="45" max="16384" width="11.28515625" style="6"/>
  </cols>
  <sheetData>
    <row r="1" spans="1:44" s="3" customFormat="1" ht="91.15" customHeight="1">
      <c r="A1" s="86" t="s">
        <v>30</v>
      </c>
      <c r="B1" s="86" t="s">
        <v>31</v>
      </c>
      <c r="C1" s="25" t="s">
        <v>33</v>
      </c>
      <c r="D1" s="26" t="s">
        <v>63</v>
      </c>
      <c r="E1" s="26" t="s">
        <v>49</v>
      </c>
      <c r="F1" s="26" t="s">
        <v>65</v>
      </c>
      <c r="G1" s="26" t="s">
        <v>61</v>
      </c>
      <c r="H1" s="26" t="s">
        <v>62</v>
      </c>
      <c r="I1" s="26" t="s">
        <v>67</v>
      </c>
      <c r="J1" s="26" t="s">
        <v>60</v>
      </c>
      <c r="K1" s="26" t="s">
        <v>14</v>
      </c>
      <c r="L1" s="26" t="s">
        <v>16</v>
      </c>
      <c r="M1" s="26" t="s">
        <v>68</v>
      </c>
      <c r="N1" s="26" t="s">
        <v>53</v>
      </c>
      <c r="O1" s="26" t="s">
        <v>15</v>
      </c>
      <c r="P1" s="26" t="s">
        <v>58</v>
      </c>
      <c r="Q1" s="26" t="s">
        <v>7</v>
      </c>
      <c r="R1" s="26" t="s">
        <v>57</v>
      </c>
      <c r="S1" s="26" t="s">
        <v>79</v>
      </c>
      <c r="T1" s="26" t="s">
        <v>48</v>
      </c>
      <c r="U1" s="26" t="s">
        <v>20</v>
      </c>
      <c r="V1" s="26" t="s">
        <v>21</v>
      </c>
      <c r="W1" s="26" t="s">
        <v>2</v>
      </c>
      <c r="X1" s="26" t="s">
        <v>56</v>
      </c>
      <c r="Y1" s="85" t="s">
        <v>70</v>
      </c>
      <c r="Z1" s="85" t="s">
        <v>55</v>
      </c>
      <c r="AA1" s="85" t="s">
        <v>47</v>
      </c>
      <c r="AB1" s="85" t="s">
        <v>18</v>
      </c>
      <c r="AC1" s="85" t="s">
        <v>5</v>
      </c>
      <c r="AD1" s="85" t="s">
        <v>19</v>
      </c>
      <c r="AE1" s="85" t="s">
        <v>59</v>
      </c>
      <c r="AF1" s="85" t="s">
        <v>26</v>
      </c>
      <c r="AG1" s="85" t="s">
        <v>54</v>
      </c>
      <c r="AH1" s="85" t="s">
        <v>4</v>
      </c>
      <c r="AI1" s="85" t="s">
        <v>24</v>
      </c>
      <c r="AJ1" s="85" t="s">
        <v>51</v>
      </c>
      <c r="AK1" s="85" t="s">
        <v>52</v>
      </c>
      <c r="AL1" s="85" t="s">
        <v>64</v>
      </c>
      <c r="AM1" s="85" t="s">
        <v>50</v>
      </c>
      <c r="AN1" s="74" t="s">
        <v>85</v>
      </c>
      <c r="AO1" s="26" t="s">
        <v>27</v>
      </c>
      <c r="AP1" s="87" t="s">
        <v>86</v>
      </c>
      <c r="AQ1" s="88"/>
      <c r="AR1" s="88"/>
    </row>
    <row r="2" spans="1:44" s="3" customFormat="1" ht="46.5" hidden="1" customHeight="1">
      <c r="A2" s="86"/>
      <c r="B2" s="86"/>
      <c r="C2" s="1" t="s">
        <v>0</v>
      </c>
      <c r="D2" s="2" t="s">
        <v>11</v>
      </c>
      <c r="E2" s="2" t="s">
        <v>3</v>
      </c>
      <c r="F2" s="2" t="s">
        <v>11</v>
      </c>
      <c r="G2" s="2" t="s">
        <v>11</v>
      </c>
      <c r="H2" s="2" t="s">
        <v>11</v>
      </c>
      <c r="I2" s="2" t="s">
        <v>66</v>
      </c>
      <c r="J2" s="2" t="s">
        <v>1</v>
      </c>
      <c r="K2" s="2" t="s">
        <v>3</v>
      </c>
      <c r="L2" s="2" t="s">
        <v>17</v>
      </c>
      <c r="M2" s="2" t="s">
        <v>69</v>
      </c>
      <c r="N2" s="2" t="s">
        <v>3</v>
      </c>
      <c r="O2" s="2" t="s">
        <v>3</v>
      </c>
      <c r="P2" s="2" t="s">
        <v>8</v>
      </c>
      <c r="Q2" s="2" t="s">
        <v>9</v>
      </c>
      <c r="R2" s="2" t="s">
        <v>1</v>
      </c>
      <c r="S2" s="2" t="s">
        <v>13</v>
      </c>
      <c r="T2" s="2" t="s">
        <v>1</v>
      </c>
      <c r="U2" s="2" t="s">
        <v>3</v>
      </c>
      <c r="V2" s="2" t="s">
        <v>3</v>
      </c>
      <c r="W2" s="2" t="s">
        <v>3</v>
      </c>
      <c r="X2" s="2" t="s">
        <v>23</v>
      </c>
      <c r="Y2" s="2" t="s">
        <v>1</v>
      </c>
      <c r="Z2" s="2" t="s">
        <v>71</v>
      </c>
      <c r="AA2" s="2" t="s">
        <v>71</v>
      </c>
      <c r="AB2" s="2" t="s">
        <v>13</v>
      </c>
      <c r="AC2" s="2" t="s">
        <v>6</v>
      </c>
      <c r="AD2" s="2" t="s">
        <v>10</v>
      </c>
      <c r="AE2" s="2" t="s">
        <v>10</v>
      </c>
      <c r="AF2" s="2" t="s">
        <v>8</v>
      </c>
      <c r="AG2" s="2" t="s">
        <v>22</v>
      </c>
      <c r="AH2" s="2" t="s">
        <v>3</v>
      </c>
      <c r="AI2" s="2" t="s">
        <v>25</v>
      </c>
      <c r="AJ2" s="2" t="s">
        <v>3</v>
      </c>
      <c r="AK2" s="2" t="s">
        <v>71</v>
      </c>
      <c r="AL2" s="2" t="s">
        <v>12</v>
      </c>
      <c r="AM2" s="2" t="s">
        <v>1</v>
      </c>
      <c r="AN2" s="2" t="s">
        <v>80</v>
      </c>
      <c r="AO2" s="2" t="s">
        <v>1</v>
      </c>
    </row>
    <row r="3" spans="1:44" s="3" customFormat="1" ht="39" hidden="1" customHeight="1">
      <c r="A3" s="86"/>
      <c r="B3" s="86"/>
      <c r="C3" s="17" t="s">
        <v>46</v>
      </c>
      <c r="D3" s="18"/>
      <c r="F3" s="18"/>
      <c r="G3" s="18"/>
      <c r="H3" s="18"/>
      <c r="I3" s="18"/>
      <c r="J3" s="18"/>
      <c r="P3" s="18"/>
      <c r="Q3" s="18"/>
      <c r="R3" s="18" t="s">
        <v>74</v>
      </c>
      <c r="S3" s="18" t="s">
        <v>72</v>
      </c>
      <c r="T3" s="18" t="s">
        <v>75</v>
      </c>
      <c r="W3" s="18"/>
      <c r="Y3" s="18" t="s">
        <v>76</v>
      </c>
      <c r="Z3" s="18" t="s">
        <v>76</v>
      </c>
      <c r="AA3" s="18" t="s">
        <v>76</v>
      </c>
      <c r="AB3" s="18" t="s">
        <v>76</v>
      </c>
      <c r="AC3" s="18" t="s">
        <v>76</v>
      </c>
      <c r="AD3" s="18" t="s">
        <v>76</v>
      </c>
      <c r="AE3" s="18" t="s">
        <v>76</v>
      </c>
      <c r="AF3" s="18" t="s">
        <v>76</v>
      </c>
      <c r="AH3" s="18" t="s">
        <v>76</v>
      </c>
      <c r="AI3" s="18" t="s">
        <v>76</v>
      </c>
      <c r="AJ3" s="18" t="s">
        <v>76</v>
      </c>
      <c r="AK3" s="18" t="s">
        <v>76</v>
      </c>
      <c r="AL3" s="18" t="s">
        <v>76</v>
      </c>
    </row>
    <row r="4" spans="1:44" ht="10.5" customHeight="1">
      <c r="A4" s="6">
        <f>YEAR(C4)</f>
        <v>1982</v>
      </c>
      <c r="B4" s="6" t="s">
        <v>34</v>
      </c>
      <c r="C4" s="4">
        <v>29952</v>
      </c>
      <c r="D4" s="28"/>
      <c r="E4" s="28"/>
      <c r="F4" s="28"/>
      <c r="G4" s="28"/>
      <c r="H4" s="28"/>
      <c r="I4" s="28"/>
      <c r="J4" s="5">
        <v>630</v>
      </c>
      <c r="K4" s="28"/>
      <c r="L4" s="28"/>
      <c r="M4" s="28"/>
      <c r="N4" s="28"/>
      <c r="O4" s="28"/>
      <c r="P4" s="28"/>
      <c r="Q4" s="28"/>
      <c r="R4" s="5">
        <v>650332</v>
      </c>
      <c r="S4" s="28"/>
      <c r="T4" s="5">
        <v>325838</v>
      </c>
      <c r="U4" s="28"/>
      <c r="V4" s="28"/>
      <c r="W4" s="48"/>
      <c r="X4" s="28"/>
      <c r="Y4" s="5">
        <v>178658</v>
      </c>
      <c r="Z4" s="28"/>
      <c r="AA4" s="28"/>
      <c r="AB4" s="28"/>
      <c r="AC4" s="28"/>
      <c r="AD4" s="28"/>
      <c r="AE4" s="28"/>
      <c r="AF4" s="28"/>
      <c r="AG4" s="28"/>
      <c r="AH4" s="48"/>
      <c r="AI4" s="28"/>
      <c r="AJ4" s="28"/>
      <c r="AK4" s="28"/>
      <c r="AL4" s="28"/>
      <c r="AM4" s="5">
        <v>1162</v>
      </c>
      <c r="AN4" s="5"/>
      <c r="AO4" s="49">
        <v>1263321</v>
      </c>
    </row>
    <row r="5" spans="1:44" ht="10.5" customHeight="1">
      <c r="A5" s="6">
        <f t="shared" ref="A5:A68" si="0">YEAR(C5)</f>
        <v>1982</v>
      </c>
      <c r="B5" s="6" t="s">
        <v>35</v>
      </c>
      <c r="C5" s="4">
        <v>29983</v>
      </c>
      <c r="D5" s="28"/>
      <c r="E5" s="28"/>
      <c r="F5" s="28"/>
      <c r="G5" s="28"/>
      <c r="H5" s="28"/>
      <c r="I5" s="28"/>
      <c r="J5" s="5">
        <v>326</v>
      </c>
      <c r="K5" s="28"/>
      <c r="L5" s="28"/>
      <c r="M5" s="28"/>
      <c r="N5" s="28"/>
      <c r="O5" s="28"/>
      <c r="P5" s="28"/>
      <c r="Q5" s="28"/>
      <c r="R5" s="5">
        <v>625122</v>
      </c>
      <c r="S5" s="28"/>
      <c r="T5" s="5">
        <v>482951</v>
      </c>
      <c r="U5" s="28"/>
      <c r="V5" s="28"/>
      <c r="W5" s="28"/>
      <c r="X5" s="28"/>
      <c r="Y5" s="5">
        <v>157634</v>
      </c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5">
        <v>560</v>
      </c>
      <c r="AN5" s="5"/>
      <c r="AO5" s="49">
        <v>1343634</v>
      </c>
    </row>
    <row r="6" spans="1:44" ht="10.5" customHeight="1">
      <c r="A6" s="6">
        <f t="shared" si="0"/>
        <v>1982</v>
      </c>
      <c r="B6" s="6" t="s">
        <v>36</v>
      </c>
      <c r="C6" s="4">
        <v>30011</v>
      </c>
      <c r="D6" s="28"/>
      <c r="E6" s="28"/>
      <c r="F6" s="28"/>
      <c r="G6" s="28"/>
      <c r="H6" s="28"/>
      <c r="I6" s="28"/>
      <c r="J6" s="5">
        <v>389</v>
      </c>
      <c r="K6" s="28"/>
      <c r="L6" s="28"/>
      <c r="M6" s="28"/>
      <c r="N6" s="28"/>
      <c r="O6" s="28"/>
      <c r="P6" s="28"/>
      <c r="Q6" s="28"/>
      <c r="R6" s="5">
        <v>753638</v>
      </c>
      <c r="S6" s="28"/>
      <c r="T6" s="5">
        <v>425323</v>
      </c>
      <c r="U6" s="28"/>
      <c r="V6" s="28"/>
      <c r="W6" s="28"/>
      <c r="X6" s="28"/>
      <c r="Y6" s="5">
        <v>163590</v>
      </c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5">
        <v>422</v>
      </c>
      <c r="AN6" s="5"/>
      <c r="AO6" s="49">
        <v>1437851</v>
      </c>
    </row>
    <row r="7" spans="1:44" ht="10.5" customHeight="1">
      <c r="A7" s="6">
        <f t="shared" si="0"/>
        <v>1982</v>
      </c>
      <c r="B7" s="6" t="s">
        <v>37</v>
      </c>
      <c r="C7" s="4">
        <v>30042</v>
      </c>
      <c r="D7" s="28"/>
      <c r="E7" s="28"/>
      <c r="F7" s="28"/>
      <c r="G7" s="28"/>
      <c r="H7" s="28"/>
      <c r="I7" s="28"/>
      <c r="J7" s="5">
        <v>2355</v>
      </c>
      <c r="K7" s="28"/>
      <c r="L7" s="28"/>
      <c r="M7" s="28"/>
      <c r="N7" s="28"/>
      <c r="O7" s="28"/>
      <c r="P7" s="28"/>
      <c r="Q7" s="28"/>
      <c r="R7" s="5">
        <v>764862</v>
      </c>
      <c r="S7" s="28"/>
      <c r="T7" s="5">
        <v>357308</v>
      </c>
      <c r="U7" s="28"/>
      <c r="V7" s="28"/>
      <c r="W7" s="28"/>
      <c r="X7" s="28"/>
      <c r="Y7" s="5">
        <v>281800</v>
      </c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5">
        <v>111</v>
      </c>
      <c r="AN7" s="5"/>
      <c r="AO7" s="49">
        <v>1552791</v>
      </c>
    </row>
    <row r="8" spans="1:44" ht="10.5" customHeight="1">
      <c r="A8" s="6">
        <f t="shared" si="0"/>
        <v>1982</v>
      </c>
      <c r="B8" s="6" t="s">
        <v>73</v>
      </c>
      <c r="C8" s="4">
        <v>30072</v>
      </c>
      <c r="D8" s="28"/>
      <c r="E8" s="28"/>
      <c r="F8" s="28"/>
      <c r="G8" s="28"/>
      <c r="H8" s="28"/>
      <c r="I8" s="28"/>
      <c r="J8" s="5">
        <v>345</v>
      </c>
      <c r="K8" s="28"/>
      <c r="L8" s="28"/>
      <c r="M8" s="28"/>
      <c r="N8" s="28"/>
      <c r="O8" s="28"/>
      <c r="P8" s="28"/>
      <c r="Q8" s="28"/>
      <c r="R8" s="5">
        <v>710442</v>
      </c>
      <c r="S8" s="28"/>
      <c r="T8" s="5">
        <v>422995</v>
      </c>
      <c r="U8" s="28"/>
      <c r="V8" s="28"/>
      <c r="W8" s="28"/>
      <c r="X8" s="28"/>
      <c r="Y8" s="5">
        <v>153771</v>
      </c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5">
        <v>353</v>
      </c>
      <c r="AN8" s="5"/>
      <c r="AO8" s="49">
        <v>1378786</v>
      </c>
    </row>
    <row r="9" spans="1:44" ht="10.5" customHeight="1">
      <c r="A9" s="6">
        <f t="shared" si="0"/>
        <v>1982</v>
      </c>
      <c r="B9" s="6" t="s">
        <v>39</v>
      </c>
      <c r="C9" s="4">
        <v>30103</v>
      </c>
      <c r="D9" s="28"/>
      <c r="E9" s="28"/>
      <c r="F9" s="28"/>
      <c r="G9" s="28"/>
      <c r="H9" s="28"/>
      <c r="I9" s="28"/>
      <c r="J9" s="5">
        <v>260</v>
      </c>
      <c r="K9" s="28"/>
      <c r="L9" s="28"/>
      <c r="M9" s="28"/>
      <c r="N9" s="28"/>
      <c r="O9" s="28"/>
      <c r="P9" s="28"/>
      <c r="Q9" s="28"/>
      <c r="R9" s="5">
        <v>682215</v>
      </c>
      <c r="S9" s="28"/>
      <c r="T9" s="5">
        <v>403145</v>
      </c>
      <c r="U9" s="28"/>
      <c r="V9" s="28"/>
      <c r="W9" s="28"/>
      <c r="X9" s="28"/>
      <c r="Y9" s="5">
        <v>155775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5">
        <v>129</v>
      </c>
      <c r="AN9" s="5"/>
      <c r="AO9" s="49">
        <v>1395038</v>
      </c>
    </row>
    <row r="10" spans="1:44" ht="10.5" customHeight="1">
      <c r="A10" s="6">
        <f t="shared" si="0"/>
        <v>1982</v>
      </c>
      <c r="B10" s="6" t="s">
        <v>40</v>
      </c>
      <c r="C10" s="4">
        <v>30133</v>
      </c>
      <c r="D10" s="28"/>
      <c r="E10" s="28"/>
      <c r="F10" s="28"/>
      <c r="G10" s="28"/>
      <c r="H10" s="28"/>
      <c r="I10" s="28"/>
      <c r="J10" s="5">
        <v>273</v>
      </c>
      <c r="K10" s="28"/>
      <c r="L10" s="28"/>
      <c r="M10" s="28"/>
      <c r="N10" s="28"/>
      <c r="O10" s="28"/>
      <c r="P10" s="28"/>
      <c r="Q10" s="28"/>
      <c r="R10" s="5">
        <v>634673</v>
      </c>
      <c r="S10" s="28"/>
      <c r="T10" s="5">
        <v>385934</v>
      </c>
      <c r="U10" s="28"/>
      <c r="V10" s="28"/>
      <c r="W10" s="28"/>
      <c r="X10" s="28"/>
      <c r="Y10" s="5">
        <v>134842</v>
      </c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5">
        <v>206</v>
      </c>
      <c r="AN10" s="5"/>
      <c r="AO10" s="49">
        <v>1300710</v>
      </c>
    </row>
    <row r="11" spans="1:44" ht="10.5" customHeight="1">
      <c r="A11" s="6">
        <f t="shared" si="0"/>
        <v>1982</v>
      </c>
      <c r="B11" s="6" t="s">
        <v>41</v>
      </c>
      <c r="C11" s="4">
        <v>30164</v>
      </c>
      <c r="D11" s="28"/>
      <c r="E11" s="28"/>
      <c r="F11" s="28"/>
      <c r="G11" s="28"/>
      <c r="H11" s="28"/>
      <c r="I11" s="28"/>
      <c r="J11" s="5">
        <v>463</v>
      </c>
      <c r="K11" s="28"/>
      <c r="L11" s="28"/>
      <c r="M11" s="28"/>
      <c r="N11" s="28"/>
      <c r="O11" s="28"/>
      <c r="P11" s="28"/>
      <c r="Q11" s="28"/>
      <c r="R11" s="5">
        <v>634446</v>
      </c>
      <c r="S11" s="28"/>
      <c r="T11" s="5">
        <v>396535</v>
      </c>
      <c r="U11" s="28"/>
      <c r="V11" s="28"/>
      <c r="W11" s="28"/>
      <c r="X11" s="28"/>
      <c r="Y11" s="5">
        <v>150203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5">
        <v>353</v>
      </c>
      <c r="AN11" s="5"/>
      <c r="AO11" s="49">
        <v>1320041</v>
      </c>
    </row>
    <row r="12" spans="1:44" ht="10.5" customHeight="1">
      <c r="A12" s="6">
        <f t="shared" si="0"/>
        <v>1982</v>
      </c>
      <c r="B12" s="6" t="s">
        <v>42</v>
      </c>
      <c r="C12" s="4">
        <v>30195</v>
      </c>
      <c r="D12" s="28"/>
      <c r="E12" s="28"/>
      <c r="F12" s="28"/>
      <c r="G12" s="28"/>
      <c r="H12" s="28"/>
      <c r="I12" s="28"/>
      <c r="J12" s="5">
        <v>295</v>
      </c>
      <c r="K12" s="28"/>
      <c r="L12" s="28"/>
      <c r="M12" s="28"/>
      <c r="N12" s="28"/>
      <c r="O12" s="28"/>
      <c r="P12" s="28"/>
      <c r="Q12" s="28"/>
      <c r="R12" s="5">
        <v>625564</v>
      </c>
      <c r="S12" s="28"/>
      <c r="T12" s="5">
        <v>398656</v>
      </c>
      <c r="U12" s="28"/>
      <c r="V12" s="28"/>
      <c r="W12" s="28"/>
      <c r="X12" s="28"/>
      <c r="Y12" s="5">
        <v>152225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5">
        <v>121</v>
      </c>
      <c r="AN12" s="5"/>
      <c r="AO12" s="49">
        <v>1267394</v>
      </c>
    </row>
    <row r="13" spans="1:44" ht="10.5" customHeight="1">
      <c r="A13" s="6">
        <f t="shared" si="0"/>
        <v>1982</v>
      </c>
      <c r="B13" s="6" t="s">
        <v>43</v>
      </c>
      <c r="C13" s="4">
        <v>30225</v>
      </c>
      <c r="D13" s="28"/>
      <c r="E13" s="28"/>
      <c r="F13" s="28"/>
      <c r="G13" s="28"/>
      <c r="H13" s="28"/>
      <c r="I13" s="28"/>
      <c r="J13" s="5">
        <v>1157</v>
      </c>
      <c r="K13" s="28"/>
      <c r="L13" s="28"/>
      <c r="M13" s="28"/>
      <c r="N13" s="28"/>
      <c r="O13" s="28"/>
      <c r="P13" s="28"/>
      <c r="Q13" s="28"/>
      <c r="R13" s="5">
        <v>643413</v>
      </c>
      <c r="S13" s="28"/>
      <c r="T13" s="5">
        <v>377816</v>
      </c>
      <c r="U13" s="28"/>
      <c r="V13" s="28"/>
      <c r="W13" s="28"/>
      <c r="X13" s="28"/>
      <c r="Y13" s="5">
        <v>198320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5">
        <v>169</v>
      </c>
      <c r="AN13" s="5"/>
      <c r="AO13" s="49">
        <v>1410235</v>
      </c>
    </row>
    <row r="14" spans="1:44" ht="10.5" customHeight="1">
      <c r="A14" s="6">
        <f t="shared" si="0"/>
        <v>1982</v>
      </c>
      <c r="B14" s="6" t="s">
        <v>44</v>
      </c>
      <c r="C14" s="4">
        <v>30256</v>
      </c>
      <c r="D14" s="28"/>
      <c r="E14" s="28"/>
      <c r="F14" s="28"/>
      <c r="G14" s="28"/>
      <c r="H14" s="28"/>
      <c r="I14" s="28"/>
      <c r="J14" s="5">
        <v>137</v>
      </c>
      <c r="K14" s="28"/>
      <c r="L14" s="28"/>
      <c r="M14" s="28"/>
      <c r="N14" s="28"/>
      <c r="O14" s="28"/>
      <c r="P14" s="28"/>
      <c r="Q14" s="28"/>
      <c r="R14" s="5">
        <v>568274</v>
      </c>
      <c r="S14" s="28"/>
      <c r="T14" s="5">
        <v>376618</v>
      </c>
      <c r="U14" s="28"/>
      <c r="V14" s="28"/>
      <c r="W14" s="28"/>
      <c r="X14" s="28"/>
      <c r="Y14" s="5">
        <v>157258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5">
        <v>497</v>
      </c>
      <c r="AN14" s="5"/>
      <c r="AO14" s="49">
        <v>1195982</v>
      </c>
    </row>
    <row r="15" spans="1:44" ht="10.5" customHeight="1">
      <c r="A15" s="6">
        <f t="shared" si="0"/>
        <v>1982</v>
      </c>
      <c r="B15" s="6" t="s">
        <v>45</v>
      </c>
      <c r="C15" s="4">
        <v>30286</v>
      </c>
      <c r="D15" s="28"/>
      <c r="E15" s="28"/>
      <c r="F15" s="28"/>
      <c r="G15" s="28"/>
      <c r="H15" s="28"/>
      <c r="I15" s="28"/>
      <c r="J15" s="5">
        <v>204</v>
      </c>
      <c r="K15" s="28"/>
      <c r="L15" s="28"/>
      <c r="M15" s="28"/>
      <c r="N15" s="28"/>
      <c r="O15" s="28"/>
      <c r="P15" s="28"/>
      <c r="Q15" s="28"/>
      <c r="R15" s="5">
        <v>677517</v>
      </c>
      <c r="S15" s="28"/>
      <c r="T15" s="5">
        <v>388290</v>
      </c>
      <c r="U15" s="28"/>
      <c r="V15" s="28"/>
      <c r="W15" s="28"/>
      <c r="X15" s="28"/>
      <c r="Y15" s="5">
        <v>133081</v>
      </c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5">
        <v>515</v>
      </c>
      <c r="AN15" s="5"/>
      <c r="AO15" s="49">
        <v>1346145</v>
      </c>
    </row>
    <row r="16" spans="1:44" ht="10.5" customHeight="1">
      <c r="A16" s="6">
        <f t="shared" si="0"/>
        <v>1983</v>
      </c>
      <c r="B16" s="6" t="s">
        <v>34</v>
      </c>
      <c r="C16" s="4">
        <v>30317</v>
      </c>
      <c r="D16" s="28"/>
      <c r="E16" s="28"/>
      <c r="F16" s="28"/>
      <c r="G16" s="28"/>
      <c r="H16" s="28"/>
      <c r="I16" s="28"/>
      <c r="J16" s="5">
        <v>1116</v>
      </c>
      <c r="K16" s="28"/>
      <c r="L16" s="28"/>
      <c r="M16" s="28"/>
      <c r="N16" s="28"/>
      <c r="O16" s="28"/>
      <c r="P16" s="28"/>
      <c r="Q16" s="28"/>
      <c r="R16" s="5">
        <v>668285</v>
      </c>
      <c r="S16" s="28"/>
      <c r="T16" s="5">
        <v>507390</v>
      </c>
      <c r="U16" s="28"/>
      <c r="V16" s="28"/>
      <c r="W16" s="28"/>
      <c r="X16" s="28"/>
      <c r="Y16" s="5">
        <v>142793</v>
      </c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5">
        <v>201</v>
      </c>
      <c r="AN16" s="5"/>
      <c r="AO16" s="49">
        <v>1402704</v>
      </c>
    </row>
    <row r="17" spans="1:41" ht="10.5" customHeight="1">
      <c r="A17" s="6">
        <f t="shared" si="0"/>
        <v>1983</v>
      </c>
      <c r="B17" s="6" t="s">
        <v>35</v>
      </c>
      <c r="C17" s="4">
        <v>30348</v>
      </c>
      <c r="D17" s="28"/>
      <c r="E17" s="28"/>
      <c r="F17" s="28"/>
      <c r="G17" s="28"/>
      <c r="H17" s="28"/>
      <c r="I17" s="28"/>
      <c r="J17" s="5">
        <v>676</v>
      </c>
      <c r="K17" s="28"/>
      <c r="L17" s="28"/>
      <c r="M17" s="28"/>
      <c r="N17" s="28"/>
      <c r="O17" s="28"/>
      <c r="P17" s="28"/>
      <c r="Q17" s="28"/>
      <c r="R17" s="5">
        <v>650380</v>
      </c>
      <c r="S17" s="28"/>
      <c r="T17" s="5">
        <v>687207</v>
      </c>
      <c r="U17" s="28"/>
      <c r="V17" s="28"/>
      <c r="W17" s="28"/>
      <c r="X17" s="28"/>
      <c r="Y17" s="5">
        <v>156957</v>
      </c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5">
        <v>108</v>
      </c>
      <c r="AN17" s="5"/>
      <c r="AO17" s="49">
        <v>1577998</v>
      </c>
    </row>
    <row r="18" spans="1:41" ht="10.5" customHeight="1">
      <c r="A18" s="6">
        <f t="shared" si="0"/>
        <v>1983</v>
      </c>
      <c r="B18" s="6" t="s">
        <v>36</v>
      </c>
      <c r="C18" s="4">
        <v>30376</v>
      </c>
      <c r="D18" s="28"/>
      <c r="E18" s="28"/>
      <c r="F18" s="28"/>
      <c r="G18" s="28"/>
      <c r="H18" s="28"/>
      <c r="I18" s="28"/>
      <c r="J18" s="5">
        <v>213</v>
      </c>
      <c r="K18" s="28"/>
      <c r="L18" s="28"/>
      <c r="M18" s="28"/>
      <c r="N18" s="28"/>
      <c r="O18" s="28"/>
      <c r="P18" s="28"/>
      <c r="Q18" s="28"/>
      <c r="R18" s="5">
        <v>895547</v>
      </c>
      <c r="S18" s="28"/>
      <c r="T18" s="5">
        <v>420262</v>
      </c>
      <c r="U18" s="28"/>
      <c r="V18" s="28"/>
      <c r="W18" s="28"/>
      <c r="X18" s="28"/>
      <c r="Y18" s="5">
        <v>267798</v>
      </c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5">
        <v>88</v>
      </c>
      <c r="AN18" s="5"/>
      <c r="AO18" s="49">
        <v>1772073</v>
      </c>
    </row>
    <row r="19" spans="1:41" ht="10.5" customHeight="1">
      <c r="A19" s="6">
        <f t="shared" si="0"/>
        <v>1983</v>
      </c>
      <c r="B19" s="6" t="s">
        <v>37</v>
      </c>
      <c r="C19" s="4">
        <v>30407</v>
      </c>
      <c r="D19" s="28"/>
      <c r="E19" s="28"/>
      <c r="F19" s="28"/>
      <c r="G19" s="28"/>
      <c r="H19" s="28"/>
      <c r="I19" s="28"/>
      <c r="J19" s="5">
        <v>5279</v>
      </c>
      <c r="K19" s="28"/>
      <c r="L19" s="28"/>
      <c r="M19" s="28"/>
      <c r="N19" s="28"/>
      <c r="O19" s="28"/>
      <c r="P19" s="28"/>
      <c r="Q19" s="28"/>
      <c r="R19" s="5">
        <v>817714</v>
      </c>
      <c r="S19" s="28"/>
      <c r="T19" s="5">
        <v>471288</v>
      </c>
      <c r="U19" s="28"/>
      <c r="V19" s="28"/>
      <c r="W19" s="8"/>
      <c r="X19" s="28"/>
      <c r="Y19" s="5">
        <v>589264</v>
      </c>
      <c r="Z19" s="28"/>
      <c r="AA19" s="28"/>
      <c r="AB19" s="28"/>
      <c r="AC19" s="28"/>
      <c r="AD19" s="28"/>
      <c r="AE19" s="28"/>
      <c r="AF19" s="28"/>
      <c r="AG19" s="28"/>
      <c r="AH19" s="8"/>
      <c r="AI19" s="28"/>
      <c r="AJ19" s="28"/>
      <c r="AK19" s="28"/>
      <c r="AL19" s="28"/>
      <c r="AM19" s="5">
        <v>165</v>
      </c>
      <c r="AN19" s="5"/>
      <c r="AO19" s="49">
        <v>2218050</v>
      </c>
    </row>
    <row r="20" spans="1:41" ht="10.5" customHeight="1">
      <c r="A20" s="6">
        <f t="shared" si="0"/>
        <v>1983</v>
      </c>
      <c r="B20" s="6" t="s">
        <v>73</v>
      </c>
      <c r="C20" s="4">
        <v>30437</v>
      </c>
      <c r="D20" s="28"/>
      <c r="E20" s="28"/>
      <c r="F20" s="28"/>
      <c r="G20" s="28"/>
      <c r="H20" s="28"/>
      <c r="I20" s="28"/>
      <c r="J20" s="5">
        <v>1116</v>
      </c>
      <c r="K20" s="28"/>
      <c r="L20" s="28"/>
      <c r="M20" s="28"/>
      <c r="N20" s="28"/>
      <c r="O20" s="28"/>
      <c r="P20" s="28"/>
      <c r="Q20" s="28"/>
      <c r="R20" s="5">
        <v>814716</v>
      </c>
      <c r="S20" s="28"/>
      <c r="T20" s="5">
        <v>593142</v>
      </c>
      <c r="U20" s="28"/>
      <c r="V20" s="28"/>
      <c r="W20" s="8"/>
      <c r="X20" s="28"/>
      <c r="Y20" s="5">
        <v>220685</v>
      </c>
      <c r="Z20" s="28"/>
      <c r="AA20" s="28"/>
      <c r="AB20" s="28"/>
      <c r="AC20" s="28"/>
      <c r="AD20" s="28"/>
      <c r="AE20" s="28"/>
      <c r="AF20" s="28"/>
      <c r="AG20" s="28"/>
      <c r="AH20" s="8"/>
      <c r="AI20" s="28"/>
      <c r="AJ20" s="28"/>
      <c r="AK20" s="28"/>
      <c r="AL20" s="28"/>
      <c r="AM20" s="5">
        <v>111</v>
      </c>
      <c r="AN20" s="5"/>
      <c r="AO20" s="49">
        <v>1739093</v>
      </c>
    </row>
    <row r="21" spans="1:41" ht="10.5" customHeight="1">
      <c r="A21" s="6">
        <f t="shared" si="0"/>
        <v>1983</v>
      </c>
      <c r="B21" s="6" t="s">
        <v>39</v>
      </c>
      <c r="C21" s="4">
        <v>30468</v>
      </c>
      <c r="D21" s="28"/>
      <c r="E21" s="28"/>
      <c r="F21" s="28"/>
      <c r="G21" s="28"/>
      <c r="H21" s="28"/>
      <c r="I21" s="28"/>
      <c r="J21" s="5">
        <v>411</v>
      </c>
      <c r="K21" s="28"/>
      <c r="L21" s="28"/>
      <c r="M21" s="28"/>
      <c r="N21" s="28"/>
      <c r="O21" s="28"/>
      <c r="P21" s="28"/>
      <c r="Q21" s="28"/>
      <c r="R21" s="5">
        <v>786042</v>
      </c>
      <c r="S21" s="28"/>
      <c r="T21" s="5">
        <v>744789</v>
      </c>
      <c r="U21" s="28"/>
      <c r="V21" s="28"/>
      <c r="W21" s="50"/>
      <c r="X21" s="28"/>
      <c r="Y21" s="5">
        <v>231859</v>
      </c>
      <c r="Z21" s="28"/>
      <c r="AA21" s="28"/>
      <c r="AB21" s="28"/>
      <c r="AC21" s="28"/>
      <c r="AD21" s="28"/>
      <c r="AE21" s="28"/>
      <c r="AF21" s="28"/>
      <c r="AG21" s="28"/>
      <c r="AH21" s="8"/>
      <c r="AI21" s="28"/>
      <c r="AJ21" s="28"/>
      <c r="AK21" s="28"/>
      <c r="AL21" s="28"/>
      <c r="AM21" s="5">
        <v>612</v>
      </c>
      <c r="AN21" s="5"/>
      <c r="AO21" s="49">
        <v>1987568</v>
      </c>
    </row>
    <row r="22" spans="1:41" ht="10.5" customHeight="1">
      <c r="A22" s="6">
        <f t="shared" si="0"/>
        <v>1983</v>
      </c>
      <c r="B22" s="6" t="s">
        <v>40</v>
      </c>
      <c r="C22" s="4">
        <v>30498</v>
      </c>
      <c r="D22" s="28"/>
      <c r="E22" s="28"/>
      <c r="F22" s="28"/>
      <c r="G22" s="28"/>
      <c r="H22" s="28"/>
      <c r="I22" s="28"/>
      <c r="J22" s="5">
        <v>599</v>
      </c>
      <c r="K22" s="28"/>
      <c r="L22" s="28"/>
      <c r="M22" s="28"/>
      <c r="N22" s="28"/>
      <c r="O22" s="28"/>
      <c r="P22" s="28"/>
      <c r="Q22" s="28"/>
      <c r="R22" s="5">
        <v>849848</v>
      </c>
      <c r="S22" s="28"/>
      <c r="T22" s="5">
        <v>311289</v>
      </c>
      <c r="U22" s="28"/>
      <c r="V22" s="28"/>
      <c r="W22" s="28"/>
      <c r="X22" s="28"/>
      <c r="Y22" s="5">
        <v>195956</v>
      </c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5">
        <v>49</v>
      </c>
      <c r="AN22" s="5"/>
      <c r="AO22" s="49">
        <v>1524031</v>
      </c>
    </row>
    <row r="23" spans="1:41" ht="10.5" customHeight="1">
      <c r="A23" s="6">
        <f t="shared" si="0"/>
        <v>1983</v>
      </c>
      <c r="B23" s="6" t="s">
        <v>41</v>
      </c>
      <c r="C23" s="4">
        <v>30529</v>
      </c>
      <c r="D23" s="28"/>
      <c r="E23" s="28"/>
      <c r="F23" s="28"/>
      <c r="G23" s="28"/>
      <c r="H23" s="28"/>
      <c r="I23" s="28"/>
      <c r="J23" s="5">
        <v>717</v>
      </c>
      <c r="K23" s="28"/>
      <c r="L23" s="28"/>
      <c r="M23" s="28"/>
      <c r="N23" s="28"/>
      <c r="O23" s="28"/>
      <c r="P23" s="28"/>
      <c r="Q23" s="28"/>
      <c r="R23" s="5">
        <v>782886</v>
      </c>
      <c r="S23" s="28"/>
      <c r="T23" s="5">
        <v>528470</v>
      </c>
      <c r="U23" s="28"/>
      <c r="V23" s="28"/>
      <c r="W23" s="28"/>
      <c r="X23" s="28"/>
      <c r="Y23" s="5">
        <v>191818</v>
      </c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5">
        <v>70</v>
      </c>
      <c r="AN23" s="5"/>
      <c r="AO23" s="49">
        <v>1737550</v>
      </c>
    </row>
    <row r="24" spans="1:41" ht="10.5" customHeight="1">
      <c r="A24" s="6">
        <f t="shared" si="0"/>
        <v>1983</v>
      </c>
      <c r="B24" s="6" t="s">
        <v>42</v>
      </c>
      <c r="C24" s="4">
        <v>30560</v>
      </c>
      <c r="D24" s="28"/>
      <c r="E24" s="28"/>
      <c r="F24" s="28"/>
      <c r="G24" s="28"/>
      <c r="H24" s="28"/>
      <c r="I24" s="28"/>
      <c r="J24" s="5">
        <v>785</v>
      </c>
      <c r="K24" s="28"/>
      <c r="L24" s="28"/>
      <c r="M24" s="28"/>
      <c r="N24" s="28"/>
      <c r="O24" s="28"/>
      <c r="P24" s="28"/>
      <c r="Q24" s="28"/>
      <c r="R24" s="5">
        <v>801279</v>
      </c>
      <c r="S24" s="28"/>
      <c r="T24" s="5">
        <v>1362947</v>
      </c>
      <c r="U24" s="28"/>
      <c r="V24" s="28"/>
      <c r="W24" s="51"/>
      <c r="X24" s="28"/>
      <c r="Y24" s="5">
        <v>439607</v>
      </c>
      <c r="Z24" s="28"/>
      <c r="AA24" s="28"/>
      <c r="AB24" s="28"/>
      <c r="AC24" s="28"/>
      <c r="AD24" s="28"/>
      <c r="AE24" s="28"/>
      <c r="AF24" s="28"/>
      <c r="AG24" s="28"/>
      <c r="AH24" s="51"/>
      <c r="AI24" s="28"/>
      <c r="AJ24" s="28"/>
      <c r="AK24" s="28"/>
      <c r="AL24" s="28"/>
      <c r="AM24" s="5">
        <v>181</v>
      </c>
      <c r="AN24" s="5"/>
      <c r="AO24" s="49">
        <v>2901347</v>
      </c>
    </row>
    <row r="25" spans="1:41" ht="10.5" customHeight="1">
      <c r="A25" s="6">
        <f t="shared" si="0"/>
        <v>1983</v>
      </c>
      <c r="B25" s="6" t="s">
        <v>43</v>
      </c>
      <c r="C25" s="4">
        <v>30590</v>
      </c>
      <c r="D25" s="28"/>
      <c r="E25" s="28"/>
      <c r="F25" s="28"/>
      <c r="G25" s="28"/>
      <c r="H25" s="28"/>
      <c r="I25" s="28"/>
      <c r="J25" s="5">
        <v>2657</v>
      </c>
      <c r="K25" s="28"/>
      <c r="L25" s="28"/>
      <c r="M25" s="28"/>
      <c r="N25" s="28"/>
      <c r="O25" s="28"/>
      <c r="P25" s="28"/>
      <c r="Q25" s="28"/>
      <c r="R25" s="5">
        <v>909840</v>
      </c>
      <c r="S25" s="28"/>
      <c r="T25" s="5">
        <v>198348</v>
      </c>
      <c r="U25" s="28"/>
      <c r="V25" s="28"/>
      <c r="W25" s="8"/>
      <c r="X25" s="28"/>
      <c r="Y25" s="5">
        <v>291166</v>
      </c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5">
        <v>273</v>
      </c>
      <c r="AN25" s="5"/>
      <c r="AO25" s="49">
        <v>1612375</v>
      </c>
    </row>
    <row r="26" spans="1:41" ht="10.5" customHeight="1">
      <c r="A26" s="6">
        <f t="shared" si="0"/>
        <v>1983</v>
      </c>
      <c r="B26" s="6" t="s">
        <v>44</v>
      </c>
      <c r="C26" s="4">
        <v>30621</v>
      </c>
      <c r="D26" s="28"/>
      <c r="E26" s="28"/>
      <c r="F26" s="28"/>
      <c r="G26" s="28"/>
      <c r="H26" s="28"/>
      <c r="I26" s="28"/>
      <c r="J26" s="5">
        <v>800</v>
      </c>
      <c r="K26" s="28"/>
      <c r="L26" s="28"/>
      <c r="M26" s="28"/>
      <c r="N26" s="28"/>
      <c r="O26" s="28"/>
      <c r="P26" s="28"/>
      <c r="Q26" s="28"/>
      <c r="R26" s="5">
        <v>831378</v>
      </c>
      <c r="S26" s="28"/>
      <c r="T26" s="5">
        <v>446728</v>
      </c>
      <c r="U26" s="28"/>
      <c r="V26" s="28"/>
      <c r="W26" s="28"/>
      <c r="X26" s="28"/>
      <c r="Y26" s="5">
        <v>200838</v>
      </c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5">
        <v>131</v>
      </c>
      <c r="AN26" s="5"/>
      <c r="AO26" s="49">
        <v>1651475</v>
      </c>
    </row>
    <row r="27" spans="1:41" ht="10.5" customHeight="1">
      <c r="A27" s="6">
        <f t="shared" si="0"/>
        <v>1983</v>
      </c>
      <c r="B27" s="6" t="s">
        <v>45</v>
      </c>
      <c r="C27" s="4">
        <v>30651</v>
      </c>
      <c r="D27" s="28"/>
      <c r="E27" s="28"/>
      <c r="F27" s="28"/>
      <c r="G27" s="28"/>
      <c r="H27" s="28"/>
      <c r="I27" s="28"/>
      <c r="J27" s="5">
        <v>532</v>
      </c>
      <c r="K27" s="28"/>
      <c r="L27" s="28"/>
      <c r="M27" s="28"/>
      <c r="N27" s="28"/>
      <c r="O27" s="28"/>
      <c r="P27" s="28"/>
      <c r="Q27" s="28"/>
      <c r="R27" s="5">
        <v>910506</v>
      </c>
      <c r="S27" s="28"/>
      <c r="T27" s="5">
        <v>669569</v>
      </c>
      <c r="U27" s="28"/>
      <c r="V27" s="28"/>
      <c r="W27" s="28"/>
      <c r="X27" s="28"/>
      <c r="Y27" s="5">
        <v>166416</v>
      </c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5">
        <v>41</v>
      </c>
      <c r="AN27" s="5"/>
      <c r="AO27" s="49">
        <v>1962737</v>
      </c>
    </row>
    <row r="28" spans="1:41" ht="10.5" customHeight="1">
      <c r="A28" s="6">
        <f t="shared" si="0"/>
        <v>1984</v>
      </c>
      <c r="B28" s="6" t="s">
        <v>34</v>
      </c>
      <c r="C28" s="4">
        <v>30682</v>
      </c>
      <c r="D28" s="28"/>
      <c r="E28" s="28"/>
      <c r="F28" s="28"/>
      <c r="G28" s="28"/>
      <c r="H28" s="28"/>
      <c r="I28" s="28"/>
      <c r="J28" s="5">
        <v>2238</v>
      </c>
      <c r="K28" s="28"/>
      <c r="L28" s="28"/>
      <c r="M28" s="28"/>
      <c r="N28" s="28"/>
      <c r="O28" s="28"/>
      <c r="P28" s="28"/>
      <c r="Q28" s="28"/>
      <c r="R28" s="5">
        <v>930798</v>
      </c>
      <c r="S28" s="28"/>
      <c r="T28" s="5">
        <v>703519</v>
      </c>
      <c r="U28" s="28"/>
      <c r="V28" s="28"/>
      <c r="W28" s="28"/>
      <c r="X28" s="28"/>
      <c r="Y28" s="5">
        <v>257921</v>
      </c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5">
        <v>107</v>
      </c>
      <c r="AN28" s="5"/>
      <c r="AO28" s="49">
        <v>2047800</v>
      </c>
    </row>
    <row r="29" spans="1:41" ht="10.5" customHeight="1">
      <c r="A29" s="6">
        <f t="shared" si="0"/>
        <v>1984</v>
      </c>
      <c r="B29" s="6" t="s">
        <v>35</v>
      </c>
      <c r="C29" s="4">
        <v>30713</v>
      </c>
      <c r="D29" s="28"/>
      <c r="E29" s="28"/>
      <c r="F29" s="28"/>
      <c r="G29" s="28"/>
      <c r="H29" s="28"/>
      <c r="I29" s="28"/>
      <c r="J29" s="5">
        <v>1845</v>
      </c>
      <c r="K29" s="28"/>
      <c r="L29" s="28"/>
      <c r="M29" s="28"/>
      <c r="N29" s="28"/>
      <c r="O29" s="28"/>
      <c r="P29" s="28"/>
      <c r="Q29" s="28"/>
      <c r="R29" s="5">
        <v>1118276</v>
      </c>
      <c r="S29" s="28"/>
      <c r="T29" s="5">
        <v>890927</v>
      </c>
      <c r="U29" s="28"/>
      <c r="V29" s="28"/>
      <c r="W29" s="28"/>
      <c r="X29" s="28"/>
      <c r="Y29" s="5">
        <v>186454</v>
      </c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5">
        <v>125</v>
      </c>
      <c r="AN29" s="5"/>
      <c r="AO29" s="49">
        <v>2313744</v>
      </c>
    </row>
    <row r="30" spans="1:41" ht="10.5" customHeight="1">
      <c r="A30" s="6">
        <f t="shared" si="0"/>
        <v>1984</v>
      </c>
      <c r="B30" s="6" t="s">
        <v>36</v>
      </c>
      <c r="C30" s="4">
        <v>30742</v>
      </c>
      <c r="D30" s="28"/>
      <c r="E30" s="28"/>
      <c r="F30" s="28"/>
      <c r="G30" s="28"/>
      <c r="H30" s="28"/>
      <c r="I30" s="28"/>
      <c r="J30" s="5">
        <v>617</v>
      </c>
      <c r="K30" s="28"/>
      <c r="L30" s="28"/>
      <c r="M30" s="28"/>
      <c r="N30" s="28"/>
      <c r="O30" s="28"/>
      <c r="P30" s="28"/>
      <c r="Q30" s="28"/>
      <c r="R30" s="5">
        <v>1212103</v>
      </c>
      <c r="S30" s="28"/>
      <c r="T30" s="5">
        <v>665117</v>
      </c>
      <c r="U30" s="28"/>
      <c r="V30" s="28"/>
      <c r="W30" s="28"/>
      <c r="X30" s="28"/>
      <c r="Y30" s="5">
        <v>229156</v>
      </c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5">
        <v>123</v>
      </c>
      <c r="AN30" s="5"/>
      <c r="AO30" s="49">
        <v>2229961</v>
      </c>
    </row>
    <row r="31" spans="1:41" ht="10.5" customHeight="1">
      <c r="A31" s="6">
        <f t="shared" si="0"/>
        <v>1984</v>
      </c>
      <c r="B31" s="6" t="s">
        <v>37</v>
      </c>
      <c r="C31" s="4">
        <v>30773</v>
      </c>
      <c r="D31" s="28"/>
      <c r="E31" s="28"/>
      <c r="F31" s="28"/>
      <c r="G31" s="28"/>
      <c r="H31" s="28"/>
      <c r="I31" s="28"/>
      <c r="J31" s="5">
        <v>4221</v>
      </c>
      <c r="K31" s="28"/>
      <c r="L31" s="28"/>
      <c r="M31" s="28"/>
      <c r="N31" s="28"/>
      <c r="O31" s="28"/>
      <c r="P31" s="28"/>
      <c r="Q31" s="28"/>
      <c r="R31" s="5">
        <v>1165394</v>
      </c>
      <c r="S31" s="28"/>
      <c r="T31" s="5">
        <v>692069</v>
      </c>
      <c r="U31" s="28"/>
      <c r="V31" s="28"/>
      <c r="W31" s="28"/>
      <c r="X31" s="28"/>
      <c r="Y31" s="5">
        <v>377841</v>
      </c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5">
        <v>159</v>
      </c>
      <c r="AN31" s="5"/>
      <c r="AO31" s="49">
        <v>2516716</v>
      </c>
    </row>
    <row r="32" spans="1:41" ht="10.5" customHeight="1">
      <c r="A32" s="6">
        <f t="shared" si="0"/>
        <v>1984</v>
      </c>
      <c r="B32" s="6" t="s">
        <v>73</v>
      </c>
      <c r="C32" s="4">
        <v>30803</v>
      </c>
      <c r="D32" s="28"/>
      <c r="E32" s="28"/>
      <c r="F32" s="28"/>
      <c r="G32" s="28"/>
      <c r="H32" s="28"/>
      <c r="I32" s="28"/>
      <c r="J32" s="5">
        <v>2537</v>
      </c>
      <c r="K32" s="28"/>
      <c r="L32" s="28"/>
      <c r="M32" s="28"/>
      <c r="N32" s="28"/>
      <c r="O32" s="28"/>
      <c r="P32" s="28"/>
      <c r="Q32" s="28"/>
      <c r="R32" s="5">
        <v>1296196</v>
      </c>
      <c r="S32" s="28"/>
      <c r="T32" s="5">
        <v>795700</v>
      </c>
      <c r="U32" s="28"/>
      <c r="V32" s="28"/>
      <c r="W32" s="28"/>
      <c r="X32" s="28"/>
      <c r="Y32" s="5">
        <v>212666</v>
      </c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5">
        <v>56</v>
      </c>
      <c r="AN32" s="5"/>
      <c r="AO32" s="49">
        <v>2476542</v>
      </c>
    </row>
    <row r="33" spans="1:41" ht="10.5" customHeight="1">
      <c r="A33" s="6">
        <f t="shared" si="0"/>
        <v>1984</v>
      </c>
      <c r="B33" s="6" t="s">
        <v>39</v>
      </c>
      <c r="C33" s="4">
        <v>30834</v>
      </c>
      <c r="D33" s="28"/>
      <c r="E33" s="28"/>
      <c r="F33" s="28"/>
      <c r="G33" s="28"/>
      <c r="H33" s="28"/>
      <c r="I33" s="28"/>
      <c r="J33" s="5">
        <v>756</v>
      </c>
      <c r="K33" s="28"/>
      <c r="L33" s="28"/>
      <c r="M33" s="28"/>
      <c r="N33" s="28"/>
      <c r="O33" s="28"/>
      <c r="P33" s="28"/>
      <c r="Q33" s="28"/>
      <c r="R33" s="5">
        <v>1288496</v>
      </c>
      <c r="S33" s="28"/>
      <c r="T33" s="5">
        <v>822609</v>
      </c>
      <c r="U33" s="28"/>
      <c r="V33" s="28"/>
      <c r="W33" s="28"/>
      <c r="X33" s="28"/>
      <c r="Y33" s="5">
        <v>222298</v>
      </c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5">
        <v>55</v>
      </c>
      <c r="AN33" s="5"/>
      <c r="AO33" s="49">
        <v>2552131</v>
      </c>
    </row>
    <row r="34" spans="1:41" ht="10.5" customHeight="1">
      <c r="A34" s="6">
        <f t="shared" si="0"/>
        <v>1984</v>
      </c>
      <c r="B34" s="6" t="s">
        <v>40</v>
      </c>
      <c r="C34" s="4">
        <v>30864</v>
      </c>
      <c r="D34" s="28"/>
      <c r="E34" s="28"/>
      <c r="F34" s="28"/>
      <c r="G34" s="28"/>
      <c r="H34" s="28"/>
      <c r="I34" s="28"/>
      <c r="J34" s="5">
        <v>1943</v>
      </c>
      <c r="K34" s="28"/>
      <c r="L34" s="28"/>
      <c r="M34" s="28"/>
      <c r="N34" s="28"/>
      <c r="O34" s="28"/>
      <c r="P34" s="28"/>
      <c r="Q34" s="28"/>
      <c r="R34" s="5">
        <v>1247069</v>
      </c>
      <c r="S34" s="28"/>
      <c r="T34" s="5">
        <v>815968</v>
      </c>
      <c r="U34" s="28"/>
      <c r="V34" s="28"/>
      <c r="W34" s="28"/>
      <c r="X34" s="28"/>
      <c r="Y34" s="5">
        <v>183296</v>
      </c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5">
        <v>28</v>
      </c>
      <c r="AN34" s="5"/>
      <c r="AO34" s="49">
        <v>2500442</v>
      </c>
    </row>
    <row r="35" spans="1:41" ht="10.5" customHeight="1">
      <c r="A35" s="6">
        <f t="shared" si="0"/>
        <v>1984</v>
      </c>
      <c r="B35" s="6" t="s">
        <v>41</v>
      </c>
      <c r="C35" s="4">
        <v>30895</v>
      </c>
      <c r="D35" s="28"/>
      <c r="E35" s="28"/>
      <c r="F35" s="28"/>
      <c r="G35" s="28"/>
      <c r="H35" s="28"/>
      <c r="I35" s="28"/>
      <c r="J35" s="5">
        <v>751</v>
      </c>
      <c r="K35" s="28"/>
      <c r="L35" s="28"/>
      <c r="M35" s="28"/>
      <c r="N35" s="28"/>
      <c r="O35" s="28"/>
      <c r="P35" s="28"/>
      <c r="Q35" s="28"/>
      <c r="R35" s="5">
        <v>1394516</v>
      </c>
      <c r="S35" s="28"/>
      <c r="T35" s="5">
        <v>944215</v>
      </c>
      <c r="U35" s="28"/>
      <c r="V35" s="28"/>
      <c r="W35" s="28"/>
      <c r="X35" s="28"/>
      <c r="Y35" s="5">
        <v>233124</v>
      </c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5">
        <v>239</v>
      </c>
      <c r="AN35" s="5"/>
      <c r="AO35" s="49">
        <v>2856093</v>
      </c>
    </row>
    <row r="36" spans="1:41" ht="10.5" customHeight="1">
      <c r="A36" s="6">
        <f t="shared" si="0"/>
        <v>1984</v>
      </c>
      <c r="B36" s="6" t="s">
        <v>42</v>
      </c>
      <c r="C36" s="4">
        <v>30926</v>
      </c>
      <c r="D36" s="28"/>
      <c r="E36" s="28"/>
      <c r="F36" s="28"/>
      <c r="G36" s="28"/>
      <c r="H36" s="28"/>
      <c r="I36" s="28"/>
      <c r="J36" s="5">
        <v>1358</v>
      </c>
      <c r="K36" s="28"/>
      <c r="L36" s="28"/>
      <c r="M36" s="28"/>
      <c r="N36" s="28"/>
      <c r="O36" s="28"/>
      <c r="P36" s="28"/>
      <c r="Q36" s="28"/>
      <c r="R36" s="5">
        <v>1440937</v>
      </c>
      <c r="S36" s="28"/>
      <c r="T36" s="5">
        <v>1520565</v>
      </c>
      <c r="U36" s="28"/>
      <c r="V36" s="28"/>
      <c r="W36" s="28"/>
      <c r="X36" s="28"/>
      <c r="Y36" s="5">
        <v>202198</v>
      </c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5">
        <v>54</v>
      </c>
      <c r="AN36" s="5"/>
      <c r="AO36" s="49">
        <v>3508572</v>
      </c>
    </row>
    <row r="37" spans="1:41" ht="10.5" customHeight="1">
      <c r="A37" s="6">
        <f t="shared" si="0"/>
        <v>1984</v>
      </c>
      <c r="B37" s="6" t="s">
        <v>43</v>
      </c>
      <c r="C37" s="4">
        <v>30956</v>
      </c>
      <c r="D37" s="28"/>
      <c r="E37" s="28"/>
      <c r="F37" s="28"/>
      <c r="G37" s="28"/>
      <c r="H37" s="28"/>
      <c r="I37" s="28"/>
      <c r="J37" s="5">
        <v>5220</v>
      </c>
      <c r="K37" s="28"/>
      <c r="L37" s="28"/>
      <c r="M37" s="28"/>
      <c r="N37" s="28"/>
      <c r="O37" s="28"/>
      <c r="P37" s="28"/>
      <c r="Q37" s="28"/>
      <c r="R37" s="5">
        <v>1518639</v>
      </c>
      <c r="S37" s="28"/>
      <c r="T37" s="5">
        <v>557684</v>
      </c>
      <c r="U37" s="28"/>
      <c r="V37" s="28"/>
      <c r="W37" s="28"/>
      <c r="X37" s="28"/>
      <c r="Y37" s="5">
        <v>287107</v>
      </c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5">
        <v>168</v>
      </c>
      <c r="AN37" s="5"/>
      <c r="AO37" s="49">
        <v>2740731</v>
      </c>
    </row>
    <row r="38" spans="1:41" ht="10.5" customHeight="1">
      <c r="A38" s="6">
        <f t="shared" si="0"/>
        <v>1984</v>
      </c>
      <c r="B38" s="6" t="s">
        <v>44</v>
      </c>
      <c r="C38" s="4">
        <v>30987</v>
      </c>
      <c r="D38" s="28"/>
      <c r="E38" s="28"/>
      <c r="F38" s="28"/>
      <c r="G38" s="28"/>
      <c r="H38" s="28"/>
      <c r="I38" s="28"/>
      <c r="J38" s="5">
        <v>1338</v>
      </c>
      <c r="K38" s="28"/>
      <c r="L38" s="28"/>
      <c r="M38" s="28"/>
      <c r="N38" s="28"/>
      <c r="O38" s="28"/>
      <c r="P38" s="28"/>
      <c r="Q38" s="28"/>
      <c r="R38" s="5">
        <v>1622799</v>
      </c>
      <c r="S38" s="28"/>
      <c r="T38" s="5">
        <v>837118</v>
      </c>
      <c r="U38" s="28"/>
      <c r="V38" s="28"/>
      <c r="W38" s="28"/>
      <c r="X38" s="28"/>
      <c r="Y38" s="5">
        <v>229439</v>
      </c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5">
        <v>9</v>
      </c>
      <c r="AN38" s="5"/>
      <c r="AO38" s="49">
        <v>3030976</v>
      </c>
    </row>
    <row r="39" spans="1:41" ht="10.5" customHeight="1">
      <c r="A39" s="6">
        <f t="shared" si="0"/>
        <v>1984</v>
      </c>
      <c r="B39" s="6" t="s">
        <v>45</v>
      </c>
      <c r="C39" s="4">
        <v>31017</v>
      </c>
      <c r="D39" s="28"/>
      <c r="E39" s="28"/>
      <c r="F39" s="28"/>
      <c r="G39" s="28"/>
      <c r="H39" s="28"/>
      <c r="I39" s="28"/>
      <c r="J39" s="5">
        <v>841</v>
      </c>
      <c r="K39" s="28"/>
      <c r="L39" s="28"/>
      <c r="M39" s="28"/>
      <c r="N39" s="28"/>
      <c r="O39" s="28"/>
      <c r="P39" s="28"/>
      <c r="Q39" s="28"/>
      <c r="R39" s="5">
        <v>1707206</v>
      </c>
      <c r="S39" s="28"/>
      <c r="T39" s="5">
        <v>1162991</v>
      </c>
      <c r="U39" s="28"/>
      <c r="V39" s="28"/>
      <c r="W39" s="28"/>
      <c r="X39" s="28"/>
      <c r="Y39" s="5">
        <v>206368</v>
      </c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5">
        <v>63</v>
      </c>
      <c r="AN39" s="5"/>
      <c r="AO39" s="49">
        <v>3530466</v>
      </c>
    </row>
    <row r="40" spans="1:41" ht="10.5" customHeight="1">
      <c r="A40" s="6">
        <f t="shared" si="0"/>
        <v>1985</v>
      </c>
      <c r="B40" s="6" t="s">
        <v>34</v>
      </c>
      <c r="C40" s="4">
        <v>31048</v>
      </c>
      <c r="D40" s="28"/>
      <c r="E40" s="28"/>
      <c r="F40" s="28"/>
      <c r="G40" s="28"/>
      <c r="H40" s="28"/>
      <c r="I40" s="28"/>
      <c r="J40" s="5">
        <v>4681</v>
      </c>
      <c r="K40" s="28"/>
      <c r="L40" s="28"/>
      <c r="M40" s="28"/>
      <c r="N40" s="28"/>
      <c r="O40" s="28"/>
      <c r="P40" s="28"/>
      <c r="Q40" s="28"/>
      <c r="R40" s="5">
        <v>1703912</v>
      </c>
      <c r="S40" s="28"/>
      <c r="T40" s="5">
        <v>1280246</v>
      </c>
      <c r="U40" s="28"/>
      <c r="V40" s="28"/>
      <c r="W40" s="28"/>
      <c r="X40" s="28"/>
      <c r="Y40" s="5">
        <v>270807</v>
      </c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5">
        <v>103</v>
      </c>
      <c r="AN40" s="5"/>
      <c r="AO40" s="49">
        <v>3908806</v>
      </c>
    </row>
    <row r="41" spans="1:41" ht="10.5" customHeight="1">
      <c r="A41" s="6">
        <f t="shared" si="0"/>
        <v>1985</v>
      </c>
      <c r="B41" s="6" t="s">
        <v>35</v>
      </c>
      <c r="C41" s="4">
        <v>31079</v>
      </c>
      <c r="D41" s="28"/>
      <c r="E41" s="28"/>
      <c r="F41" s="28"/>
      <c r="G41" s="28"/>
      <c r="H41" s="28"/>
      <c r="I41" s="28"/>
      <c r="J41" s="5">
        <v>492</v>
      </c>
      <c r="K41" s="28"/>
      <c r="L41" s="28"/>
      <c r="M41" s="28"/>
      <c r="N41" s="28"/>
      <c r="O41" s="28"/>
      <c r="P41" s="28"/>
      <c r="Q41" s="28"/>
      <c r="R41" s="5">
        <v>1065559</v>
      </c>
      <c r="S41" s="28"/>
      <c r="T41" s="5">
        <v>886726</v>
      </c>
      <c r="U41" s="28"/>
      <c r="V41" s="28"/>
      <c r="W41" s="28"/>
      <c r="X41" s="28"/>
      <c r="Y41" s="5">
        <v>152646</v>
      </c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5">
        <v>3</v>
      </c>
      <c r="AN41" s="5"/>
      <c r="AO41" s="49">
        <v>2399578</v>
      </c>
    </row>
    <row r="42" spans="1:41" ht="10.5" customHeight="1">
      <c r="A42" s="6">
        <f t="shared" si="0"/>
        <v>1985</v>
      </c>
      <c r="B42" s="6" t="s">
        <v>36</v>
      </c>
      <c r="C42" s="4">
        <v>31107</v>
      </c>
      <c r="D42" s="28"/>
      <c r="E42" s="28"/>
      <c r="F42" s="28"/>
      <c r="G42" s="28"/>
      <c r="H42" s="28"/>
      <c r="I42" s="28"/>
      <c r="J42" s="5">
        <v>3728</v>
      </c>
      <c r="K42" s="28"/>
      <c r="L42" s="28"/>
      <c r="M42" s="28"/>
      <c r="N42" s="28"/>
      <c r="O42" s="28"/>
      <c r="P42" s="28"/>
      <c r="Q42" s="28"/>
      <c r="R42" s="5">
        <v>2943953</v>
      </c>
      <c r="S42" s="28"/>
      <c r="T42" s="5">
        <v>1815171</v>
      </c>
      <c r="U42" s="28"/>
      <c r="V42" s="28"/>
      <c r="W42" s="28"/>
      <c r="X42" s="28"/>
      <c r="Y42" s="5">
        <v>351666</v>
      </c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5">
        <v>327</v>
      </c>
      <c r="AN42" s="5"/>
      <c r="AO42" s="49">
        <v>5832930</v>
      </c>
    </row>
    <row r="43" spans="1:41" ht="10.5" customHeight="1">
      <c r="A43" s="6">
        <f t="shared" si="0"/>
        <v>1985</v>
      </c>
      <c r="B43" s="6" t="s">
        <v>37</v>
      </c>
      <c r="C43" s="4">
        <v>31138</v>
      </c>
      <c r="D43" s="28"/>
      <c r="E43" s="28"/>
      <c r="F43" s="28"/>
      <c r="G43" s="28"/>
      <c r="H43" s="28"/>
      <c r="I43" s="28"/>
      <c r="J43" s="5">
        <v>7383</v>
      </c>
      <c r="K43" s="28"/>
      <c r="L43" s="28"/>
      <c r="M43" s="28"/>
      <c r="N43" s="28"/>
      <c r="O43" s="28"/>
      <c r="P43" s="28"/>
      <c r="Q43" s="28"/>
      <c r="R43" s="5">
        <v>2031769</v>
      </c>
      <c r="S43" s="28"/>
      <c r="T43" s="5">
        <v>1236679</v>
      </c>
      <c r="U43" s="28"/>
      <c r="V43" s="28"/>
      <c r="W43" s="28"/>
      <c r="X43" s="28"/>
      <c r="Y43" s="5">
        <v>553036</v>
      </c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5">
        <v>2</v>
      </c>
      <c r="AN43" s="5"/>
      <c r="AO43" s="49">
        <v>4677007</v>
      </c>
    </row>
    <row r="44" spans="1:41" ht="10.5" customHeight="1">
      <c r="A44" s="6">
        <f t="shared" si="0"/>
        <v>1985</v>
      </c>
      <c r="B44" s="6" t="s">
        <v>73</v>
      </c>
      <c r="C44" s="4">
        <v>31168</v>
      </c>
      <c r="D44" s="28"/>
      <c r="E44" s="28"/>
      <c r="F44" s="28"/>
      <c r="G44" s="28"/>
      <c r="H44" s="28"/>
      <c r="I44" s="28"/>
      <c r="J44" s="5">
        <v>1885</v>
      </c>
      <c r="K44" s="28"/>
      <c r="L44" s="28"/>
      <c r="M44" s="28"/>
      <c r="N44" s="28"/>
      <c r="O44" s="28"/>
      <c r="P44" s="28"/>
      <c r="Q44" s="28"/>
      <c r="R44" s="5">
        <v>2189370</v>
      </c>
      <c r="S44" s="28"/>
      <c r="T44" s="5">
        <v>1571854</v>
      </c>
      <c r="U44" s="28"/>
      <c r="V44" s="28"/>
      <c r="W44" s="28"/>
      <c r="X44" s="28"/>
      <c r="Y44" s="5">
        <v>323971</v>
      </c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5">
        <v>97</v>
      </c>
      <c r="AN44" s="5"/>
      <c r="AO44" s="49">
        <v>4665412</v>
      </c>
    </row>
    <row r="45" spans="1:41" ht="10.5" customHeight="1">
      <c r="A45" s="6">
        <f t="shared" si="0"/>
        <v>1985</v>
      </c>
      <c r="B45" s="6" t="s">
        <v>39</v>
      </c>
      <c r="C45" s="4">
        <v>31199</v>
      </c>
      <c r="D45" s="28"/>
      <c r="E45" s="28"/>
      <c r="F45" s="28"/>
      <c r="G45" s="28"/>
      <c r="H45" s="28"/>
      <c r="I45" s="28"/>
      <c r="J45" s="5">
        <v>1398</v>
      </c>
      <c r="K45" s="28"/>
      <c r="L45" s="28"/>
      <c r="M45" s="28"/>
      <c r="N45" s="28"/>
      <c r="O45" s="28"/>
      <c r="P45" s="28"/>
      <c r="Q45" s="28"/>
      <c r="R45" s="5">
        <v>2087034</v>
      </c>
      <c r="S45" s="28"/>
      <c r="T45" s="5">
        <v>1467289</v>
      </c>
      <c r="U45" s="28"/>
      <c r="V45" s="28"/>
      <c r="W45" s="28"/>
      <c r="X45" s="28"/>
      <c r="Y45" s="5">
        <v>312361</v>
      </c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5">
        <v>141</v>
      </c>
      <c r="AN45" s="5"/>
      <c r="AO45" s="49">
        <v>4319233</v>
      </c>
    </row>
    <row r="46" spans="1:41" ht="10.5" customHeight="1">
      <c r="A46" s="6">
        <f t="shared" si="0"/>
        <v>1985</v>
      </c>
      <c r="B46" s="6" t="s">
        <v>40</v>
      </c>
      <c r="C46" s="4">
        <v>31229</v>
      </c>
      <c r="D46" s="28"/>
      <c r="E46" s="28"/>
      <c r="F46" s="28"/>
      <c r="G46" s="28"/>
      <c r="H46" s="28"/>
      <c r="I46" s="28"/>
      <c r="J46" s="5">
        <v>3836</v>
      </c>
      <c r="K46" s="28"/>
      <c r="L46" s="28"/>
      <c r="M46" s="28"/>
      <c r="N46" s="28"/>
      <c r="O46" s="28"/>
      <c r="P46" s="28"/>
      <c r="Q46" s="28"/>
      <c r="R46" s="5">
        <v>2249662</v>
      </c>
      <c r="S46" s="28"/>
      <c r="T46" s="5">
        <v>1784228</v>
      </c>
      <c r="U46" s="28"/>
      <c r="V46" s="28"/>
      <c r="W46" s="28"/>
      <c r="X46" s="28"/>
      <c r="Y46" s="5">
        <v>311668</v>
      </c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5">
        <v>74</v>
      </c>
      <c r="AN46" s="5"/>
      <c r="AO46" s="49">
        <v>5464268</v>
      </c>
    </row>
    <row r="47" spans="1:41" ht="10.5" customHeight="1">
      <c r="A47" s="6">
        <f t="shared" si="0"/>
        <v>1985</v>
      </c>
      <c r="B47" s="6" t="s">
        <v>41</v>
      </c>
      <c r="C47" s="4">
        <v>31260</v>
      </c>
      <c r="D47" s="28"/>
      <c r="E47" s="28"/>
      <c r="F47" s="28"/>
      <c r="G47" s="28"/>
      <c r="H47" s="28"/>
      <c r="I47" s="28"/>
      <c r="J47" s="5">
        <v>651</v>
      </c>
      <c r="K47" s="28"/>
      <c r="L47" s="28"/>
      <c r="M47" s="28"/>
      <c r="N47" s="28"/>
      <c r="O47" s="28"/>
      <c r="P47" s="28"/>
      <c r="Q47" s="28"/>
      <c r="R47" s="5">
        <v>2707310</v>
      </c>
      <c r="S47" s="28"/>
      <c r="T47" s="5">
        <v>1708732</v>
      </c>
      <c r="U47" s="28"/>
      <c r="V47" s="28"/>
      <c r="W47" s="28"/>
      <c r="X47" s="28"/>
      <c r="Y47" s="5">
        <v>325817</v>
      </c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5">
        <v>1517</v>
      </c>
      <c r="AN47" s="5"/>
      <c r="AO47" s="49">
        <v>5638256</v>
      </c>
    </row>
    <row r="48" spans="1:41" ht="10.5" customHeight="1">
      <c r="A48" s="6">
        <f t="shared" si="0"/>
        <v>1985</v>
      </c>
      <c r="B48" s="6" t="s">
        <v>42</v>
      </c>
      <c r="C48" s="4">
        <v>31291</v>
      </c>
      <c r="D48" s="28"/>
      <c r="E48" s="28"/>
      <c r="F48" s="28"/>
      <c r="G48" s="28"/>
      <c r="H48" s="28"/>
      <c r="I48" s="28"/>
      <c r="J48" s="5">
        <v>2181</v>
      </c>
      <c r="K48" s="28"/>
      <c r="L48" s="28"/>
      <c r="M48" s="28"/>
      <c r="N48" s="28"/>
      <c r="O48" s="28"/>
      <c r="P48" s="28"/>
      <c r="Q48" s="28"/>
      <c r="R48" s="5">
        <v>2924106</v>
      </c>
      <c r="S48" s="28"/>
      <c r="T48" s="5">
        <v>1838829</v>
      </c>
      <c r="U48" s="28"/>
      <c r="V48" s="28"/>
      <c r="W48" s="28"/>
      <c r="X48" s="28"/>
      <c r="Y48" s="5">
        <v>294966</v>
      </c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5">
        <v>2</v>
      </c>
      <c r="AN48" s="5"/>
      <c r="AO48" s="49">
        <v>5759057</v>
      </c>
    </row>
    <row r="49" spans="1:41" ht="10.5" customHeight="1">
      <c r="A49" s="6">
        <f t="shared" si="0"/>
        <v>1985</v>
      </c>
      <c r="B49" s="6" t="s">
        <v>43</v>
      </c>
      <c r="C49" s="4">
        <v>31321</v>
      </c>
      <c r="D49" s="28"/>
      <c r="E49" s="28"/>
      <c r="F49" s="28"/>
      <c r="G49" s="28"/>
      <c r="H49" s="28"/>
      <c r="I49" s="28"/>
      <c r="J49" s="5">
        <v>5001</v>
      </c>
      <c r="K49" s="28"/>
      <c r="L49" s="28"/>
      <c r="M49" s="28"/>
      <c r="N49" s="28"/>
      <c r="O49" s="28"/>
      <c r="P49" s="28"/>
      <c r="Q49" s="28"/>
      <c r="R49" s="5">
        <v>3308622</v>
      </c>
      <c r="S49" s="28"/>
      <c r="T49" s="5">
        <v>1982060</v>
      </c>
      <c r="U49" s="28"/>
      <c r="V49" s="28"/>
      <c r="W49" s="28"/>
      <c r="X49" s="28"/>
      <c r="Y49" s="5">
        <v>479929</v>
      </c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5">
        <v>18</v>
      </c>
      <c r="AN49" s="5"/>
      <c r="AO49" s="49">
        <v>6674960</v>
      </c>
    </row>
    <row r="50" spans="1:41" ht="10.5" customHeight="1">
      <c r="A50" s="6">
        <f t="shared" si="0"/>
        <v>1985</v>
      </c>
      <c r="B50" s="6" t="s">
        <v>44</v>
      </c>
      <c r="C50" s="4">
        <v>31352</v>
      </c>
      <c r="D50" s="28"/>
      <c r="E50" s="28"/>
      <c r="F50" s="28"/>
      <c r="G50" s="28"/>
      <c r="H50" s="28"/>
      <c r="I50" s="28"/>
      <c r="J50" s="5">
        <v>5440</v>
      </c>
      <c r="K50" s="28"/>
      <c r="L50" s="28"/>
      <c r="M50" s="28"/>
      <c r="N50" s="28"/>
      <c r="O50" s="28"/>
      <c r="P50" s="28"/>
      <c r="Q50" s="28"/>
      <c r="R50" s="5">
        <v>3239172</v>
      </c>
      <c r="S50" s="28"/>
      <c r="T50" s="5">
        <v>1889391</v>
      </c>
      <c r="U50" s="28"/>
      <c r="V50" s="28"/>
      <c r="W50" s="28"/>
      <c r="X50" s="28"/>
      <c r="Y50" s="5">
        <v>422993</v>
      </c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5">
        <v>611266</v>
      </c>
      <c r="AN50" s="5"/>
      <c r="AO50" s="49">
        <v>6213165</v>
      </c>
    </row>
    <row r="51" spans="1:41" ht="10.5" customHeight="1">
      <c r="A51" s="6">
        <f t="shared" si="0"/>
        <v>1985</v>
      </c>
      <c r="B51" s="6" t="s">
        <v>45</v>
      </c>
      <c r="C51" s="4">
        <v>31382</v>
      </c>
      <c r="D51" s="28"/>
      <c r="E51" s="28"/>
      <c r="F51" s="28"/>
      <c r="G51" s="28"/>
      <c r="H51" s="28"/>
      <c r="I51" s="28"/>
      <c r="J51" s="5">
        <v>3189</v>
      </c>
      <c r="K51" s="28"/>
      <c r="L51" s="28"/>
      <c r="M51" s="28"/>
      <c r="N51" s="28"/>
      <c r="O51" s="28"/>
      <c r="P51" s="28"/>
      <c r="Q51" s="28"/>
      <c r="R51" s="5">
        <v>3674860</v>
      </c>
      <c r="S51" s="28"/>
      <c r="T51" s="5">
        <v>2468092</v>
      </c>
      <c r="U51" s="28"/>
      <c r="V51" s="28"/>
      <c r="W51" s="28"/>
      <c r="X51" s="28"/>
      <c r="Y51" s="5">
        <v>346068</v>
      </c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5">
        <v>4802</v>
      </c>
      <c r="AM51" s="5"/>
      <c r="AN51" s="5"/>
      <c r="AO51" s="49">
        <v>8203478</v>
      </c>
    </row>
    <row r="52" spans="1:41" ht="10.5" customHeight="1">
      <c r="A52" s="6">
        <f t="shared" si="0"/>
        <v>1986</v>
      </c>
      <c r="B52" s="6" t="s">
        <v>34</v>
      </c>
      <c r="C52" s="4">
        <v>31413</v>
      </c>
      <c r="D52" s="28"/>
      <c r="E52" s="28"/>
      <c r="F52" s="28"/>
      <c r="G52" s="28"/>
      <c r="H52" s="28"/>
      <c r="I52" s="28"/>
      <c r="J52" s="5">
        <v>9960</v>
      </c>
      <c r="K52" s="28"/>
      <c r="L52" s="28"/>
      <c r="M52" s="28"/>
      <c r="N52" s="28"/>
      <c r="O52" s="28"/>
      <c r="P52" s="28"/>
      <c r="Q52" s="28"/>
      <c r="R52" s="5">
        <v>3222820</v>
      </c>
      <c r="S52" s="28"/>
      <c r="T52" s="5">
        <v>2090161</v>
      </c>
      <c r="U52" s="28"/>
      <c r="V52" s="28"/>
      <c r="W52" s="28"/>
      <c r="X52" s="28"/>
      <c r="Y52" s="5">
        <v>452103</v>
      </c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5">
        <v>7492</v>
      </c>
      <c r="AM52" s="5">
        <v>76789</v>
      </c>
      <c r="AN52" s="5"/>
      <c r="AO52" s="49">
        <v>7054396</v>
      </c>
    </row>
    <row r="53" spans="1:41" ht="10.5" customHeight="1">
      <c r="A53" s="6">
        <f t="shared" si="0"/>
        <v>1986</v>
      </c>
      <c r="B53" s="6" t="s">
        <v>35</v>
      </c>
      <c r="C53" s="4">
        <v>31444</v>
      </c>
      <c r="D53" s="28"/>
      <c r="E53" s="28"/>
      <c r="F53" s="28"/>
      <c r="G53" s="28"/>
      <c r="H53" s="28"/>
      <c r="I53" s="28"/>
      <c r="J53" s="5">
        <v>5658</v>
      </c>
      <c r="K53" s="28"/>
      <c r="L53" s="28"/>
      <c r="M53" s="28"/>
      <c r="N53" s="28"/>
      <c r="O53" s="28"/>
      <c r="P53" s="28"/>
      <c r="Q53" s="28"/>
      <c r="R53" s="5">
        <v>3680044</v>
      </c>
      <c r="S53" s="28"/>
      <c r="T53" s="5">
        <v>2688740</v>
      </c>
      <c r="U53" s="28"/>
      <c r="V53" s="28"/>
      <c r="W53" s="28"/>
      <c r="X53" s="28"/>
      <c r="Y53" s="5">
        <v>429760</v>
      </c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5">
        <v>553</v>
      </c>
      <c r="AM53" s="5">
        <v>13403</v>
      </c>
      <c r="AN53" s="5"/>
      <c r="AO53" s="49">
        <v>7943086</v>
      </c>
    </row>
    <row r="54" spans="1:41" ht="10.5" customHeight="1">
      <c r="A54" s="6">
        <f t="shared" si="0"/>
        <v>1986</v>
      </c>
      <c r="B54" s="6" t="s">
        <v>36</v>
      </c>
      <c r="C54" s="4">
        <v>31472</v>
      </c>
      <c r="D54" s="28"/>
      <c r="E54" s="28"/>
      <c r="F54" s="28"/>
      <c r="G54" s="28"/>
      <c r="H54" s="28"/>
      <c r="I54" s="28"/>
      <c r="J54" s="5">
        <v>3245</v>
      </c>
      <c r="K54" s="28"/>
      <c r="L54" s="28"/>
      <c r="M54" s="28"/>
      <c r="N54" s="28"/>
      <c r="O54" s="28"/>
      <c r="P54" s="28"/>
      <c r="Q54" s="28"/>
      <c r="R54" s="5">
        <v>4074331</v>
      </c>
      <c r="S54" s="28"/>
      <c r="T54" s="5">
        <v>2605087</v>
      </c>
      <c r="U54" s="28"/>
      <c r="V54" s="28"/>
      <c r="W54" s="28"/>
      <c r="X54" s="28"/>
      <c r="Y54" s="5">
        <v>467722</v>
      </c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5">
        <v>1422</v>
      </c>
      <c r="AM54" s="5">
        <v>3772</v>
      </c>
      <c r="AN54" s="5"/>
      <c r="AO54" s="49">
        <v>8231425</v>
      </c>
    </row>
    <row r="55" spans="1:41" ht="10.5" customHeight="1">
      <c r="A55" s="6">
        <f t="shared" si="0"/>
        <v>1986</v>
      </c>
      <c r="B55" s="6" t="s">
        <v>37</v>
      </c>
      <c r="C55" s="4">
        <v>31503</v>
      </c>
      <c r="D55" s="28"/>
      <c r="E55" s="28"/>
      <c r="F55" s="28"/>
      <c r="G55" s="28"/>
      <c r="H55" s="28"/>
      <c r="I55" s="28"/>
      <c r="J55" s="5">
        <v>18069</v>
      </c>
      <c r="K55" s="28"/>
      <c r="L55" s="28"/>
      <c r="M55" s="28"/>
      <c r="N55" s="28"/>
      <c r="O55" s="28"/>
      <c r="P55" s="28"/>
      <c r="Q55" s="28"/>
      <c r="R55" s="5">
        <v>4025273</v>
      </c>
      <c r="S55" s="28"/>
      <c r="T55" s="5">
        <v>2834427</v>
      </c>
      <c r="U55" s="28"/>
      <c r="V55" s="28"/>
      <c r="W55" s="28"/>
      <c r="X55" s="28"/>
      <c r="Y55" s="5">
        <v>862509</v>
      </c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5">
        <v>4351</v>
      </c>
      <c r="AM55" s="5">
        <v>9712</v>
      </c>
      <c r="AN55" s="5"/>
      <c r="AO55" s="49">
        <v>9985460</v>
      </c>
    </row>
    <row r="56" spans="1:41" ht="10.5" customHeight="1">
      <c r="A56" s="6">
        <f t="shared" si="0"/>
        <v>1986</v>
      </c>
      <c r="B56" s="6" t="s">
        <v>73</v>
      </c>
      <c r="C56" s="4">
        <v>31533</v>
      </c>
      <c r="D56" s="28"/>
      <c r="E56" s="28"/>
      <c r="F56" s="28"/>
      <c r="G56" s="28"/>
      <c r="H56" s="28"/>
      <c r="I56" s="28"/>
      <c r="J56" s="5">
        <v>6281</v>
      </c>
      <c r="K56" s="28"/>
      <c r="L56" s="28"/>
      <c r="M56" s="28"/>
      <c r="N56" s="28"/>
      <c r="O56" s="28"/>
      <c r="P56" s="28"/>
      <c r="Q56" s="28"/>
      <c r="R56" s="5">
        <v>3842248</v>
      </c>
      <c r="S56" s="28"/>
      <c r="T56" s="5">
        <v>2468237</v>
      </c>
      <c r="U56" s="28"/>
      <c r="V56" s="28"/>
      <c r="W56" s="28"/>
      <c r="X56" s="28"/>
      <c r="Y56" s="5">
        <v>479712</v>
      </c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5">
        <v>2089</v>
      </c>
      <c r="AM56" s="5">
        <v>4588</v>
      </c>
      <c r="AN56" s="5"/>
      <c r="AO56" s="49">
        <v>8459851</v>
      </c>
    </row>
    <row r="57" spans="1:41" ht="10.5" customHeight="1">
      <c r="A57" s="6">
        <f t="shared" si="0"/>
        <v>1986</v>
      </c>
      <c r="B57" s="6" t="s">
        <v>39</v>
      </c>
      <c r="C57" s="4">
        <v>31564</v>
      </c>
      <c r="D57" s="28"/>
      <c r="E57" s="28"/>
      <c r="F57" s="28"/>
      <c r="G57" s="28"/>
      <c r="H57" s="28"/>
      <c r="I57" s="28"/>
      <c r="J57" s="5">
        <v>2890</v>
      </c>
      <c r="K57" s="28"/>
      <c r="L57" s="28"/>
      <c r="M57" s="28"/>
      <c r="N57" s="28"/>
      <c r="O57" s="28"/>
      <c r="P57" s="28"/>
      <c r="Q57" s="28"/>
      <c r="R57" s="5">
        <v>4444796</v>
      </c>
      <c r="S57" s="28"/>
      <c r="T57" s="5">
        <v>2783044</v>
      </c>
      <c r="U57" s="28"/>
      <c r="V57" s="28"/>
      <c r="W57" s="28"/>
      <c r="X57" s="28"/>
      <c r="Y57" s="5">
        <v>506209</v>
      </c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5">
        <v>525</v>
      </c>
      <c r="AM57" s="5">
        <v>2741</v>
      </c>
      <c r="AN57" s="5"/>
      <c r="AO57" s="49">
        <v>9138615</v>
      </c>
    </row>
    <row r="58" spans="1:41" ht="10.5" customHeight="1">
      <c r="A58" s="6">
        <f t="shared" si="0"/>
        <v>1986</v>
      </c>
      <c r="B58" s="6" t="s">
        <v>40</v>
      </c>
      <c r="C58" s="4">
        <v>31594</v>
      </c>
      <c r="D58" s="28"/>
      <c r="E58" s="28"/>
      <c r="F58" s="28"/>
      <c r="G58" s="28"/>
      <c r="H58" s="28"/>
      <c r="I58" s="28"/>
      <c r="J58" s="5">
        <v>2997</v>
      </c>
      <c r="K58" s="28"/>
      <c r="L58" s="28"/>
      <c r="M58" s="28"/>
      <c r="N58" s="28"/>
      <c r="O58" s="28"/>
      <c r="P58" s="28"/>
      <c r="Q58" s="28"/>
      <c r="R58" s="5">
        <v>4876174</v>
      </c>
      <c r="S58" s="28"/>
      <c r="T58" s="5">
        <v>2624520</v>
      </c>
      <c r="U58" s="28"/>
      <c r="V58" s="28"/>
      <c r="W58" s="28"/>
      <c r="X58" s="28"/>
      <c r="Y58" s="5">
        <v>611674</v>
      </c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5">
        <v>1008</v>
      </c>
      <c r="AM58" s="5">
        <v>2251</v>
      </c>
      <c r="AN58" s="5"/>
      <c r="AO58" s="49">
        <v>9361974</v>
      </c>
    </row>
    <row r="59" spans="1:41" ht="10.5" customHeight="1">
      <c r="A59" s="6">
        <f t="shared" si="0"/>
        <v>1986</v>
      </c>
      <c r="B59" s="6" t="s">
        <v>41</v>
      </c>
      <c r="C59" s="4">
        <v>31625</v>
      </c>
      <c r="D59" s="28"/>
      <c r="E59" s="28"/>
      <c r="F59" s="28"/>
      <c r="G59" s="28"/>
      <c r="H59" s="28"/>
      <c r="I59" s="28"/>
      <c r="J59" s="5">
        <v>2445</v>
      </c>
      <c r="K59" s="28"/>
      <c r="L59" s="28"/>
      <c r="M59" s="28"/>
      <c r="N59" s="28"/>
      <c r="O59" s="28"/>
      <c r="P59" s="28"/>
      <c r="Q59" s="28"/>
      <c r="R59" s="5">
        <v>4565051</v>
      </c>
      <c r="S59" s="28"/>
      <c r="T59" s="5">
        <v>2796480</v>
      </c>
      <c r="U59" s="28"/>
      <c r="V59" s="28"/>
      <c r="W59" s="28"/>
      <c r="X59" s="28"/>
      <c r="Y59" s="5">
        <v>569973</v>
      </c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5">
        <v>1163</v>
      </c>
      <c r="AM59" s="5">
        <v>1347</v>
      </c>
      <c r="AN59" s="5"/>
      <c r="AO59" s="49">
        <v>9436605</v>
      </c>
    </row>
    <row r="60" spans="1:41" ht="10.5" customHeight="1">
      <c r="A60" s="6">
        <f t="shared" si="0"/>
        <v>1986</v>
      </c>
      <c r="B60" s="6" t="s">
        <v>42</v>
      </c>
      <c r="C60" s="4">
        <v>31656</v>
      </c>
      <c r="D60" s="28"/>
      <c r="E60" s="28"/>
      <c r="F60" s="28"/>
      <c r="G60" s="28"/>
      <c r="H60" s="28"/>
      <c r="I60" s="28"/>
      <c r="J60" s="5">
        <v>1456</v>
      </c>
      <c r="K60" s="28"/>
      <c r="L60" s="28"/>
      <c r="M60" s="28"/>
      <c r="N60" s="28"/>
      <c r="O60" s="28"/>
      <c r="P60" s="28"/>
      <c r="Q60" s="28"/>
      <c r="R60" s="5">
        <v>5709245</v>
      </c>
      <c r="S60" s="28"/>
      <c r="T60" s="5">
        <v>2757429</v>
      </c>
      <c r="U60" s="28"/>
      <c r="V60" s="28"/>
      <c r="W60" s="28"/>
      <c r="X60" s="28"/>
      <c r="Y60" s="5">
        <v>555217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5">
        <v>3091</v>
      </c>
      <c r="AM60" s="5">
        <v>2452</v>
      </c>
      <c r="AN60" s="5"/>
      <c r="AO60" s="49">
        <v>10345751</v>
      </c>
    </row>
    <row r="61" spans="1:41" ht="10.5" customHeight="1">
      <c r="A61" s="6">
        <f t="shared" si="0"/>
        <v>1986</v>
      </c>
      <c r="B61" s="6" t="s">
        <v>43</v>
      </c>
      <c r="C61" s="4">
        <v>31686</v>
      </c>
      <c r="D61" s="28"/>
      <c r="E61" s="28"/>
      <c r="F61" s="28"/>
      <c r="G61" s="28"/>
      <c r="H61" s="28"/>
      <c r="I61" s="28"/>
      <c r="J61" s="5">
        <v>7162</v>
      </c>
      <c r="K61" s="28"/>
      <c r="L61" s="28"/>
      <c r="M61" s="28"/>
      <c r="N61" s="28"/>
      <c r="O61" s="28"/>
      <c r="P61" s="28"/>
      <c r="Q61" s="28"/>
      <c r="R61" s="5">
        <v>5030526</v>
      </c>
      <c r="S61" s="28"/>
      <c r="T61" s="5">
        <v>2574610</v>
      </c>
      <c r="U61" s="28"/>
      <c r="V61" s="28"/>
      <c r="W61" s="28"/>
      <c r="X61" s="28"/>
      <c r="Y61" s="5">
        <v>1018003</v>
      </c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5">
        <v>2030</v>
      </c>
      <c r="AM61" s="5">
        <v>2583</v>
      </c>
      <c r="AN61" s="5"/>
      <c r="AO61" s="49">
        <v>11404884</v>
      </c>
    </row>
    <row r="62" spans="1:41" ht="10.5" customHeight="1">
      <c r="A62" s="6">
        <f t="shared" si="0"/>
        <v>1986</v>
      </c>
      <c r="B62" s="6" t="s">
        <v>44</v>
      </c>
      <c r="C62" s="4">
        <v>31717</v>
      </c>
      <c r="D62" s="28"/>
      <c r="E62" s="28"/>
      <c r="F62" s="28"/>
      <c r="G62" s="28"/>
      <c r="H62" s="28"/>
      <c r="I62" s="28"/>
      <c r="J62" s="5">
        <v>6850</v>
      </c>
      <c r="K62" s="28"/>
      <c r="L62" s="28"/>
      <c r="M62" s="28"/>
      <c r="N62" s="28"/>
      <c r="O62" s="28"/>
      <c r="P62" s="28"/>
      <c r="Q62" s="28"/>
      <c r="R62" s="5">
        <v>5481900</v>
      </c>
      <c r="S62" s="28"/>
      <c r="T62" s="5">
        <v>4398805</v>
      </c>
      <c r="U62" s="28"/>
      <c r="V62" s="28"/>
      <c r="W62" s="28"/>
      <c r="X62" s="28"/>
      <c r="Y62" s="5">
        <v>687971</v>
      </c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5">
        <v>684809</v>
      </c>
      <c r="AM62" s="5">
        <v>394843</v>
      </c>
      <c r="AN62" s="5"/>
      <c r="AO62" s="49">
        <v>13118769</v>
      </c>
    </row>
    <row r="63" spans="1:41" ht="10.5" customHeight="1">
      <c r="A63" s="6">
        <f t="shared" si="0"/>
        <v>1986</v>
      </c>
      <c r="B63" s="6" t="s">
        <v>45</v>
      </c>
      <c r="C63" s="4">
        <v>31747</v>
      </c>
      <c r="D63" s="28"/>
      <c r="E63" s="28"/>
      <c r="F63" s="28"/>
      <c r="G63" s="28"/>
      <c r="H63" s="28"/>
      <c r="I63" s="28"/>
      <c r="J63" s="5">
        <v>3511</v>
      </c>
      <c r="K63" s="28"/>
      <c r="L63" s="28"/>
      <c r="M63" s="28"/>
      <c r="N63" s="28"/>
      <c r="O63" s="28"/>
      <c r="P63" s="28"/>
      <c r="Q63" s="28"/>
      <c r="R63" s="5">
        <v>7005018</v>
      </c>
      <c r="S63" s="28"/>
      <c r="T63" s="5">
        <v>4740785</v>
      </c>
      <c r="U63" s="28"/>
      <c r="V63" s="28"/>
      <c r="W63" s="28"/>
      <c r="X63" s="28"/>
      <c r="Y63" s="5">
        <v>787422</v>
      </c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5">
        <v>164381</v>
      </c>
      <c r="AM63" s="5">
        <v>12178</v>
      </c>
      <c r="AN63" s="5"/>
      <c r="AO63" s="49">
        <v>15405712</v>
      </c>
    </row>
    <row r="64" spans="1:41" ht="10.5" customHeight="1">
      <c r="A64" s="6">
        <f t="shared" si="0"/>
        <v>1987</v>
      </c>
      <c r="B64" s="6" t="s">
        <v>34</v>
      </c>
      <c r="C64" s="4">
        <v>31778</v>
      </c>
      <c r="D64" s="28"/>
      <c r="E64" s="28"/>
      <c r="F64" s="28"/>
      <c r="G64" s="28"/>
      <c r="H64" s="28"/>
      <c r="I64" s="28"/>
      <c r="J64" s="5">
        <v>15331</v>
      </c>
      <c r="K64" s="28"/>
      <c r="L64" s="28"/>
      <c r="M64" s="28"/>
      <c r="N64" s="28"/>
      <c r="O64" s="28"/>
      <c r="P64" s="28"/>
      <c r="Q64" s="28"/>
      <c r="R64" s="5">
        <v>6373700</v>
      </c>
      <c r="S64" s="28"/>
      <c r="T64" s="5">
        <v>3698821</v>
      </c>
      <c r="U64" s="28"/>
      <c r="V64" s="28"/>
      <c r="W64" s="28"/>
      <c r="X64" s="28"/>
      <c r="Y64" s="5">
        <v>924061</v>
      </c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5">
        <v>3527</v>
      </c>
      <c r="AM64" s="5">
        <v>3316</v>
      </c>
      <c r="AN64" s="5"/>
      <c r="AO64" s="49">
        <v>13041941</v>
      </c>
    </row>
    <row r="65" spans="1:41" ht="10.5" customHeight="1">
      <c r="A65" s="6">
        <f t="shared" si="0"/>
        <v>1987</v>
      </c>
      <c r="B65" s="6" t="s">
        <v>35</v>
      </c>
      <c r="C65" s="4">
        <v>31809</v>
      </c>
      <c r="D65" s="28"/>
      <c r="E65" s="28"/>
      <c r="F65" s="28"/>
      <c r="G65" s="28"/>
      <c r="H65" s="28"/>
      <c r="I65" s="28"/>
      <c r="J65" s="5">
        <v>8457</v>
      </c>
      <c r="K65" s="28"/>
      <c r="L65" s="28"/>
      <c r="M65" s="28"/>
      <c r="N65" s="28"/>
      <c r="O65" s="28"/>
      <c r="P65" s="28"/>
      <c r="Q65" s="28"/>
      <c r="R65" s="5">
        <v>7624597</v>
      </c>
      <c r="S65" s="28"/>
      <c r="T65" s="5">
        <v>4522515</v>
      </c>
      <c r="U65" s="28"/>
      <c r="V65" s="28"/>
      <c r="W65" s="28"/>
      <c r="X65" s="28"/>
      <c r="Y65" s="5">
        <v>848580</v>
      </c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5">
        <v>2226</v>
      </c>
      <c r="AM65" s="5">
        <v>3948</v>
      </c>
      <c r="AN65" s="5"/>
      <c r="AO65" s="49">
        <v>15817226</v>
      </c>
    </row>
    <row r="66" spans="1:41" ht="10.5" customHeight="1">
      <c r="A66" s="6">
        <f t="shared" si="0"/>
        <v>1987</v>
      </c>
      <c r="B66" s="6" t="s">
        <v>36</v>
      </c>
      <c r="C66" s="4">
        <v>31837</v>
      </c>
      <c r="D66" s="28"/>
      <c r="E66" s="28"/>
      <c r="F66" s="28"/>
      <c r="G66" s="28"/>
      <c r="H66" s="28"/>
      <c r="I66" s="28"/>
      <c r="J66" s="9">
        <v>4472</v>
      </c>
      <c r="K66" s="28"/>
      <c r="L66" s="28"/>
      <c r="M66" s="28"/>
      <c r="N66" s="28"/>
      <c r="O66" s="28"/>
      <c r="P66" s="28"/>
      <c r="Q66" s="28"/>
      <c r="R66" s="5">
        <v>7913063</v>
      </c>
      <c r="S66" s="28"/>
      <c r="T66" s="9">
        <v>8547400</v>
      </c>
      <c r="U66" s="28"/>
      <c r="V66" s="28"/>
      <c r="W66" s="28"/>
      <c r="X66" s="28"/>
      <c r="Y66" s="9">
        <v>809465</v>
      </c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5">
        <v>603</v>
      </c>
      <c r="AM66" s="5">
        <v>2469</v>
      </c>
      <c r="AN66" s="5"/>
      <c r="AO66" s="49">
        <v>19067463</v>
      </c>
    </row>
    <row r="67" spans="1:41" ht="10.5" customHeight="1">
      <c r="A67" s="6">
        <f t="shared" si="0"/>
        <v>1987</v>
      </c>
      <c r="B67" s="6" t="s">
        <v>37</v>
      </c>
      <c r="C67" s="4">
        <v>31868</v>
      </c>
      <c r="D67" s="28"/>
      <c r="E67" s="28"/>
      <c r="F67" s="28"/>
      <c r="G67" s="28"/>
      <c r="H67" s="28"/>
      <c r="I67" s="28"/>
      <c r="J67" s="5">
        <v>37647</v>
      </c>
      <c r="K67" s="28"/>
      <c r="L67" s="28"/>
      <c r="M67" s="28"/>
      <c r="N67" s="28"/>
      <c r="O67" s="28"/>
      <c r="P67" s="28"/>
      <c r="Q67" s="28"/>
      <c r="R67" s="5">
        <v>7317444</v>
      </c>
      <c r="S67" s="28"/>
      <c r="T67" s="5">
        <v>5479635</v>
      </c>
      <c r="U67" s="28"/>
      <c r="V67" s="28"/>
      <c r="W67" s="28"/>
      <c r="X67" s="28"/>
      <c r="Y67" s="5">
        <v>1774862</v>
      </c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5">
        <v>1813</v>
      </c>
      <c r="AM67" s="5">
        <v>4140</v>
      </c>
      <c r="AN67" s="5"/>
      <c r="AO67" s="49">
        <v>16775053</v>
      </c>
    </row>
    <row r="68" spans="1:41" ht="10.5" customHeight="1">
      <c r="A68" s="6">
        <f t="shared" si="0"/>
        <v>1987</v>
      </c>
      <c r="B68" s="6" t="s">
        <v>73</v>
      </c>
      <c r="C68" s="4">
        <v>31898</v>
      </c>
      <c r="D68" s="28"/>
      <c r="E68" s="28"/>
      <c r="F68" s="28"/>
      <c r="G68" s="28"/>
      <c r="H68" s="28"/>
      <c r="I68" s="28"/>
      <c r="J68" s="9">
        <v>10534</v>
      </c>
      <c r="K68" s="28"/>
      <c r="L68" s="28"/>
      <c r="M68" s="28"/>
      <c r="N68" s="28"/>
      <c r="O68" s="28"/>
      <c r="P68" s="28"/>
      <c r="Q68" s="28"/>
      <c r="R68" s="5">
        <v>8290335.9999999991</v>
      </c>
      <c r="S68" s="28"/>
      <c r="T68" s="9">
        <v>4461212</v>
      </c>
      <c r="U68" s="28"/>
      <c r="V68" s="28"/>
      <c r="W68" s="28"/>
      <c r="X68" s="28"/>
      <c r="Y68" s="9">
        <v>1156428</v>
      </c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5">
        <v>247</v>
      </c>
      <c r="AM68" s="5">
        <v>2275</v>
      </c>
      <c r="AN68" s="5"/>
      <c r="AO68" s="49">
        <v>16113973</v>
      </c>
    </row>
    <row r="69" spans="1:41" ht="10.5" customHeight="1">
      <c r="A69" s="6">
        <f t="shared" ref="A69:A132" si="1">YEAR(C69)</f>
        <v>1987</v>
      </c>
      <c r="B69" s="6" t="s">
        <v>39</v>
      </c>
      <c r="C69" s="4">
        <v>31929</v>
      </c>
      <c r="D69" s="28"/>
      <c r="E69" s="28"/>
      <c r="F69" s="28"/>
      <c r="G69" s="28"/>
      <c r="H69" s="28"/>
      <c r="I69" s="28"/>
      <c r="J69" s="9">
        <v>2572</v>
      </c>
      <c r="K69" s="28"/>
      <c r="L69" s="28"/>
      <c r="M69" s="28"/>
      <c r="N69" s="28"/>
      <c r="O69" s="28"/>
      <c r="P69" s="28"/>
      <c r="Q69" s="28"/>
      <c r="R69" s="5">
        <v>8200035</v>
      </c>
      <c r="S69" s="28"/>
      <c r="T69" s="9">
        <v>4088797</v>
      </c>
      <c r="U69" s="28"/>
      <c r="V69" s="28"/>
      <c r="W69" s="28"/>
      <c r="X69" s="28"/>
      <c r="Y69" s="9">
        <v>1017309</v>
      </c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5">
        <v>1072</v>
      </c>
      <c r="AM69" s="5">
        <v>2128</v>
      </c>
      <c r="AN69" s="5"/>
      <c r="AO69" s="49">
        <v>17799036</v>
      </c>
    </row>
    <row r="70" spans="1:41" ht="10.5" customHeight="1">
      <c r="A70" s="6">
        <f t="shared" si="1"/>
        <v>1987</v>
      </c>
      <c r="B70" s="6" t="s">
        <v>40</v>
      </c>
      <c r="C70" s="4">
        <v>31959</v>
      </c>
      <c r="D70" s="28"/>
      <c r="E70" s="28"/>
      <c r="F70" s="28"/>
      <c r="G70" s="28"/>
      <c r="H70" s="28"/>
      <c r="I70" s="28"/>
      <c r="J70" s="9">
        <v>8571</v>
      </c>
      <c r="K70" s="28"/>
      <c r="L70" s="28"/>
      <c r="M70" s="28"/>
      <c r="N70" s="28"/>
      <c r="O70" s="28"/>
      <c r="P70" s="28"/>
      <c r="Q70" s="28"/>
      <c r="R70" s="5">
        <v>9095835</v>
      </c>
      <c r="S70" s="28"/>
      <c r="T70" s="9">
        <v>7028244</v>
      </c>
      <c r="U70" s="28"/>
      <c r="V70" s="28"/>
      <c r="W70" s="28"/>
      <c r="X70" s="28"/>
      <c r="Y70" s="9">
        <v>1322187</v>
      </c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5">
        <v>1620</v>
      </c>
      <c r="AM70" s="5">
        <v>2172</v>
      </c>
      <c r="AN70" s="5"/>
      <c r="AO70" s="49">
        <v>20369200</v>
      </c>
    </row>
    <row r="71" spans="1:41" ht="10.5" customHeight="1">
      <c r="A71" s="6">
        <f t="shared" si="1"/>
        <v>1987</v>
      </c>
      <c r="B71" s="6" t="s">
        <v>41</v>
      </c>
      <c r="C71" s="4">
        <v>31990</v>
      </c>
      <c r="D71" s="28"/>
      <c r="E71" s="28"/>
      <c r="F71" s="28"/>
      <c r="G71" s="28"/>
      <c r="H71" s="28"/>
      <c r="I71" s="28"/>
      <c r="J71" s="9">
        <v>8080</v>
      </c>
      <c r="K71" s="28"/>
      <c r="L71" s="28"/>
      <c r="M71" s="28"/>
      <c r="N71" s="28"/>
      <c r="O71" s="28"/>
      <c r="P71" s="28"/>
      <c r="Q71" s="28"/>
      <c r="R71" s="5">
        <v>9165207</v>
      </c>
      <c r="S71" s="28"/>
      <c r="T71" s="9">
        <v>5417712</v>
      </c>
      <c r="U71" s="28"/>
      <c r="V71" s="28"/>
      <c r="W71" s="28"/>
      <c r="X71" s="28"/>
      <c r="Y71" s="9">
        <v>1330918</v>
      </c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5">
        <v>3508</v>
      </c>
      <c r="AM71" s="5">
        <v>2706</v>
      </c>
      <c r="AN71" s="5"/>
      <c r="AO71" s="49">
        <v>17843325</v>
      </c>
    </row>
    <row r="72" spans="1:41" ht="10.5" customHeight="1">
      <c r="A72" s="6">
        <f t="shared" si="1"/>
        <v>1987</v>
      </c>
      <c r="B72" s="6" t="s">
        <v>42</v>
      </c>
      <c r="C72" s="4">
        <v>32021</v>
      </c>
      <c r="D72" s="28"/>
      <c r="E72" s="28"/>
      <c r="F72" s="28"/>
      <c r="G72" s="28"/>
      <c r="H72" s="28"/>
      <c r="I72" s="28"/>
      <c r="J72" s="9">
        <v>4055</v>
      </c>
      <c r="K72" s="28"/>
      <c r="L72" s="28"/>
      <c r="M72" s="28"/>
      <c r="N72" s="28"/>
      <c r="O72" s="28"/>
      <c r="P72" s="28"/>
      <c r="Q72" s="28"/>
      <c r="R72" s="5">
        <v>10377404</v>
      </c>
      <c r="S72" s="28"/>
      <c r="T72" s="9">
        <v>5265790</v>
      </c>
      <c r="U72" s="28"/>
      <c r="V72" s="28"/>
      <c r="W72" s="28"/>
      <c r="X72" s="28"/>
      <c r="Y72" s="9">
        <v>1324723</v>
      </c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5">
        <v>1594</v>
      </c>
      <c r="AM72" s="5">
        <v>1460</v>
      </c>
      <c r="AN72" s="5"/>
      <c r="AO72" s="49">
        <v>20061240</v>
      </c>
    </row>
    <row r="73" spans="1:41" ht="10.5" customHeight="1">
      <c r="A73" s="6">
        <f t="shared" si="1"/>
        <v>1987</v>
      </c>
      <c r="B73" s="6" t="s">
        <v>43</v>
      </c>
      <c r="C73" s="4">
        <v>32051</v>
      </c>
      <c r="D73" s="28"/>
      <c r="E73" s="28"/>
      <c r="F73" s="28"/>
      <c r="G73" s="28"/>
      <c r="H73" s="28"/>
      <c r="I73" s="28"/>
      <c r="J73" s="9">
        <v>7409</v>
      </c>
      <c r="K73" s="28"/>
      <c r="L73" s="28"/>
      <c r="M73" s="28"/>
      <c r="N73" s="28"/>
      <c r="O73" s="28"/>
      <c r="P73" s="28"/>
      <c r="Q73" s="28"/>
      <c r="R73" s="5">
        <v>9510179</v>
      </c>
      <c r="S73" s="28"/>
      <c r="T73" s="9">
        <v>5485505</v>
      </c>
      <c r="U73" s="28"/>
      <c r="V73" s="28"/>
      <c r="W73" s="28"/>
      <c r="X73" s="28"/>
      <c r="Y73" s="9">
        <v>2547885</v>
      </c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5">
        <v>512</v>
      </c>
      <c r="AM73" s="5">
        <v>1301</v>
      </c>
      <c r="AN73" s="5"/>
      <c r="AO73" s="49">
        <v>21781782</v>
      </c>
    </row>
    <row r="74" spans="1:41" ht="10.5" customHeight="1">
      <c r="A74" s="6">
        <f t="shared" si="1"/>
        <v>1987</v>
      </c>
      <c r="B74" s="6" t="s">
        <v>44</v>
      </c>
      <c r="C74" s="4">
        <v>32082</v>
      </c>
      <c r="D74" s="28"/>
      <c r="E74" s="28"/>
      <c r="F74" s="28"/>
      <c r="G74" s="28"/>
      <c r="H74" s="28"/>
      <c r="I74" s="28"/>
      <c r="J74" s="9">
        <v>6499</v>
      </c>
      <c r="K74" s="28"/>
      <c r="L74" s="28"/>
      <c r="M74" s="28"/>
      <c r="N74" s="28"/>
      <c r="O74" s="28"/>
      <c r="P74" s="28"/>
      <c r="Q74" s="28"/>
      <c r="R74" s="5">
        <v>10357463</v>
      </c>
      <c r="S74" s="28"/>
      <c r="T74" s="9">
        <v>7152544</v>
      </c>
      <c r="U74" s="28"/>
      <c r="V74" s="28"/>
      <c r="W74" s="28"/>
      <c r="X74" s="28"/>
      <c r="Y74" s="9">
        <v>1705686</v>
      </c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5">
        <v>875298</v>
      </c>
      <c r="AM74" s="5">
        <v>642511</v>
      </c>
      <c r="AN74" s="5"/>
      <c r="AO74" s="49">
        <v>23306920</v>
      </c>
    </row>
    <row r="75" spans="1:41" ht="10.5" customHeight="1">
      <c r="A75" s="6">
        <f t="shared" si="1"/>
        <v>1987</v>
      </c>
      <c r="B75" s="6" t="s">
        <v>45</v>
      </c>
      <c r="C75" s="4">
        <v>32112</v>
      </c>
      <c r="D75" s="28"/>
      <c r="E75" s="28"/>
      <c r="F75" s="28"/>
      <c r="G75" s="28"/>
      <c r="H75" s="28"/>
      <c r="I75" s="28"/>
      <c r="J75" s="9">
        <v>6868</v>
      </c>
      <c r="K75" s="28"/>
      <c r="L75" s="28"/>
      <c r="M75" s="28"/>
      <c r="N75" s="28"/>
      <c r="O75" s="28"/>
      <c r="P75" s="28"/>
      <c r="Q75" s="28"/>
      <c r="R75" s="5">
        <v>12336140</v>
      </c>
      <c r="S75" s="28"/>
      <c r="T75" s="9">
        <v>7602820</v>
      </c>
      <c r="U75" s="28"/>
      <c r="V75" s="28"/>
      <c r="W75" s="28"/>
      <c r="X75" s="28"/>
      <c r="Y75" s="9">
        <v>1742293</v>
      </c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5">
        <v>1314756</v>
      </c>
      <c r="AM75" s="5">
        <v>882699</v>
      </c>
      <c r="AN75" s="5"/>
      <c r="AO75" s="49">
        <v>29946159</v>
      </c>
    </row>
    <row r="76" spans="1:41" ht="10.5" customHeight="1">
      <c r="A76" s="6">
        <f t="shared" si="1"/>
        <v>1988</v>
      </c>
      <c r="B76" s="6" t="s">
        <v>34</v>
      </c>
      <c r="C76" s="4">
        <v>32143</v>
      </c>
      <c r="D76" s="28"/>
      <c r="E76" s="28"/>
      <c r="F76" s="28"/>
      <c r="G76" s="28"/>
      <c r="H76" s="28"/>
      <c r="I76" s="28"/>
      <c r="J76" s="5">
        <v>26592</v>
      </c>
      <c r="K76" s="28"/>
      <c r="L76" s="28"/>
      <c r="M76" s="28"/>
      <c r="N76" s="28"/>
      <c r="O76" s="28"/>
      <c r="P76" s="28"/>
      <c r="Q76" s="28"/>
      <c r="R76" s="5">
        <v>10942800</v>
      </c>
      <c r="S76" s="28"/>
      <c r="T76" s="5">
        <v>6357246</v>
      </c>
      <c r="U76" s="28"/>
      <c r="V76" s="28"/>
      <c r="W76" s="28"/>
      <c r="X76" s="28"/>
      <c r="Y76" s="5">
        <v>2112777</v>
      </c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5">
        <v>43011</v>
      </c>
      <c r="AM76" s="5">
        <v>38868</v>
      </c>
      <c r="AN76" s="5"/>
      <c r="AO76" s="49">
        <v>22998835</v>
      </c>
    </row>
    <row r="77" spans="1:41" ht="10.5" customHeight="1">
      <c r="A77" s="6">
        <f t="shared" si="1"/>
        <v>1988</v>
      </c>
      <c r="B77" s="6" t="s">
        <v>35</v>
      </c>
      <c r="C77" s="4">
        <v>32174</v>
      </c>
      <c r="D77" s="28"/>
      <c r="E77" s="28"/>
      <c r="F77" s="28"/>
      <c r="G77" s="28"/>
      <c r="H77" s="28"/>
      <c r="I77" s="28"/>
      <c r="J77" s="5">
        <v>9074</v>
      </c>
      <c r="K77" s="28"/>
      <c r="L77" s="28"/>
      <c r="M77" s="28"/>
      <c r="N77" s="28"/>
      <c r="O77" s="28"/>
      <c r="P77" s="28"/>
      <c r="Q77" s="28"/>
      <c r="R77" s="5">
        <v>12565201</v>
      </c>
      <c r="S77" s="28"/>
      <c r="T77" s="5">
        <v>8526470</v>
      </c>
      <c r="U77" s="28"/>
      <c r="V77" s="28"/>
      <c r="W77" s="28"/>
      <c r="X77" s="28"/>
      <c r="Y77" s="5">
        <v>2103563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5">
        <v>8491</v>
      </c>
      <c r="AM77" s="5">
        <v>11496</v>
      </c>
      <c r="AN77" s="5"/>
      <c r="AO77" s="49">
        <v>26185526</v>
      </c>
    </row>
    <row r="78" spans="1:41" ht="10.5" customHeight="1">
      <c r="A78" s="6">
        <f t="shared" si="1"/>
        <v>1988</v>
      </c>
      <c r="B78" s="6" t="s">
        <v>36</v>
      </c>
      <c r="C78" s="4">
        <v>32203</v>
      </c>
      <c r="D78" s="28"/>
      <c r="E78" s="28"/>
      <c r="F78" s="28"/>
      <c r="G78" s="28"/>
      <c r="H78" s="28"/>
      <c r="I78" s="28"/>
      <c r="J78" s="5">
        <v>8314</v>
      </c>
      <c r="K78" s="28"/>
      <c r="L78" s="28"/>
      <c r="M78" s="28"/>
      <c r="N78" s="28"/>
      <c r="O78" s="28"/>
      <c r="P78" s="28"/>
      <c r="Q78" s="28"/>
      <c r="R78" s="5">
        <v>13125314</v>
      </c>
      <c r="S78" s="28"/>
      <c r="T78" s="5">
        <v>8409084</v>
      </c>
      <c r="U78" s="28"/>
      <c r="V78" s="28"/>
      <c r="W78" s="28"/>
      <c r="X78" s="28"/>
      <c r="Y78" s="5">
        <v>2185262</v>
      </c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5">
        <v>16972</v>
      </c>
      <c r="AM78" s="5">
        <v>13953</v>
      </c>
      <c r="AN78" s="5"/>
      <c r="AO78" s="49">
        <v>26712331</v>
      </c>
    </row>
    <row r="79" spans="1:41" ht="10.5" customHeight="1">
      <c r="A79" s="6">
        <f t="shared" si="1"/>
        <v>1988</v>
      </c>
      <c r="B79" s="6" t="s">
        <v>37</v>
      </c>
      <c r="C79" s="4">
        <v>32234</v>
      </c>
      <c r="D79" s="28"/>
      <c r="E79" s="28"/>
      <c r="F79" s="28"/>
      <c r="G79" s="28"/>
      <c r="H79" s="28"/>
      <c r="I79" s="28"/>
      <c r="J79" s="5">
        <v>37537</v>
      </c>
      <c r="K79" s="28"/>
      <c r="L79" s="28"/>
      <c r="M79" s="28"/>
      <c r="N79" s="28"/>
      <c r="O79" s="28"/>
      <c r="P79" s="28"/>
      <c r="Q79" s="28"/>
      <c r="R79" s="5">
        <v>12697816</v>
      </c>
      <c r="S79" s="28"/>
      <c r="T79" s="5">
        <v>8449168</v>
      </c>
      <c r="U79" s="28"/>
      <c r="V79" s="28"/>
      <c r="W79" s="28"/>
      <c r="X79" s="28"/>
      <c r="Y79" s="5">
        <v>2968110</v>
      </c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5">
        <v>17060</v>
      </c>
      <c r="AM79" s="5">
        <v>9741</v>
      </c>
      <c r="AN79" s="5"/>
      <c r="AO79" s="49">
        <v>27925241</v>
      </c>
    </row>
    <row r="80" spans="1:41" ht="10.5" customHeight="1">
      <c r="A80" s="6">
        <f t="shared" si="1"/>
        <v>1988</v>
      </c>
      <c r="B80" s="6" t="s">
        <v>73</v>
      </c>
      <c r="C80" s="4">
        <v>32264</v>
      </c>
      <c r="D80" s="28"/>
      <c r="E80" s="28"/>
      <c r="F80" s="28"/>
      <c r="G80" s="28"/>
      <c r="H80" s="28"/>
      <c r="I80" s="28"/>
      <c r="J80" s="5">
        <v>20481</v>
      </c>
      <c r="K80" s="28"/>
      <c r="L80" s="28"/>
      <c r="M80" s="28"/>
      <c r="N80" s="28"/>
      <c r="O80" s="28"/>
      <c r="P80" s="28"/>
      <c r="Q80" s="28"/>
      <c r="R80" s="5">
        <v>14239892</v>
      </c>
      <c r="S80" s="28"/>
      <c r="T80" s="5">
        <v>6750508</v>
      </c>
      <c r="U80" s="28"/>
      <c r="V80" s="28"/>
      <c r="W80" s="28"/>
      <c r="X80" s="28"/>
      <c r="Y80" s="5">
        <v>2254669</v>
      </c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5">
        <v>4197</v>
      </c>
      <c r="AM80" s="5">
        <v>8715</v>
      </c>
      <c r="AN80" s="5"/>
      <c r="AO80" s="49">
        <v>28767861</v>
      </c>
    </row>
    <row r="81" spans="1:41" ht="10.5" customHeight="1">
      <c r="A81" s="6">
        <f t="shared" si="1"/>
        <v>1988</v>
      </c>
      <c r="B81" s="6" t="s">
        <v>39</v>
      </c>
      <c r="C81" s="4">
        <v>32295</v>
      </c>
      <c r="D81" s="28"/>
      <c r="E81" s="28"/>
      <c r="F81" s="28"/>
      <c r="G81" s="28"/>
      <c r="H81" s="28"/>
      <c r="I81" s="28"/>
      <c r="J81" s="5">
        <v>6928</v>
      </c>
      <c r="K81" s="28"/>
      <c r="L81" s="28"/>
      <c r="M81" s="28"/>
      <c r="N81" s="28"/>
      <c r="O81" s="28"/>
      <c r="P81" s="28"/>
      <c r="Q81" s="28"/>
      <c r="R81" s="5">
        <v>16754780.999999998</v>
      </c>
      <c r="S81" s="28"/>
      <c r="T81" s="5">
        <v>6526451</v>
      </c>
      <c r="U81" s="28"/>
      <c r="V81" s="28"/>
      <c r="W81" s="28"/>
      <c r="X81" s="28"/>
      <c r="Y81" s="5">
        <v>2367027</v>
      </c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5">
        <v>3202</v>
      </c>
      <c r="AM81" s="5">
        <v>7898</v>
      </c>
      <c r="AN81" s="5"/>
      <c r="AO81" s="49">
        <v>31040251</v>
      </c>
    </row>
    <row r="82" spans="1:41" ht="10.5" customHeight="1">
      <c r="A82" s="6">
        <f t="shared" si="1"/>
        <v>1988</v>
      </c>
      <c r="B82" s="6" t="s">
        <v>40</v>
      </c>
      <c r="C82" s="4">
        <v>32325</v>
      </c>
      <c r="D82" s="28"/>
      <c r="E82" s="28"/>
      <c r="F82" s="28"/>
      <c r="G82" s="28"/>
      <c r="H82" s="28"/>
      <c r="I82" s="28"/>
      <c r="J82" s="5">
        <v>15690</v>
      </c>
      <c r="K82" s="28"/>
      <c r="L82" s="28"/>
      <c r="M82" s="28"/>
      <c r="N82" s="28"/>
      <c r="O82" s="28"/>
      <c r="P82" s="28"/>
      <c r="Q82" s="28"/>
      <c r="R82" s="5">
        <v>16596962</v>
      </c>
      <c r="S82" s="28"/>
      <c r="T82" s="5">
        <v>8077577</v>
      </c>
      <c r="U82" s="28"/>
      <c r="V82" s="28"/>
      <c r="W82" s="28"/>
      <c r="X82" s="28"/>
      <c r="Y82" s="5">
        <v>2721448</v>
      </c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5">
        <v>6009</v>
      </c>
      <c r="AM82" s="5">
        <v>6394</v>
      </c>
      <c r="AN82" s="5"/>
      <c r="AO82" s="49">
        <v>30396128</v>
      </c>
    </row>
    <row r="83" spans="1:41" ht="10.5" customHeight="1">
      <c r="A83" s="6">
        <f t="shared" si="1"/>
        <v>1988</v>
      </c>
      <c r="B83" s="6" t="s">
        <v>41</v>
      </c>
      <c r="C83" s="4">
        <v>32356</v>
      </c>
      <c r="D83" s="28"/>
      <c r="E83" s="28"/>
      <c r="F83" s="28"/>
      <c r="G83" s="28"/>
      <c r="H83" s="28"/>
      <c r="I83" s="28"/>
      <c r="J83" s="5">
        <v>11323</v>
      </c>
      <c r="K83" s="28"/>
      <c r="L83" s="28"/>
      <c r="M83" s="28"/>
      <c r="N83" s="28"/>
      <c r="O83" s="28"/>
      <c r="P83" s="28"/>
      <c r="Q83" s="28"/>
      <c r="R83" s="5">
        <v>18583604</v>
      </c>
      <c r="S83" s="28"/>
      <c r="T83" s="5">
        <v>11204162</v>
      </c>
      <c r="U83" s="28"/>
      <c r="V83" s="28"/>
      <c r="W83" s="28"/>
      <c r="X83" s="28"/>
      <c r="Y83" s="5">
        <v>2460285</v>
      </c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5">
        <v>9118</v>
      </c>
      <c r="AM83" s="5">
        <v>2721</v>
      </c>
      <c r="AN83" s="5"/>
      <c r="AO83" s="49">
        <v>34667338</v>
      </c>
    </row>
    <row r="84" spans="1:41" ht="10.5" customHeight="1">
      <c r="A84" s="6">
        <f t="shared" si="1"/>
        <v>1988</v>
      </c>
      <c r="B84" s="6" t="s">
        <v>42</v>
      </c>
      <c r="C84" s="4">
        <v>32387</v>
      </c>
      <c r="D84" s="28"/>
      <c r="E84" s="28"/>
      <c r="F84" s="28"/>
      <c r="G84" s="28"/>
      <c r="H84" s="28"/>
      <c r="I84" s="28"/>
      <c r="J84" s="5">
        <v>9324</v>
      </c>
      <c r="K84" s="28"/>
      <c r="L84" s="28"/>
      <c r="M84" s="28"/>
      <c r="N84" s="28"/>
      <c r="O84" s="28"/>
      <c r="P84" s="28"/>
      <c r="Q84" s="28"/>
      <c r="R84" s="5">
        <v>19413049</v>
      </c>
      <c r="S84" s="28"/>
      <c r="T84" s="5">
        <v>8041321</v>
      </c>
      <c r="U84" s="28"/>
      <c r="V84" s="28"/>
      <c r="W84" s="28"/>
      <c r="X84" s="28"/>
      <c r="Y84" s="5">
        <v>2785036</v>
      </c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5">
        <v>484895</v>
      </c>
      <c r="AM84" s="5">
        <v>320204</v>
      </c>
      <c r="AN84" s="5"/>
      <c r="AO84" s="49">
        <v>35632681</v>
      </c>
    </row>
    <row r="85" spans="1:41" ht="10.5" customHeight="1">
      <c r="A85" s="6">
        <f t="shared" si="1"/>
        <v>1988</v>
      </c>
      <c r="B85" s="6" t="s">
        <v>43</v>
      </c>
      <c r="C85" s="4">
        <v>32417</v>
      </c>
      <c r="D85" s="28"/>
      <c r="E85" s="28"/>
      <c r="F85" s="28"/>
      <c r="G85" s="28"/>
      <c r="H85" s="28"/>
      <c r="I85" s="28"/>
      <c r="J85" s="5">
        <v>11713</v>
      </c>
      <c r="K85" s="28"/>
      <c r="L85" s="28"/>
      <c r="M85" s="28"/>
      <c r="N85" s="28"/>
      <c r="O85" s="28"/>
      <c r="P85" s="28"/>
      <c r="Q85" s="28"/>
      <c r="R85" s="5">
        <v>18740191</v>
      </c>
      <c r="S85" s="28"/>
      <c r="T85" s="5">
        <v>8004937</v>
      </c>
      <c r="U85" s="28"/>
      <c r="V85" s="28"/>
      <c r="W85" s="28"/>
      <c r="X85" s="28"/>
      <c r="Y85" s="5">
        <v>3766011</v>
      </c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5">
        <v>10675</v>
      </c>
      <c r="AM85" s="5">
        <v>11369</v>
      </c>
      <c r="AN85" s="5"/>
      <c r="AO85" s="49">
        <v>36702196</v>
      </c>
    </row>
    <row r="86" spans="1:41" ht="10.5" customHeight="1">
      <c r="A86" s="6">
        <f t="shared" si="1"/>
        <v>1988</v>
      </c>
      <c r="B86" s="6" t="s">
        <v>44</v>
      </c>
      <c r="C86" s="4">
        <v>32448</v>
      </c>
      <c r="D86" s="28"/>
      <c r="E86" s="28"/>
      <c r="F86" s="28"/>
      <c r="G86" s="28"/>
      <c r="H86" s="28"/>
      <c r="I86" s="28"/>
      <c r="J86" s="5">
        <v>12884</v>
      </c>
      <c r="K86" s="28"/>
      <c r="L86" s="28"/>
      <c r="M86" s="28"/>
      <c r="N86" s="28"/>
      <c r="O86" s="28"/>
      <c r="P86" s="28"/>
      <c r="Q86" s="28"/>
      <c r="R86" s="5">
        <v>21563334</v>
      </c>
      <c r="S86" s="28"/>
      <c r="T86" s="5">
        <v>9851249</v>
      </c>
      <c r="U86" s="28"/>
      <c r="V86" s="28"/>
      <c r="W86" s="28"/>
      <c r="X86" s="28"/>
      <c r="Y86" s="5">
        <v>3029057</v>
      </c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5">
        <v>3047808</v>
      </c>
      <c r="AM86" s="5">
        <v>1373985</v>
      </c>
      <c r="AN86" s="5"/>
      <c r="AO86" s="49">
        <v>41624922</v>
      </c>
    </row>
    <row r="87" spans="1:41" ht="10.5" customHeight="1">
      <c r="A87" s="6">
        <f t="shared" si="1"/>
        <v>1988</v>
      </c>
      <c r="B87" s="6" t="s">
        <v>45</v>
      </c>
      <c r="C87" s="4">
        <v>32478</v>
      </c>
      <c r="D87" s="28"/>
      <c r="E87" s="28"/>
      <c r="F87" s="28"/>
      <c r="G87" s="28"/>
      <c r="H87" s="28"/>
      <c r="I87" s="28"/>
      <c r="J87" s="5">
        <v>12984</v>
      </c>
      <c r="K87" s="28"/>
      <c r="L87" s="28"/>
      <c r="M87" s="28"/>
      <c r="N87" s="28"/>
      <c r="O87" s="28"/>
      <c r="P87" s="28"/>
      <c r="Q87" s="28"/>
      <c r="R87" s="5">
        <v>24107969</v>
      </c>
      <c r="S87" s="28"/>
      <c r="T87" s="5">
        <v>12353968</v>
      </c>
      <c r="U87" s="28"/>
      <c r="V87" s="28"/>
      <c r="W87" s="28"/>
      <c r="X87" s="28"/>
      <c r="Y87" s="5">
        <v>3136123</v>
      </c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5">
        <v>703410</v>
      </c>
      <c r="AM87" s="5">
        <v>1405391</v>
      </c>
      <c r="AN87" s="5"/>
      <c r="AO87" s="49">
        <v>49613709</v>
      </c>
    </row>
    <row r="88" spans="1:41" ht="10.5" customHeight="1">
      <c r="A88" s="6">
        <f t="shared" si="1"/>
        <v>1989</v>
      </c>
      <c r="B88" s="6" t="s">
        <v>34</v>
      </c>
      <c r="C88" s="4">
        <v>32509</v>
      </c>
      <c r="D88" s="28"/>
      <c r="E88" s="28"/>
      <c r="F88" s="28"/>
      <c r="G88" s="28"/>
      <c r="H88" s="28"/>
      <c r="I88" s="28"/>
      <c r="J88" s="5">
        <v>34357</v>
      </c>
      <c r="K88" s="28"/>
      <c r="L88" s="28"/>
      <c r="M88" s="28"/>
      <c r="N88" s="28"/>
      <c r="O88" s="28"/>
      <c r="P88" s="28"/>
      <c r="Q88" s="28"/>
      <c r="R88" s="5">
        <v>22190818</v>
      </c>
      <c r="S88" s="28"/>
      <c r="T88" s="5">
        <v>10547528</v>
      </c>
      <c r="U88" s="28"/>
      <c r="V88" s="28"/>
      <c r="W88" s="28"/>
      <c r="X88" s="28"/>
      <c r="Y88" s="5">
        <v>3308896</v>
      </c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5">
        <v>432731</v>
      </c>
      <c r="AM88" s="5">
        <v>20241</v>
      </c>
      <c r="AN88" s="5"/>
      <c r="AO88" s="49">
        <v>39669089</v>
      </c>
    </row>
    <row r="89" spans="1:41" ht="10.5" customHeight="1">
      <c r="A89" s="6">
        <f t="shared" si="1"/>
        <v>1989</v>
      </c>
      <c r="B89" s="6" t="s">
        <v>35</v>
      </c>
      <c r="C89" s="4">
        <v>32540</v>
      </c>
      <c r="D89" s="28"/>
      <c r="E89" s="28"/>
      <c r="F89" s="28"/>
      <c r="G89" s="28"/>
      <c r="H89" s="28"/>
      <c r="I89" s="28"/>
      <c r="J89" s="5">
        <v>16061</v>
      </c>
      <c r="K89" s="28"/>
      <c r="L89" s="28"/>
      <c r="M89" s="28"/>
      <c r="N89" s="28"/>
      <c r="O89" s="28"/>
      <c r="P89" s="28"/>
      <c r="Q89" s="28"/>
      <c r="R89" s="5">
        <v>21609721</v>
      </c>
      <c r="S89" s="28"/>
      <c r="T89" s="5">
        <v>11636861</v>
      </c>
      <c r="U89" s="28"/>
      <c r="V89" s="28"/>
      <c r="W89" s="28"/>
      <c r="X89" s="28"/>
      <c r="Y89" s="5">
        <v>2890094</v>
      </c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5">
        <v>438300</v>
      </c>
      <c r="AM89" s="5">
        <v>77585</v>
      </c>
      <c r="AN89" s="5"/>
      <c r="AO89" s="49">
        <v>39958530</v>
      </c>
    </row>
    <row r="90" spans="1:41" ht="10.5" customHeight="1">
      <c r="A90" s="6">
        <f t="shared" si="1"/>
        <v>1989</v>
      </c>
      <c r="B90" s="6" t="s">
        <v>36</v>
      </c>
      <c r="C90" s="4">
        <v>32568</v>
      </c>
      <c r="D90" s="28"/>
      <c r="E90" s="28"/>
      <c r="F90" s="28"/>
      <c r="G90" s="28"/>
      <c r="H90" s="28"/>
      <c r="I90" s="28"/>
      <c r="J90" s="5">
        <v>9771</v>
      </c>
      <c r="K90" s="28"/>
      <c r="L90" s="28"/>
      <c r="M90" s="28"/>
      <c r="N90" s="28"/>
      <c r="O90" s="28"/>
      <c r="P90" s="28"/>
      <c r="Q90" s="28"/>
      <c r="R90" s="5">
        <v>23962650</v>
      </c>
      <c r="S90" s="28"/>
      <c r="T90" s="5">
        <v>14999947</v>
      </c>
      <c r="U90" s="28"/>
      <c r="V90" s="28"/>
      <c r="W90" s="28"/>
      <c r="X90" s="28"/>
      <c r="Y90" s="5">
        <v>2718004</v>
      </c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5">
        <v>1791657</v>
      </c>
      <c r="AM90" s="5">
        <v>699641</v>
      </c>
      <c r="AN90" s="5"/>
      <c r="AO90" s="49">
        <v>47424976</v>
      </c>
    </row>
    <row r="91" spans="1:41" ht="10.5" customHeight="1">
      <c r="A91" s="6">
        <f t="shared" si="1"/>
        <v>1989</v>
      </c>
      <c r="B91" s="6" t="s">
        <v>37</v>
      </c>
      <c r="C91" s="4">
        <v>32599</v>
      </c>
      <c r="D91" s="28"/>
      <c r="E91" s="28"/>
      <c r="F91" s="28"/>
      <c r="G91" s="28"/>
      <c r="H91" s="28"/>
      <c r="I91" s="28"/>
      <c r="J91" s="5">
        <v>114233</v>
      </c>
      <c r="K91" s="28"/>
      <c r="L91" s="28"/>
      <c r="M91" s="28"/>
      <c r="N91" s="28"/>
      <c r="O91" s="28"/>
      <c r="P91" s="28"/>
      <c r="Q91" s="28"/>
      <c r="R91" s="5">
        <v>21846583</v>
      </c>
      <c r="S91" s="28"/>
      <c r="T91" s="5">
        <v>14094029</v>
      </c>
      <c r="U91" s="28"/>
      <c r="V91" s="28"/>
      <c r="W91" s="28"/>
      <c r="X91" s="28"/>
      <c r="Y91" s="5">
        <v>5709994</v>
      </c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5">
        <v>293857</v>
      </c>
      <c r="AM91" s="5">
        <v>32445</v>
      </c>
      <c r="AN91" s="5"/>
      <c r="AO91" s="49">
        <v>51329151</v>
      </c>
    </row>
    <row r="92" spans="1:41" ht="10.5" customHeight="1">
      <c r="A92" s="6">
        <f t="shared" si="1"/>
        <v>1989</v>
      </c>
      <c r="B92" s="6" t="s">
        <v>73</v>
      </c>
      <c r="C92" s="4">
        <v>32629</v>
      </c>
      <c r="D92" s="28"/>
      <c r="E92" s="28"/>
      <c r="F92" s="28"/>
      <c r="G92" s="28"/>
      <c r="H92" s="28"/>
      <c r="I92" s="28"/>
      <c r="J92" s="5">
        <v>30888</v>
      </c>
      <c r="K92" s="28"/>
      <c r="L92" s="28"/>
      <c r="M92" s="28"/>
      <c r="N92" s="28"/>
      <c r="O92" s="28"/>
      <c r="P92" s="28"/>
      <c r="Q92" s="28"/>
      <c r="R92" s="5">
        <v>25026367</v>
      </c>
      <c r="S92" s="28"/>
      <c r="T92" s="5">
        <v>12728045</v>
      </c>
      <c r="U92" s="28"/>
      <c r="V92" s="28"/>
      <c r="W92" s="28"/>
      <c r="X92" s="28"/>
      <c r="Y92" s="5">
        <v>3350329</v>
      </c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5">
        <v>166247</v>
      </c>
      <c r="AM92" s="5">
        <v>25706</v>
      </c>
      <c r="AN92" s="5"/>
      <c r="AO92" s="49">
        <v>49442044</v>
      </c>
    </row>
    <row r="93" spans="1:41" ht="10.5" customHeight="1">
      <c r="A93" s="6">
        <f t="shared" si="1"/>
        <v>1989</v>
      </c>
      <c r="B93" s="6" t="s">
        <v>39</v>
      </c>
      <c r="C93" s="4">
        <v>32660</v>
      </c>
      <c r="D93" s="28"/>
      <c r="E93" s="28"/>
      <c r="F93" s="28"/>
      <c r="G93" s="28"/>
      <c r="H93" s="28"/>
      <c r="I93" s="28"/>
      <c r="J93" s="5">
        <v>13379</v>
      </c>
      <c r="K93" s="28"/>
      <c r="L93" s="28"/>
      <c r="M93" s="28"/>
      <c r="N93" s="28"/>
      <c r="O93" s="28"/>
      <c r="P93" s="28"/>
      <c r="Q93" s="28"/>
      <c r="R93" s="5">
        <v>25992754</v>
      </c>
      <c r="S93" s="28"/>
      <c r="T93" s="5">
        <v>10390685</v>
      </c>
      <c r="U93" s="28"/>
      <c r="V93" s="28"/>
      <c r="W93" s="28"/>
      <c r="X93" s="28"/>
      <c r="Y93" s="5">
        <v>3532882</v>
      </c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5">
        <v>50736</v>
      </c>
      <c r="AM93" s="5">
        <v>30009</v>
      </c>
      <c r="AN93" s="5"/>
      <c r="AO93" s="49">
        <v>45089691</v>
      </c>
    </row>
    <row r="94" spans="1:41" ht="10.5" customHeight="1">
      <c r="A94" s="6">
        <f t="shared" si="1"/>
        <v>1989</v>
      </c>
      <c r="B94" s="6" t="s">
        <v>40</v>
      </c>
      <c r="C94" s="4">
        <v>32690</v>
      </c>
      <c r="D94" s="28"/>
      <c r="E94" s="28"/>
      <c r="F94" s="28"/>
      <c r="G94" s="28"/>
      <c r="H94" s="28"/>
      <c r="I94" s="28"/>
      <c r="J94" s="5">
        <v>22791</v>
      </c>
      <c r="K94" s="28"/>
      <c r="L94" s="28"/>
      <c r="M94" s="28"/>
      <c r="N94" s="28"/>
      <c r="O94" s="28"/>
      <c r="P94" s="28"/>
      <c r="Q94" s="28"/>
      <c r="R94" s="5">
        <v>27747466</v>
      </c>
      <c r="S94" s="28"/>
      <c r="T94" s="5">
        <v>16094766</v>
      </c>
      <c r="U94" s="28"/>
      <c r="V94" s="28"/>
      <c r="W94" s="28"/>
      <c r="X94" s="28"/>
      <c r="Y94" s="5">
        <v>3380513</v>
      </c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5">
        <v>2276617</v>
      </c>
      <c r="AM94" s="5">
        <v>886257</v>
      </c>
      <c r="AN94" s="5"/>
      <c r="AO94" s="49">
        <v>54333943</v>
      </c>
    </row>
    <row r="95" spans="1:41" ht="10.5" customHeight="1">
      <c r="A95" s="6">
        <f t="shared" si="1"/>
        <v>1989</v>
      </c>
      <c r="B95" s="6" t="s">
        <v>41</v>
      </c>
      <c r="C95" s="4">
        <v>32721</v>
      </c>
      <c r="D95" s="28"/>
      <c r="E95" s="28"/>
      <c r="F95" s="28"/>
      <c r="G95" s="28"/>
      <c r="H95" s="28"/>
      <c r="I95" s="28"/>
      <c r="J95" s="5">
        <v>31230</v>
      </c>
      <c r="K95" s="28"/>
      <c r="L95" s="28"/>
      <c r="M95" s="28"/>
      <c r="N95" s="28"/>
      <c r="O95" s="28"/>
      <c r="P95" s="28"/>
      <c r="Q95" s="28"/>
      <c r="R95" s="5">
        <v>30580152</v>
      </c>
      <c r="S95" s="28"/>
      <c r="T95" s="5">
        <v>18372068</v>
      </c>
      <c r="U95" s="28"/>
      <c r="V95" s="28"/>
      <c r="W95" s="28"/>
      <c r="X95" s="28"/>
      <c r="Y95" s="5">
        <v>3765781</v>
      </c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5">
        <v>144991</v>
      </c>
      <c r="AM95" s="5">
        <v>20621</v>
      </c>
      <c r="AN95" s="5"/>
      <c r="AO95" s="49">
        <v>57919141</v>
      </c>
    </row>
    <row r="96" spans="1:41" ht="10.5" customHeight="1">
      <c r="A96" s="6">
        <f t="shared" si="1"/>
        <v>1989</v>
      </c>
      <c r="B96" s="6" t="s">
        <v>42</v>
      </c>
      <c r="C96" s="4">
        <v>32752</v>
      </c>
      <c r="D96" s="28"/>
      <c r="E96" s="28"/>
      <c r="F96" s="28"/>
      <c r="G96" s="28"/>
      <c r="H96" s="28"/>
      <c r="I96" s="28"/>
      <c r="J96" s="5">
        <v>13667</v>
      </c>
      <c r="K96" s="28"/>
      <c r="L96" s="28"/>
      <c r="M96" s="28"/>
      <c r="N96" s="28"/>
      <c r="O96" s="28"/>
      <c r="P96" s="28"/>
      <c r="Q96" s="28"/>
      <c r="R96" s="5">
        <v>33618025</v>
      </c>
      <c r="S96" s="28"/>
      <c r="T96" s="5">
        <v>13475981</v>
      </c>
      <c r="U96" s="28"/>
      <c r="V96" s="28"/>
      <c r="W96" s="28"/>
      <c r="X96" s="28"/>
      <c r="Y96" s="5">
        <v>4036075</v>
      </c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5">
        <v>891685</v>
      </c>
      <c r="AM96" s="5">
        <v>419797</v>
      </c>
      <c r="AN96" s="5"/>
      <c r="AO96" s="49">
        <v>60788355</v>
      </c>
    </row>
    <row r="97" spans="1:41" ht="10.5" customHeight="1">
      <c r="A97" s="6">
        <f t="shared" si="1"/>
        <v>1989</v>
      </c>
      <c r="B97" s="6" t="s">
        <v>43</v>
      </c>
      <c r="C97" s="4">
        <v>32782</v>
      </c>
      <c r="D97" s="28"/>
      <c r="E97" s="28"/>
      <c r="F97" s="28"/>
      <c r="G97" s="28"/>
      <c r="H97" s="28"/>
      <c r="I97" s="28"/>
      <c r="J97" s="5">
        <v>21331</v>
      </c>
      <c r="K97" s="28"/>
      <c r="L97" s="28"/>
      <c r="M97" s="28"/>
      <c r="N97" s="28"/>
      <c r="O97" s="28"/>
      <c r="P97" s="28"/>
      <c r="Q97" s="28"/>
      <c r="R97" s="5">
        <v>30648506</v>
      </c>
      <c r="S97" s="28"/>
      <c r="T97" s="5">
        <v>15318801</v>
      </c>
      <c r="U97" s="28"/>
      <c r="V97" s="28"/>
      <c r="W97" s="28"/>
      <c r="X97" s="28"/>
      <c r="Y97" s="5">
        <v>5102270</v>
      </c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5">
        <v>184713</v>
      </c>
      <c r="AM97" s="5">
        <v>42492</v>
      </c>
      <c r="AN97" s="5"/>
      <c r="AO97" s="49">
        <v>61395919</v>
      </c>
    </row>
    <row r="98" spans="1:41" ht="10.5" customHeight="1">
      <c r="A98" s="6">
        <f t="shared" si="1"/>
        <v>1989</v>
      </c>
      <c r="B98" s="6" t="s">
        <v>44</v>
      </c>
      <c r="C98" s="4">
        <v>32813</v>
      </c>
      <c r="D98" s="28"/>
      <c r="E98" s="28"/>
      <c r="F98" s="28"/>
      <c r="G98" s="28"/>
      <c r="H98" s="28"/>
      <c r="I98" s="28"/>
      <c r="J98" s="5">
        <v>48727</v>
      </c>
      <c r="K98" s="28"/>
      <c r="L98" s="28"/>
      <c r="M98" s="28"/>
      <c r="N98" s="28"/>
      <c r="O98" s="28"/>
      <c r="P98" s="28"/>
      <c r="Q98" s="28"/>
      <c r="R98" s="5">
        <v>34845880</v>
      </c>
      <c r="S98" s="28"/>
      <c r="T98" s="5">
        <v>18418770</v>
      </c>
      <c r="U98" s="28"/>
      <c r="V98" s="28"/>
      <c r="W98" s="28"/>
      <c r="X98" s="28"/>
      <c r="Y98" s="5">
        <v>4437331</v>
      </c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5">
        <v>2259863</v>
      </c>
      <c r="AM98" s="5">
        <v>659933</v>
      </c>
      <c r="AN98" s="5"/>
      <c r="AO98" s="49">
        <v>66820552</v>
      </c>
    </row>
    <row r="99" spans="1:41" ht="10.5" customHeight="1">
      <c r="A99" s="6">
        <f t="shared" si="1"/>
        <v>1989</v>
      </c>
      <c r="B99" s="6" t="s">
        <v>45</v>
      </c>
      <c r="C99" s="4">
        <v>32843</v>
      </c>
      <c r="D99" s="28"/>
      <c r="E99" s="28"/>
      <c r="F99" s="28"/>
      <c r="G99" s="28"/>
      <c r="H99" s="28"/>
      <c r="I99" s="28"/>
      <c r="J99" s="5">
        <v>25629</v>
      </c>
      <c r="K99" s="28"/>
      <c r="L99" s="28"/>
      <c r="M99" s="28"/>
      <c r="N99" s="28"/>
      <c r="O99" s="28"/>
      <c r="P99" s="28"/>
      <c r="Q99" s="28"/>
      <c r="R99" s="5">
        <v>39122922</v>
      </c>
      <c r="S99" s="28"/>
      <c r="T99" s="5">
        <v>23110811</v>
      </c>
      <c r="U99" s="28"/>
      <c r="V99" s="28"/>
      <c r="W99" s="28"/>
      <c r="X99" s="28"/>
      <c r="Y99" s="5">
        <v>4478892</v>
      </c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5">
        <v>1145337</v>
      </c>
      <c r="AM99" s="5">
        <v>551215</v>
      </c>
      <c r="AN99" s="5"/>
      <c r="AO99" s="49">
        <v>81420804</v>
      </c>
    </row>
    <row r="100" spans="1:41" ht="10.5" customHeight="1">
      <c r="A100" s="6">
        <f t="shared" si="1"/>
        <v>1990</v>
      </c>
      <c r="B100" s="6" t="s">
        <v>34</v>
      </c>
      <c r="C100" s="4">
        <v>32874</v>
      </c>
      <c r="D100" s="28"/>
      <c r="E100" s="5">
        <v>419</v>
      </c>
      <c r="F100" s="28"/>
      <c r="G100" s="28"/>
      <c r="H100" s="28"/>
      <c r="I100" s="28"/>
      <c r="J100" s="5">
        <v>102059</v>
      </c>
      <c r="K100" s="5">
        <v>1600367</v>
      </c>
      <c r="L100" s="28"/>
      <c r="M100" s="28"/>
      <c r="N100" s="5">
        <v>47861</v>
      </c>
      <c r="O100" s="5">
        <v>496514</v>
      </c>
      <c r="P100" s="14">
        <v>0</v>
      </c>
      <c r="Q100" s="28"/>
      <c r="R100" s="5">
        <v>42313119</v>
      </c>
      <c r="S100" s="28"/>
      <c r="T100" s="5">
        <v>23559894</v>
      </c>
      <c r="U100" s="5">
        <v>88182</v>
      </c>
      <c r="V100" s="10">
        <v>0</v>
      </c>
      <c r="W100" s="5">
        <v>133926</v>
      </c>
      <c r="X100" s="28"/>
      <c r="Y100" s="5">
        <v>5579601</v>
      </c>
      <c r="Z100" s="28"/>
      <c r="AA100" s="28"/>
      <c r="AB100" s="28"/>
      <c r="AC100" s="28"/>
      <c r="AD100" s="28"/>
      <c r="AE100" s="28"/>
      <c r="AF100" s="28"/>
      <c r="AG100" s="28"/>
      <c r="AH100" s="5">
        <v>31523</v>
      </c>
      <c r="AI100" s="28"/>
      <c r="AJ100" s="5">
        <v>1965532</v>
      </c>
      <c r="AK100" s="28"/>
      <c r="AL100" s="5">
        <v>432731</v>
      </c>
      <c r="AM100" s="5">
        <v>119725</v>
      </c>
      <c r="AN100" s="5"/>
      <c r="AO100" s="49">
        <v>79458020</v>
      </c>
    </row>
    <row r="101" spans="1:41" ht="10.5" customHeight="1">
      <c r="A101" s="6">
        <f t="shared" si="1"/>
        <v>1990</v>
      </c>
      <c r="B101" s="6" t="s">
        <v>35</v>
      </c>
      <c r="C101" s="4">
        <v>32905</v>
      </c>
      <c r="D101" s="28"/>
      <c r="E101" s="5">
        <v>602</v>
      </c>
      <c r="F101" s="28"/>
      <c r="G101" s="28"/>
      <c r="H101" s="28"/>
      <c r="I101" s="28"/>
      <c r="J101" s="5">
        <v>39364</v>
      </c>
      <c r="K101" s="5">
        <v>1433071</v>
      </c>
      <c r="L101" s="28"/>
      <c r="M101" s="28"/>
      <c r="N101" s="5">
        <v>1690</v>
      </c>
      <c r="O101" s="5">
        <v>535763</v>
      </c>
      <c r="P101" s="14">
        <v>0</v>
      </c>
      <c r="Q101" s="28"/>
      <c r="R101" s="5">
        <v>39665076</v>
      </c>
      <c r="S101" s="28"/>
      <c r="T101" s="5">
        <v>19709537</v>
      </c>
      <c r="U101" s="5">
        <v>150918</v>
      </c>
      <c r="V101" s="11">
        <v>0</v>
      </c>
      <c r="W101" s="5">
        <v>145515</v>
      </c>
      <c r="X101" s="28"/>
      <c r="Y101" s="5">
        <v>4808224</v>
      </c>
      <c r="Z101" s="28"/>
      <c r="AA101" s="28"/>
      <c r="AB101" s="28"/>
      <c r="AC101" s="28"/>
      <c r="AD101" s="28"/>
      <c r="AE101" s="28"/>
      <c r="AF101" s="28"/>
      <c r="AG101" s="28"/>
      <c r="AH101" s="5">
        <v>26187</v>
      </c>
      <c r="AI101" s="28"/>
      <c r="AJ101" s="5">
        <v>1990837</v>
      </c>
      <c r="AK101" s="28"/>
      <c r="AL101" s="5">
        <v>438300</v>
      </c>
      <c r="AM101" s="5">
        <v>126043</v>
      </c>
      <c r="AN101" s="5"/>
      <c r="AO101" s="49">
        <v>72493935</v>
      </c>
    </row>
    <row r="102" spans="1:41" ht="10.5" customHeight="1">
      <c r="A102" s="6">
        <f t="shared" si="1"/>
        <v>1990</v>
      </c>
      <c r="B102" s="6" t="s">
        <v>36</v>
      </c>
      <c r="C102" s="4">
        <v>32933</v>
      </c>
      <c r="D102" s="28"/>
      <c r="E102" s="5">
        <v>2030</v>
      </c>
      <c r="F102" s="28"/>
      <c r="G102" s="28"/>
      <c r="H102" s="28"/>
      <c r="I102" s="28"/>
      <c r="J102" s="5">
        <v>70651</v>
      </c>
      <c r="K102" s="5">
        <v>1629622</v>
      </c>
      <c r="L102" s="28"/>
      <c r="M102" s="28"/>
      <c r="N102" s="5">
        <v>11030</v>
      </c>
      <c r="O102" s="5">
        <v>705479</v>
      </c>
      <c r="P102" s="14">
        <v>0</v>
      </c>
      <c r="Q102" s="28"/>
      <c r="R102" s="5">
        <v>47528995</v>
      </c>
      <c r="S102" s="28"/>
      <c r="T102" s="5">
        <v>26455889</v>
      </c>
      <c r="U102" s="5">
        <v>108133</v>
      </c>
      <c r="V102" s="11">
        <v>2335</v>
      </c>
      <c r="W102" s="5">
        <v>139674</v>
      </c>
      <c r="X102" s="28"/>
      <c r="Y102" s="5">
        <v>4644401</v>
      </c>
      <c r="Z102" s="28"/>
      <c r="AA102" s="28"/>
      <c r="AB102" s="28"/>
      <c r="AC102" s="28"/>
      <c r="AD102" s="28"/>
      <c r="AE102" s="28"/>
      <c r="AF102" s="28"/>
      <c r="AG102" s="28"/>
      <c r="AH102" s="5">
        <v>27241</v>
      </c>
      <c r="AI102" s="28"/>
      <c r="AJ102" s="5">
        <v>2384733</v>
      </c>
      <c r="AK102" s="28"/>
      <c r="AL102" s="5">
        <v>1791657</v>
      </c>
      <c r="AM102" s="5">
        <v>819447</v>
      </c>
      <c r="AN102" s="5"/>
      <c r="AO102" s="49">
        <v>89819526</v>
      </c>
    </row>
    <row r="103" spans="1:41" ht="10.5" customHeight="1">
      <c r="A103" s="6">
        <f t="shared" si="1"/>
        <v>1990</v>
      </c>
      <c r="B103" s="6" t="s">
        <v>37</v>
      </c>
      <c r="C103" s="4">
        <v>32964</v>
      </c>
      <c r="D103" s="28"/>
      <c r="E103" s="5">
        <v>6502</v>
      </c>
      <c r="F103" s="28"/>
      <c r="G103" s="28"/>
      <c r="H103" s="28"/>
      <c r="I103" s="28"/>
      <c r="J103" s="5">
        <v>465358</v>
      </c>
      <c r="K103" s="5">
        <v>4471569</v>
      </c>
      <c r="L103" s="28"/>
      <c r="M103" s="28"/>
      <c r="N103" s="5">
        <v>175238</v>
      </c>
      <c r="O103" s="5">
        <v>531633</v>
      </c>
      <c r="P103" s="14">
        <v>117097</v>
      </c>
      <c r="Q103" s="28"/>
      <c r="R103" s="5">
        <v>42782859</v>
      </c>
      <c r="S103" s="28"/>
      <c r="T103" s="5">
        <v>28218578</v>
      </c>
      <c r="U103" s="5">
        <v>143673</v>
      </c>
      <c r="V103" s="11">
        <v>177248</v>
      </c>
      <c r="W103" s="5">
        <v>168920</v>
      </c>
      <c r="X103" s="28"/>
      <c r="Y103" s="5">
        <v>11739491</v>
      </c>
      <c r="Z103" s="28"/>
      <c r="AA103" s="28"/>
      <c r="AB103" s="28"/>
      <c r="AC103" s="28"/>
      <c r="AD103" s="28"/>
      <c r="AE103" s="28"/>
      <c r="AF103" s="28"/>
      <c r="AG103" s="28"/>
      <c r="AH103" s="5">
        <v>54195</v>
      </c>
      <c r="AI103" s="28"/>
      <c r="AJ103" s="5">
        <v>2320961</v>
      </c>
      <c r="AK103" s="28"/>
      <c r="AL103" s="5">
        <v>293857</v>
      </c>
      <c r="AM103" s="5">
        <v>87750</v>
      </c>
      <c r="AN103" s="5"/>
      <c r="AO103" s="49">
        <v>95109500</v>
      </c>
    </row>
    <row r="104" spans="1:41" ht="10.5" customHeight="1">
      <c r="A104" s="6">
        <f t="shared" si="1"/>
        <v>1990</v>
      </c>
      <c r="B104" s="6" t="s">
        <v>73</v>
      </c>
      <c r="C104" s="4">
        <v>32994</v>
      </c>
      <c r="D104" s="28"/>
      <c r="E104" s="5">
        <v>2779</v>
      </c>
      <c r="F104" s="28"/>
      <c r="G104" s="28"/>
      <c r="H104" s="28"/>
      <c r="I104" s="28"/>
      <c r="J104" s="5">
        <v>36385</v>
      </c>
      <c r="K104" s="5">
        <v>2092485</v>
      </c>
      <c r="L104" s="28"/>
      <c r="M104" s="28"/>
      <c r="N104" s="5">
        <v>18607</v>
      </c>
      <c r="O104" s="5">
        <v>12285570</v>
      </c>
      <c r="P104" s="14">
        <v>719377</v>
      </c>
      <c r="Q104" s="28"/>
      <c r="R104" s="5">
        <v>53422641</v>
      </c>
      <c r="S104" s="28"/>
      <c r="T104" s="5">
        <v>21592108</v>
      </c>
      <c r="U104" s="5">
        <v>196655</v>
      </c>
      <c r="V104" s="11">
        <v>214675</v>
      </c>
      <c r="W104" s="5">
        <v>153726</v>
      </c>
      <c r="X104" s="28"/>
      <c r="Y104" s="5">
        <v>6982292</v>
      </c>
      <c r="Z104" s="28"/>
      <c r="AA104" s="28"/>
      <c r="AB104" s="28"/>
      <c r="AC104" s="28"/>
      <c r="AD104" s="28"/>
      <c r="AE104" s="28"/>
      <c r="AF104" s="28"/>
      <c r="AG104" s="28"/>
      <c r="AH104" s="5">
        <v>46938</v>
      </c>
      <c r="AI104" s="28"/>
      <c r="AJ104" s="5">
        <v>2359058</v>
      </c>
      <c r="AK104" s="28"/>
      <c r="AL104" s="5">
        <v>166247</v>
      </c>
      <c r="AM104" s="5">
        <v>62273</v>
      </c>
      <c r="AN104" s="5"/>
      <c r="AO104" s="49">
        <v>105110510</v>
      </c>
    </row>
    <row r="105" spans="1:41" ht="10.5" customHeight="1">
      <c r="A105" s="6">
        <f t="shared" si="1"/>
        <v>1990</v>
      </c>
      <c r="B105" s="6" t="s">
        <v>39</v>
      </c>
      <c r="C105" s="4">
        <v>33025</v>
      </c>
      <c r="D105" s="28"/>
      <c r="E105" s="5">
        <v>353</v>
      </c>
      <c r="F105" s="28"/>
      <c r="G105" s="28"/>
      <c r="H105" s="28"/>
      <c r="I105" s="28"/>
      <c r="J105" s="5">
        <v>70612</v>
      </c>
      <c r="K105" s="5">
        <v>1966291</v>
      </c>
      <c r="L105" s="28"/>
      <c r="M105" s="28"/>
      <c r="N105" s="5">
        <v>29717</v>
      </c>
      <c r="O105" s="5">
        <v>740280</v>
      </c>
      <c r="P105" s="14">
        <v>935853</v>
      </c>
      <c r="Q105" s="28"/>
      <c r="R105" s="5">
        <v>54323262</v>
      </c>
      <c r="S105" s="28"/>
      <c r="T105" s="5">
        <v>28842923</v>
      </c>
      <c r="U105" s="5">
        <v>170134</v>
      </c>
      <c r="V105" s="11">
        <v>246371</v>
      </c>
      <c r="W105" s="5">
        <v>244849</v>
      </c>
      <c r="X105" s="28"/>
      <c r="Y105" s="5">
        <v>7707841</v>
      </c>
      <c r="Z105" s="28"/>
      <c r="AA105" s="28"/>
      <c r="AB105" s="28"/>
      <c r="AC105" s="28"/>
      <c r="AD105" s="28"/>
      <c r="AE105" s="28"/>
      <c r="AF105" s="28"/>
      <c r="AG105" s="28"/>
      <c r="AH105" s="5">
        <v>48265</v>
      </c>
      <c r="AI105" s="28"/>
      <c r="AJ105" s="5">
        <v>2471777</v>
      </c>
      <c r="AK105" s="28"/>
      <c r="AL105" s="5">
        <v>50736</v>
      </c>
      <c r="AM105" s="5">
        <v>128692</v>
      </c>
      <c r="AN105" s="5"/>
      <c r="AO105" s="49">
        <v>102243314</v>
      </c>
    </row>
    <row r="106" spans="1:41" ht="10.5" customHeight="1">
      <c r="A106" s="6">
        <f t="shared" si="1"/>
        <v>1990</v>
      </c>
      <c r="B106" s="6" t="s">
        <v>40</v>
      </c>
      <c r="C106" s="4">
        <v>33055</v>
      </c>
      <c r="D106" s="28"/>
      <c r="E106" s="5">
        <v>1094</v>
      </c>
      <c r="F106" s="28"/>
      <c r="G106" s="28"/>
      <c r="H106" s="28"/>
      <c r="I106" s="28"/>
      <c r="J106" s="5">
        <v>39516</v>
      </c>
      <c r="K106" s="5">
        <v>2056013</v>
      </c>
      <c r="L106" s="28"/>
      <c r="M106" s="28"/>
      <c r="N106" s="5">
        <v>72712</v>
      </c>
      <c r="O106" s="5">
        <v>6309296</v>
      </c>
      <c r="P106" s="14">
        <v>1140681</v>
      </c>
      <c r="Q106" s="28"/>
      <c r="R106" s="5">
        <v>58018425</v>
      </c>
      <c r="S106" s="28"/>
      <c r="T106" s="5">
        <v>38495477</v>
      </c>
      <c r="U106" s="5">
        <v>181184</v>
      </c>
      <c r="V106" s="11">
        <v>272956</v>
      </c>
      <c r="W106" s="5">
        <v>401361</v>
      </c>
      <c r="X106" s="28"/>
      <c r="Y106" s="5">
        <v>8001857</v>
      </c>
      <c r="Z106" s="28"/>
      <c r="AA106" s="28"/>
      <c r="AB106" s="28"/>
      <c r="AC106" s="28"/>
      <c r="AD106" s="28"/>
      <c r="AE106" s="28"/>
      <c r="AF106" s="28"/>
      <c r="AG106" s="28"/>
      <c r="AH106" s="5">
        <v>31217</v>
      </c>
      <c r="AI106" s="28"/>
      <c r="AJ106" s="5">
        <v>2692089</v>
      </c>
      <c r="AK106" s="28"/>
      <c r="AL106" s="5">
        <v>2276617</v>
      </c>
      <c r="AM106" s="5">
        <v>1216651</v>
      </c>
      <c r="AN106" s="5"/>
      <c r="AO106" s="49">
        <v>125298220</v>
      </c>
    </row>
    <row r="107" spans="1:41" ht="10.5" customHeight="1">
      <c r="A107" s="6">
        <f t="shared" si="1"/>
        <v>1990</v>
      </c>
      <c r="B107" s="6" t="s">
        <v>41</v>
      </c>
      <c r="C107" s="4">
        <v>33086</v>
      </c>
      <c r="D107" s="28"/>
      <c r="E107" s="5">
        <v>1608</v>
      </c>
      <c r="F107" s="28"/>
      <c r="G107" s="28"/>
      <c r="H107" s="28"/>
      <c r="I107" s="28"/>
      <c r="J107" s="5">
        <v>212380</v>
      </c>
      <c r="K107" s="5">
        <v>1067774</v>
      </c>
      <c r="L107" s="28"/>
      <c r="M107" s="28"/>
      <c r="N107" s="5">
        <v>61069</v>
      </c>
      <c r="O107" s="5">
        <v>6132652</v>
      </c>
      <c r="P107" s="14">
        <v>1148127</v>
      </c>
      <c r="Q107" s="28"/>
      <c r="R107" s="5">
        <v>47000941</v>
      </c>
      <c r="S107" s="28"/>
      <c r="T107" s="5">
        <v>18007127</v>
      </c>
      <c r="U107" s="5">
        <v>53075</v>
      </c>
      <c r="V107" s="11">
        <v>82665</v>
      </c>
      <c r="W107" s="5">
        <v>1821</v>
      </c>
      <c r="X107" s="5">
        <v>136</v>
      </c>
      <c r="Y107" s="5">
        <v>3784702</v>
      </c>
      <c r="Z107" s="28"/>
      <c r="AA107" s="28"/>
      <c r="AB107" s="28"/>
      <c r="AC107" s="28"/>
      <c r="AD107" s="28"/>
      <c r="AE107" s="28"/>
      <c r="AF107" s="28"/>
      <c r="AG107" s="28"/>
      <c r="AH107" s="5">
        <v>20699</v>
      </c>
      <c r="AI107" s="28"/>
      <c r="AJ107" s="5">
        <v>2635812</v>
      </c>
      <c r="AK107" s="28"/>
      <c r="AL107" s="5">
        <v>144991</v>
      </c>
      <c r="AM107" s="5">
        <v>77893</v>
      </c>
      <c r="AN107" s="5"/>
      <c r="AO107" s="49">
        <v>85457436</v>
      </c>
    </row>
    <row r="108" spans="1:41" ht="10.5" customHeight="1">
      <c r="A108" s="6">
        <f t="shared" si="1"/>
        <v>1990</v>
      </c>
      <c r="B108" s="6" t="s">
        <v>42</v>
      </c>
      <c r="C108" s="4">
        <v>33117</v>
      </c>
      <c r="D108" s="28"/>
      <c r="E108" s="5">
        <v>1991</v>
      </c>
      <c r="F108" s="28"/>
      <c r="G108" s="28"/>
      <c r="H108" s="28"/>
      <c r="I108" s="28"/>
      <c r="J108" s="5">
        <v>42300</v>
      </c>
      <c r="K108" s="5">
        <v>3050099</v>
      </c>
      <c r="L108" s="28"/>
      <c r="M108" s="28"/>
      <c r="N108" s="5">
        <v>20143</v>
      </c>
      <c r="O108" s="5">
        <v>7107446</v>
      </c>
      <c r="P108" s="14">
        <v>1390155</v>
      </c>
      <c r="Q108" s="28"/>
      <c r="R108" s="5">
        <v>87086882</v>
      </c>
      <c r="S108" s="28"/>
      <c r="T108" s="5">
        <v>48337115</v>
      </c>
      <c r="U108" s="5">
        <v>226671</v>
      </c>
      <c r="V108" s="11">
        <v>494501</v>
      </c>
      <c r="W108" s="5">
        <v>493869</v>
      </c>
      <c r="X108" s="5">
        <v>0</v>
      </c>
      <c r="Y108" s="5">
        <v>12388788</v>
      </c>
      <c r="Z108" s="28"/>
      <c r="AA108" s="28"/>
      <c r="AB108" s="28"/>
      <c r="AC108" s="28"/>
      <c r="AD108" s="28"/>
      <c r="AE108" s="28"/>
      <c r="AF108" s="28"/>
      <c r="AG108" s="28"/>
      <c r="AH108" s="5">
        <v>60630</v>
      </c>
      <c r="AI108" s="28"/>
      <c r="AJ108" s="5">
        <v>2833850</v>
      </c>
      <c r="AK108" s="28"/>
      <c r="AL108" s="5">
        <v>891685</v>
      </c>
      <c r="AM108" s="5">
        <v>446999</v>
      </c>
      <c r="AN108" s="5"/>
      <c r="AO108" s="49">
        <v>169770830</v>
      </c>
    </row>
    <row r="109" spans="1:41" ht="10.5" customHeight="1">
      <c r="A109" s="6">
        <f t="shared" si="1"/>
        <v>1990</v>
      </c>
      <c r="B109" s="6" t="s">
        <v>43</v>
      </c>
      <c r="C109" s="4">
        <v>33147</v>
      </c>
      <c r="D109" s="28"/>
      <c r="E109" s="5">
        <v>2856</v>
      </c>
      <c r="F109" s="28"/>
      <c r="G109" s="28"/>
      <c r="H109" s="28"/>
      <c r="I109" s="28"/>
      <c r="J109" s="5">
        <v>93196</v>
      </c>
      <c r="K109" s="5">
        <v>3863385</v>
      </c>
      <c r="L109" s="28"/>
      <c r="M109" s="28"/>
      <c r="N109" s="5">
        <v>124212</v>
      </c>
      <c r="O109" s="5">
        <v>12686232</v>
      </c>
      <c r="P109" s="14">
        <v>1709752</v>
      </c>
      <c r="Q109" s="28"/>
      <c r="R109" s="5">
        <v>75192063</v>
      </c>
      <c r="S109" s="28"/>
      <c r="T109" s="5">
        <v>62402864</v>
      </c>
      <c r="U109" s="5">
        <v>141126</v>
      </c>
      <c r="V109" s="11">
        <v>519661</v>
      </c>
      <c r="W109" s="5">
        <v>244241</v>
      </c>
      <c r="X109" s="5">
        <v>197437</v>
      </c>
      <c r="Y109" s="5">
        <v>11637656</v>
      </c>
      <c r="Z109" s="28"/>
      <c r="AA109" s="28"/>
      <c r="AB109" s="28"/>
      <c r="AC109" s="28"/>
      <c r="AD109" s="28"/>
      <c r="AE109" s="28"/>
      <c r="AF109" s="28"/>
      <c r="AG109" s="28"/>
      <c r="AH109" s="5">
        <v>41230</v>
      </c>
      <c r="AI109" s="28"/>
      <c r="AJ109" s="5">
        <v>2809569</v>
      </c>
      <c r="AK109" s="28"/>
      <c r="AL109" s="5">
        <v>184713</v>
      </c>
      <c r="AM109" s="5">
        <v>77953</v>
      </c>
      <c r="AN109" s="5"/>
      <c r="AO109" s="49">
        <v>176375846</v>
      </c>
    </row>
    <row r="110" spans="1:41" ht="10.5" customHeight="1">
      <c r="A110" s="6">
        <f t="shared" si="1"/>
        <v>1990</v>
      </c>
      <c r="B110" s="6" t="s">
        <v>44</v>
      </c>
      <c r="C110" s="4">
        <v>33178</v>
      </c>
      <c r="D110" s="28"/>
      <c r="E110" s="5">
        <v>128</v>
      </c>
      <c r="F110" s="28"/>
      <c r="G110" s="28"/>
      <c r="H110" s="28"/>
      <c r="I110" s="28"/>
      <c r="J110" s="5">
        <v>154133</v>
      </c>
      <c r="K110" s="5">
        <v>2433928</v>
      </c>
      <c r="L110" s="28"/>
      <c r="M110" s="28"/>
      <c r="N110" s="5">
        <v>38394</v>
      </c>
      <c r="O110" s="5">
        <v>403664</v>
      </c>
      <c r="P110" s="14">
        <v>1652152</v>
      </c>
      <c r="Q110" s="28"/>
      <c r="R110" s="5">
        <v>84945223</v>
      </c>
      <c r="S110" s="28"/>
      <c r="T110" s="5">
        <v>37184396</v>
      </c>
      <c r="U110" s="5">
        <v>161485</v>
      </c>
      <c r="V110" s="11">
        <v>325069</v>
      </c>
      <c r="W110" s="5">
        <v>270076</v>
      </c>
      <c r="X110" s="5">
        <v>271287</v>
      </c>
      <c r="Y110" s="5">
        <v>10096648</v>
      </c>
      <c r="Z110" s="28"/>
      <c r="AA110" s="28"/>
      <c r="AB110" s="28"/>
      <c r="AC110" s="28"/>
      <c r="AD110" s="28"/>
      <c r="AE110" s="28"/>
      <c r="AF110" s="28"/>
      <c r="AG110" s="28"/>
      <c r="AH110" s="5">
        <v>78751</v>
      </c>
      <c r="AI110" s="28"/>
      <c r="AJ110" s="5">
        <v>2943886</v>
      </c>
      <c r="AK110" s="28"/>
      <c r="AL110" s="5">
        <v>2259863</v>
      </c>
      <c r="AM110" s="5">
        <v>2255301</v>
      </c>
      <c r="AN110" s="5"/>
      <c r="AO110" s="49">
        <v>152442087</v>
      </c>
    </row>
    <row r="111" spans="1:41" ht="10.5" customHeight="1">
      <c r="A111" s="6">
        <f t="shared" si="1"/>
        <v>1990</v>
      </c>
      <c r="B111" s="6" t="s">
        <v>45</v>
      </c>
      <c r="C111" s="4">
        <v>33208</v>
      </c>
      <c r="D111" s="28"/>
      <c r="E111" s="5">
        <v>1356</v>
      </c>
      <c r="F111" s="28"/>
      <c r="G111" s="28"/>
      <c r="H111" s="28"/>
      <c r="I111" s="28"/>
      <c r="J111" s="5">
        <v>53397</v>
      </c>
      <c r="K111" s="5">
        <v>2544853</v>
      </c>
      <c r="L111" s="28"/>
      <c r="M111" s="28"/>
      <c r="N111" s="5">
        <v>51130</v>
      </c>
      <c r="O111" s="5">
        <v>16454428</v>
      </c>
      <c r="P111" s="14">
        <v>2006671</v>
      </c>
      <c r="Q111" s="28"/>
      <c r="R111" s="5">
        <v>96325003</v>
      </c>
      <c r="S111" s="28"/>
      <c r="T111" s="5">
        <v>35978369</v>
      </c>
      <c r="U111" s="5">
        <v>141473</v>
      </c>
      <c r="V111" s="11">
        <v>304973</v>
      </c>
      <c r="W111" s="5">
        <v>279551</v>
      </c>
      <c r="X111" s="5">
        <v>270312</v>
      </c>
      <c r="Y111" s="5">
        <v>9672037</v>
      </c>
      <c r="Z111" s="28"/>
      <c r="AA111" s="28"/>
      <c r="AB111" s="28"/>
      <c r="AC111" s="28"/>
      <c r="AD111" s="28"/>
      <c r="AE111" s="28"/>
      <c r="AF111" s="28"/>
      <c r="AG111" s="28"/>
      <c r="AH111" s="5">
        <v>55603</v>
      </c>
      <c r="AI111" s="28"/>
      <c r="AJ111" s="5">
        <v>3176030</v>
      </c>
      <c r="AK111" s="28"/>
      <c r="AL111" s="5">
        <v>1145337</v>
      </c>
      <c r="AM111" s="5">
        <v>1206562</v>
      </c>
      <c r="AN111" s="5"/>
      <c r="AO111" s="49">
        <v>173486478</v>
      </c>
    </row>
    <row r="112" spans="1:41" ht="10.5" customHeight="1">
      <c r="A112" s="6">
        <f t="shared" si="1"/>
        <v>1991</v>
      </c>
      <c r="B112" s="6" t="s">
        <v>34</v>
      </c>
      <c r="C112" s="4">
        <v>33239</v>
      </c>
      <c r="D112" s="28"/>
      <c r="E112" s="5">
        <v>1988</v>
      </c>
      <c r="F112" s="28"/>
      <c r="G112" s="28"/>
      <c r="H112" s="28"/>
      <c r="I112" s="28"/>
      <c r="J112" s="5">
        <v>406595</v>
      </c>
      <c r="K112" s="5">
        <v>2968007</v>
      </c>
      <c r="L112" s="28"/>
      <c r="M112" s="28"/>
      <c r="N112" s="5">
        <v>118701</v>
      </c>
      <c r="O112" s="5">
        <v>868589</v>
      </c>
      <c r="P112" s="14">
        <v>2289057</v>
      </c>
      <c r="Q112" s="28"/>
      <c r="R112" s="5">
        <v>105024921</v>
      </c>
      <c r="S112" s="28"/>
      <c r="T112" s="5">
        <v>61890318</v>
      </c>
      <c r="U112" s="5">
        <v>177253</v>
      </c>
      <c r="V112" s="11">
        <v>329934</v>
      </c>
      <c r="W112" s="5">
        <v>254618</v>
      </c>
      <c r="X112" s="5">
        <v>250404</v>
      </c>
      <c r="Y112" s="5">
        <v>12730202</v>
      </c>
      <c r="Z112" s="28"/>
      <c r="AA112" s="28"/>
      <c r="AB112" s="28"/>
      <c r="AC112" s="28"/>
      <c r="AD112" s="28"/>
      <c r="AE112" s="28"/>
      <c r="AF112" s="28"/>
      <c r="AG112" s="28"/>
      <c r="AH112" s="5">
        <v>63182</v>
      </c>
      <c r="AI112" s="28"/>
      <c r="AJ112" s="5">
        <v>3414851</v>
      </c>
      <c r="AK112" s="28"/>
      <c r="AL112" s="5">
        <v>979985</v>
      </c>
      <c r="AM112" s="5">
        <v>158685</v>
      </c>
      <c r="AN112" s="5"/>
      <c r="AO112" s="49">
        <v>197512799</v>
      </c>
    </row>
    <row r="113" spans="1:41" ht="10.5" customHeight="1">
      <c r="A113" s="6">
        <f t="shared" si="1"/>
        <v>1991</v>
      </c>
      <c r="B113" s="6" t="s">
        <v>35</v>
      </c>
      <c r="C113" s="4">
        <v>33270</v>
      </c>
      <c r="D113" s="28"/>
      <c r="E113" s="5">
        <v>1570</v>
      </c>
      <c r="F113" s="28"/>
      <c r="G113" s="28"/>
      <c r="H113" s="28"/>
      <c r="I113" s="28"/>
      <c r="J113" s="5">
        <v>256111</v>
      </c>
      <c r="K113" s="5">
        <v>2873216</v>
      </c>
      <c r="L113" s="28"/>
      <c r="M113" s="28"/>
      <c r="N113" s="5">
        <v>21895</v>
      </c>
      <c r="O113" s="5">
        <v>451923</v>
      </c>
      <c r="P113" s="14">
        <v>1785623</v>
      </c>
      <c r="Q113" s="28"/>
      <c r="R113" s="5">
        <v>93958172</v>
      </c>
      <c r="S113" s="5">
        <v>1314870</v>
      </c>
      <c r="T113" s="5">
        <v>62225379</v>
      </c>
      <c r="U113" s="5">
        <v>208908</v>
      </c>
      <c r="V113" s="11">
        <v>411004</v>
      </c>
      <c r="W113" s="5">
        <v>240200</v>
      </c>
      <c r="X113" s="5">
        <v>259673</v>
      </c>
      <c r="Y113" s="5">
        <v>11288398</v>
      </c>
      <c r="Z113" s="28"/>
      <c r="AA113" s="28"/>
      <c r="AB113" s="5">
        <v>684603</v>
      </c>
      <c r="AC113" s="28"/>
      <c r="AD113" s="28"/>
      <c r="AE113" s="28"/>
      <c r="AF113" s="28"/>
      <c r="AG113" s="28"/>
      <c r="AH113" s="5">
        <v>33624</v>
      </c>
      <c r="AI113" s="28"/>
      <c r="AJ113" s="5">
        <v>5318735</v>
      </c>
      <c r="AK113" s="28"/>
      <c r="AL113" s="9">
        <v>139787</v>
      </c>
      <c r="AM113" s="5">
        <v>52907</v>
      </c>
      <c r="AN113" s="5"/>
      <c r="AO113" s="49">
        <v>187547800</v>
      </c>
    </row>
    <row r="114" spans="1:41" ht="10.5" customHeight="1">
      <c r="A114" s="6">
        <f t="shared" si="1"/>
        <v>1991</v>
      </c>
      <c r="B114" s="6" t="s">
        <v>36</v>
      </c>
      <c r="C114" s="4">
        <v>33298</v>
      </c>
      <c r="D114" s="28"/>
      <c r="E114" s="5">
        <v>5853</v>
      </c>
      <c r="F114" s="28"/>
      <c r="G114" s="28"/>
      <c r="H114" s="28"/>
      <c r="I114" s="28"/>
      <c r="J114" s="5">
        <v>219787</v>
      </c>
      <c r="K114" s="5">
        <v>2957724</v>
      </c>
      <c r="L114" s="28"/>
      <c r="M114" s="28"/>
      <c r="N114" s="5">
        <v>4501</v>
      </c>
      <c r="O114" s="5">
        <v>365871</v>
      </c>
      <c r="P114" s="14">
        <v>2068852</v>
      </c>
      <c r="Q114" s="28"/>
      <c r="R114" s="5">
        <v>97691318</v>
      </c>
      <c r="S114" s="5">
        <v>1259687</v>
      </c>
      <c r="T114" s="5">
        <v>59848091</v>
      </c>
      <c r="U114" s="5">
        <v>236120</v>
      </c>
      <c r="V114" s="11">
        <v>366157</v>
      </c>
      <c r="W114" s="5">
        <v>318855</v>
      </c>
      <c r="X114" s="5">
        <v>246485</v>
      </c>
      <c r="Y114" s="5">
        <v>9799493</v>
      </c>
      <c r="Z114" s="28"/>
      <c r="AA114" s="28"/>
      <c r="AB114" s="5">
        <v>876229</v>
      </c>
      <c r="AC114" s="28"/>
      <c r="AD114" s="28"/>
      <c r="AE114" s="28"/>
      <c r="AF114" s="28"/>
      <c r="AG114" s="28"/>
      <c r="AH114" s="5">
        <v>34399</v>
      </c>
      <c r="AI114" s="28"/>
      <c r="AJ114" s="5">
        <v>5338655</v>
      </c>
      <c r="AK114" s="28"/>
      <c r="AL114" s="5">
        <v>64365</v>
      </c>
      <c r="AM114" s="5">
        <v>42487</v>
      </c>
      <c r="AN114" s="5"/>
      <c r="AO114" s="49">
        <v>187436919</v>
      </c>
    </row>
    <row r="115" spans="1:41" ht="10.5" customHeight="1">
      <c r="A115" s="6">
        <f t="shared" si="1"/>
        <v>1991</v>
      </c>
      <c r="B115" s="6" t="s">
        <v>37</v>
      </c>
      <c r="C115" s="4">
        <v>33329</v>
      </c>
      <c r="D115" s="28"/>
      <c r="E115" s="5">
        <v>1686</v>
      </c>
      <c r="F115" s="28"/>
      <c r="G115" s="28"/>
      <c r="H115" s="28"/>
      <c r="I115" s="28"/>
      <c r="J115" s="5">
        <v>1626917</v>
      </c>
      <c r="K115" s="5">
        <v>10887089</v>
      </c>
      <c r="L115" s="28"/>
      <c r="M115" s="28"/>
      <c r="N115" s="5">
        <v>39718</v>
      </c>
      <c r="O115" s="5">
        <v>694327</v>
      </c>
      <c r="P115" s="14">
        <v>2984865</v>
      </c>
      <c r="Q115" s="28"/>
      <c r="R115" s="5">
        <v>108260954</v>
      </c>
      <c r="S115" s="5">
        <v>1560872</v>
      </c>
      <c r="T115" s="5">
        <v>48826940</v>
      </c>
      <c r="U115" s="5">
        <v>203718</v>
      </c>
      <c r="V115" s="11">
        <v>447401</v>
      </c>
      <c r="W115" s="5">
        <v>297953</v>
      </c>
      <c r="X115" s="5">
        <v>283715</v>
      </c>
      <c r="Y115" s="5">
        <v>19647189</v>
      </c>
      <c r="Z115" s="28"/>
      <c r="AA115" s="28"/>
      <c r="AB115" s="5">
        <v>1016360</v>
      </c>
      <c r="AC115" s="28"/>
      <c r="AD115" s="28"/>
      <c r="AE115" s="28"/>
      <c r="AF115" s="28"/>
      <c r="AG115" s="28"/>
      <c r="AH115" s="5">
        <v>43086</v>
      </c>
      <c r="AI115" s="28"/>
      <c r="AJ115" s="5">
        <v>5737101</v>
      </c>
      <c r="AK115" s="28"/>
      <c r="AL115" s="9">
        <v>1560872</v>
      </c>
      <c r="AM115" s="5">
        <v>46158</v>
      </c>
      <c r="AN115" s="5"/>
      <c r="AO115" s="49">
        <v>210024619</v>
      </c>
    </row>
    <row r="116" spans="1:41" ht="10.5" customHeight="1">
      <c r="A116" s="6">
        <f t="shared" si="1"/>
        <v>1991</v>
      </c>
      <c r="B116" s="6" t="s">
        <v>73</v>
      </c>
      <c r="C116" s="4">
        <v>33359</v>
      </c>
      <c r="D116" s="28"/>
      <c r="E116" s="5">
        <v>2614</v>
      </c>
      <c r="F116" s="28"/>
      <c r="G116" s="28"/>
      <c r="H116" s="28"/>
      <c r="I116" s="28"/>
      <c r="J116" s="5">
        <v>175285</v>
      </c>
      <c r="K116" s="5">
        <v>4568751</v>
      </c>
      <c r="L116" s="28"/>
      <c r="M116" s="28"/>
      <c r="N116" s="5">
        <v>31299</v>
      </c>
      <c r="O116" s="5">
        <v>14903018</v>
      </c>
      <c r="P116" s="14">
        <v>3771070</v>
      </c>
      <c r="Q116" s="28"/>
      <c r="R116" s="5">
        <v>119781539</v>
      </c>
      <c r="S116" s="5">
        <v>1421966</v>
      </c>
      <c r="T116" s="5">
        <v>62898665</v>
      </c>
      <c r="U116" s="5">
        <v>229742</v>
      </c>
      <c r="V116" s="11">
        <v>445603</v>
      </c>
      <c r="W116" s="5">
        <v>320274</v>
      </c>
      <c r="X116" s="5">
        <v>382795</v>
      </c>
      <c r="Y116" s="5">
        <v>13512816</v>
      </c>
      <c r="Z116" s="28"/>
      <c r="AA116" s="28"/>
      <c r="AB116" s="5">
        <v>1322776</v>
      </c>
      <c r="AC116" s="28"/>
      <c r="AD116" s="28"/>
      <c r="AE116" s="28"/>
      <c r="AF116" s="28"/>
      <c r="AG116" s="28"/>
      <c r="AH116" s="5">
        <v>76037</v>
      </c>
      <c r="AI116" s="28"/>
      <c r="AJ116" s="5">
        <v>6028036</v>
      </c>
      <c r="AK116" s="28"/>
      <c r="AL116" s="9">
        <v>1421966</v>
      </c>
      <c r="AM116" s="5">
        <v>62222</v>
      </c>
      <c r="AN116" s="5"/>
      <c r="AO116" s="49">
        <v>238597167</v>
      </c>
    </row>
    <row r="117" spans="1:41" ht="10.5" customHeight="1">
      <c r="A117" s="6">
        <f t="shared" si="1"/>
        <v>1991</v>
      </c>
      <c r="B117" s="6" t="s">
        <v>39</v>
      </c>
      <c r="C117" s="4">
        <v>33390</v>
      </c>
      <c r="D117" s="28"/>
      <c r="E117" s="5">
        <v>3612</v>
      </c>
      <c r="F117" s="28"/>
      <c r="G117" s="28"/>
      <c r="H117" s="28"/>
      <c r="I117" s="28"/>
      <c r="J117" s="5">
        <v>407722</v>
      </c>
      <c r="K117" s="5">
        <v>4790221</v>
      </c>
      <c r="L117" s="28"/>
      <c r="M117" s="28"/>
      <c r="N117" s="5">
        <v>117854</v>
      </c>
      <c r="O117" s="5">
        <v>14809315</v>
      </c>
      <c r="P117" s="14">
        <v>3011783</v>
      </c>
      <c r="Q117" s="28"/>
      <c r="R117" s="5">
        <v>123716764</v>
      </c>
      <c r="S117" s="5">
        <v>1425917</v>
      </c>
      <c r="T117" s="5">
        <v>68503167</v>
      </c>
      <c r="U117" s="5">
        <v>278821</v>
      </c>
      <c r="V117" s="12">
        <v>466560</v>
      </c>
      <c r="W117" s="5">
        <v>393606</v>
      </c>
      <c r="X117" s="5">
        <v>342931</v>
      </c>
      <c r="Y117" s="5">
        <v>12055116</v>
      </c>
      <c r="Z117" s="28"/>
      <c r="AA117" s="28"/>
      <c r="AB117" s="5">
        <v>1325720</v>
      </c>
      <c r="AC117" s="28"/>
      <c r="AD117" s="28"/>
      <c r="AE117" s="28"/>
      <c r="AF117" s="28"/>
      <c r="AG117" s="28"/>
      <c r="AH117" s="5">
        <v>67266</v>
      </c>
      <c r="AI117" s="28"/>
      <c r="AJ117" s="5">
        <v>6289701</v>
      </c>
      <c r="AK117" s="28"/>
      <c r="AL117" s="9">
        <v>1425917</v>
      </c>
      <c r="AM117" s="5">
        <v>45291</v>
      </c>
      <c r="AN117" s="5"/>
      <c r="AO117" s="49">
        <v>243314863</v>
      </c>
    </row>
    <row r="118" spans="1:41" ht="10.5" customHeight="1">
      <c r="A118" s="6">
        <f t="shared" si="1"/>
        <v>1991</v>
      </c>
      <c r="B118" s="6" t="s">
        <v>40</v>
      </c>
      <c r="C118" s="4">
        <v>33420</v>
      </c>
      <c r="D118" s="28"/>
      <c r="E118" s="5">
        <v>2817</v>
      </c>
      <c r="F118" s="28"/>
      <c r="G118" s="28"/>
      <c r="H118" s="28"/>
      <c r="I118" s="28"/>
      <c r="J118" s="5">
        <v>280629</v>
      </c>
      <c r="K118" s="5">
        <v>4974340</v>
      </c>
      <c r="L118" s="28"/>
      <c r="M118" s="28"/>
      <c r="N118" s="5">
        <v>208980</v>
      </c>
      <c r="O118" s="5">
        <v>963608</v>
      </c>
      <c r="P118" s="14">
        <v>4162289</v>
      </c>
      <c r="Q118" s="28"/>
      <c r="R118" s="5">
        <v>129292185</v>
      </c>
      <c r="S118" s="5">
        <v>1434279</v>
      </c>
      <c r="T118" s="5">
        <v>52437306</v>
      </c>
      <c r="U118" s="5">
        <v>300108</v>
      </c>
      <c r="V118" s="11">
        <v>647643</v>
      </c>
      <c r="W118" s="5">
        <v>349676</v>
      </c>
      <c r="X118" s="5">
        <v>332493</v>
      </c>
      <c r="Y118" s="5">
        <v>12781797</v>
      </c>
      <c r="Z118" s="28"/>
      <c r="AA118" s="28"/>
      <c r="AB118" s="5">
        <v>1300130</v>
      </c>
      <c r="AC118" s="28"/>
      <c r="AD118" s="28"/>
      <c r="AE118" s="28"/>
      <c r="AF118" s="28"/>
      <c r="AG118" s="28"/>
      <c r="AH118" s="5">
        <v>48306</v>
      </c>
      <c r="AI118" s="28"/>
      <c r="AJ118" s="5">
        <v>6476873</v>
      </c>
      <c r="AK118" s="28"/>
      <c r="AL118" s="9">
        <v>1434279</v>
      </c>
      <c r="AM118" s="5">
        <v>31911</v>
      </c>
      <c r="AN118" s="5"/>
      <c r="AO118" s="49">
        <v>222969611</v>
      </c>
    </row>
    <row r="119" spans="1:41" ht="10.5" customHeight="1">
      <c r="A119" s="6">
        <f t="shared" si="1"/>
        <v>1991</v>
      </c>
      <c r="B119" s="6" t="s">
        <v>41</v>
      </c>
      <c r="C119" s="4">
        <v>33451</v>
      </c>
      <c r="D119" s="28"/>
      <c r="E119" s="5">
        <v>9743</v>
      </c>
      <c r="F119" s="28"/>
      <c r="G119" s="28"/>
      <c r="H119" s="28"/>
      <c r="I119" s="28"/>
      <c r="J119" s="5">
        <v>207124</v>
      </c>
      <c r="K119" s="5">
        <v>6059233</v>
      </c>
      <c r="L119" s="28"/>
      <c r="M119" s="28"/>
      <c r="N119" s="5">
        <v>69462</v>
      </c>
      <c r="O119" s="5">
        <v>517632</v>
      </c>
      <c r="P119" s="14">
        <v>3609785</v>
      </c>
      <c r="Q119" s="28"/>
      <c r="R119" s="5">
        <v>139503175</v>
      </c>
      <c r="S119" s="5">
        <v>1406426</v>
      </c>
      <c r="T119" s="5">
        <v>52292191</v>
      </c>
      <c r="U119" s="5">
        <v>553457</v>
      </c>
      <c r="V119" s="11">
        <v>1128126</v>
      </c>
      <c r="W119" s="5">
        <v>466602</v>
      </c>
      <c r="X119" s="5">
        <v>396013</v>
      </c>
      <c r="Y119" s="5">
        <v>15704559</v>
      </c>
      <c r="Z119" s="28"/>
      <c r="AA119" s="28"/>
      <c r="AB119" s="5">
        <v>1429528</v>
      </c>
      <c r="AC119" s="28"/>
      <c r="AD119" s="28"/>
      <c r="AE119" s="28"/>
      <c r="AF119" s="28"/>
      <c r="AG119" s="28"/>
      <c r="AH119" s="5">
        <v>45944</v>
      </c>
      <c r="AI119" s="28"/>
      <c r="AJ119" s="5">
        <v>6888955</v>
      </c>
      <c r="AK119" s="28"/>
      <c r="AL119" s="9">
        <v>1406426</v>
      </c>
      <c r="AM119" s="5">
        <v>35039</v>
      </c>
      <c r="AN119" s="5"/>
      <c r="AO119" s="49">
        <v>239147922</v>
      </c>
    </row>
    <row r="120" spans="1:41" ht="10.5" customHeight="1">
      <c r="A120" s="6">
        <f t="shared" si="1"/>
        <v>1991</v>
      </c>
      <c r="B120" s="6" t="s">
        <v>42</v>
      </c>
      <c r="C120" s="4">
        <v>33482</v>
      </c>
      <c r="D120" s="28"/>
      <c r="E120" s="5">
        <v>815</v>
      </c>
      <c r="F120" s="28"/>
      <c r="G120" s="28"/>
      <c r="H120" s="28"/>
      <c r="I120" s="28"/>
      <c r="J120" s="5">
        <v>579773</v>
      </c>
      <c r="K120" s="5">
        <v>5177228</v>
      </c>
      <c r="L120" s="28"/>
      <c r="M120" s="28"/>
      <c r="N120" s="5">
        <v>138175</v>
      </c>
      <c r="O120" s="5">
        <v>693773</v>
      </c>
      <c r="P120" s="14">
        <v>4319182</v>
      </c>
      <c r="Q120" s="28"/>
      <c r="R120" s="5">
        <v>150151937</v>
      </c>
      <c r="S120" s="5">
        <v>1376605</v>
      </c>
      <c r="T120" s="5">
        <v>79217944</v>
      </c>
      <c r="U120" s="5">
        <v>230744</v>
      </c>
      <c r="V120" s="13">
        <v>478331</v>
      </c>
      <c r="W120" s="5">
        <v>484104</v>
      </c>
      <c r="X120" s="5">
        <v>452240</v>
      </c>
      <c r="Y120" s="5">
        <v>15198055</v>
      </c>
      <c r="Z120" s="28"/>
      <c r="AA120" s="28"/>
      <c r="AB120" s="5">
        <v>1532010</v>
      </c>
      <c r="AC120" s="28"/>
      <c r="AD120" s="28"/>
      <c r="AE120" s="28"/>
      <c r="AF120" s="28"/>
      <c r="AG120" s="28"/>
      <c r="AH120" s="5">
        <v>57856</v>
      </c>
      <c r="AI120" s="28"/>
      <c r="AJ120" s="5">
        <v>7087387</v>
      </c>
      <c r="AK120" s="28"/>
      <c r="AL120" s="9">
        <v>1376605</v>
      </c>
      <c r="AM120" s="5">
        <v>24452</v>
      </c>
      <c r="AN120" s="5"/>
      <c r="AO120" s="49">
        <v>275265157</v>
      </c>
    </row>
    <row r="121" spans="1:41" ht="10.5" customHeight="1">
      <c r="A121" s="6">
        <f t="shared" si="1"/>
        <v>1991</v>
      </c>
      <c r="B121" s="6" t="s">
        <v>43</v>
      </c>
      <c r="C121" s="4">
        <v>33512</v>
      </c>
      <c r="D121" s="28"/>
      <c r="E121" s="5">
        <v>656</v>
      </c>
      <c r="F121" s="28"/>
      <c r="G121" s="28"/>
      <c r="H121" s="28"/>
      <c r="I121" s="28"/>
      <c r="J121" s="5">
        <v>224659</v>
      </c>
      <c r="K121" s="5">
        <v>8649911</v>
      </c>
      <c r="L121" s="28"/>
      <c r="M121" s="28"/>
      <c r="N121" s="5">
        <v>97607</v>
      </c>
      <c r="O121" s="5">
        <v>351499</v>
      </c>
      <c r="P121" s="14">
        <v>4398754</v>
      </c>
      <c r="Q121" s="28"/>
      <c r="R121" s="5">
        <v>154676187</v>
      </c>
      <c r="S121" s="5">
        <v>1368905</v>
      </c>
      <c r="T121" s="5">
        <v>83883229</v>
      </c>
      <c r="U121" s="5">
        <v>217841</v>
      </c>
      <c r="V121" s="11">
        <v>533579</v>
      </c>
      <c r="W121" s="5">
        <v>495091</v>
      </c>
      <c r="X121" s="5">
        <v>422159</v>
      </c>
      <c r="Y121" s="5">
        <v>23187171</v>
      </c>
      <c r="Z121" s="28"/>
      <c r="AA121" s="28"/>
      <c r="AB121" s="5">
        <v>1575119</v>
      </c>
      <c r="AC121" s="28"/>
      <c r="AD121" s="28"/>
      <c r="AE121" s="28"/>
      <c r="AF121" s="28"/>
      <c r="AG121" s="28"/>
      <c r="AH121" s="5">
        <v>53686</v>
      </c>
      <c r="AI121" s="28"/>
      <c r="AJ121" s="5">
        <v>8071445</v>
      </c>
      <c r="AK121" s="28"/>
      <c r="AL121" s="9">
        <v>1368905</v>
      </c>
      <c r="AM121" s="5">
        <v>24759</v>
      </c>
      <c r="AN121" s="5"/>
      <c r="AO121" s="49">
        <v>300228147</v>
      </c>
    </row>
    <row r="122" spans="1:41" ht="10.5" customHeight="1">
      <c r="A122" s="6">
        <f t="shared" si="1"/>
        <v>1991</v>
      </c>
      <c r="B122" s="6" t="s">
        <v>44</v>
      </c>
      <c r="C122" s="4">
        <v>33543</v>
      </c>
      <c r="D122" s="28"/>
      <c r="E122" s="5">
        <v>567</v>
      </c>
      <c r="F122" s="28"/>
      <c r="G122" s="28"/>
      <c r="H122" s="28"/>
      <c r="I122" s="28"/>
      <c r="J122" s="5">
        <v>845955</v>
      </c>
      <c r="K122" s="5">
        <v>7243118</v>
      </c>
      <c r="L122" s="28"/>
      <c r="M122" s="28"/>
      <c r="N122" s="5">
        <v>59505</v>
      </c>
      <c r="O122" s="5">
        <v>296817</v>
      </c>
      <c r="P122" s="14">
        <v>3944519</v>
      </c>
      <c r="Q122" s="28"/>
      <c r="R122" s="5">
        <v>163882495</v>
      </c>
      <c r="S122" s="5">
        <v>1338339</v>
      </c>
      <c r="T122" s="5">
        <v>81255801</v>
      </c>
      <c r="U122" s="5">
        <v>239261</v>
      </c>
      <c r="V122" s="11">
        <v>540697</v>
      </c>
      <c r="W122" s="5">
        <v>447030</v>
      </c>
      <c r="X122" s="5">
        <v>504255</v>
      </c>
      <c r="Y122" s="5">
        <v>19822721</v>
      </c>
      <c r="Z122" s="28"/>
      <c r="AA122" s="28"/>
      <c r="AB122" s="5">
        <v>1815688</v>
      </c>
      <c r="AC122" s="28"/>
      <c r="AD122" s="28"/>
      <c r="AE122" s="28"/>
      <c r="AF122" s="28"/>
      <c r="AG122" s="28"/>
      <c r="AH122" s="5">
        <v>86163</v>
      </c>
      <c r="AI122" s="28"/>
      <c r="AJ122" s="5">
        <v>7851998</v>
      </c>
      <c r="AK122" s="28"/>
      <c r="AL122" s="9">
        <v>1338339</v>
      </c>
      <c r="AM122" s="5">
        <v>48900</v>
      </c>
      <c r="AN122" s="5"/>
      <c r="AO122" s="49">
        <v>310698641</v>
      </c>
    </row>
    <row r="123" spans="1:41" ht="10.5" customHeight="1">
      <c r="A123" s="6">
        <f t="shared" si="1"/>
        <v>1991</v>
      </c>
      <c r="B123" s="6" t="s">
        <v>45</v>
      </c>
      <c r="C123" s="4">
        <v>33573</v>
      </c>
      <c r="D123" s="28"/>
      <c r="E123" s="5">
        <v>64</v>
      </c>
      <c r="F123" s="28"/>
      <c r="G123" s="28"/>
      <c r="H123" s="28"/>
      <c r="I123" s="28"/>
      <c r="J123" s="5">
        <v>510543</v>
      </c>
      <c r="K123" s="5">
        <v>7317622</v>
      </c>
      <c r="L123" s="28"/>
      <c r="M123" s="28"/>
      <c r="N123" s="5">
        <v>405470</v>
      </c>
      <c r="O123" s="5">
        <v>28198548</v>
      </c>
      <c r="P123" s="14">
        <v>7463267</v>
      </c>
      <c r="Q123" s="28"/>
      <c r="R123" s="5">
        <v>187704185</v>
      </c>
      <c r="S123" s="5">
        <v>1307574</v>
      </c>
      <c r="T123" s="5">
        <v>84911105</v>
      </c>
      <c r="U123" s="5">
        <v>247539</v>
      </c>
      <c r="V123" s="11">
        <v>626298</v>
      </c>
      <c r="W123" s="5">
        <v>411007</v>
      </c>
      <c r="X123" s="5">
        <v>461945</v>
      </c>
      <c r="Y123" s="5">
        <v>18029405</v>
      </c>
      <c r="Z123" s="28"/>
      <c r="AA123" s="28"/>
      <c r="AB123" s="5">
        <v>1914539</v>
      </c>
      <c r="AC123" s="28"/>
      <c r="AD123" s="28"/>
      <c r="AE123" s="28"/>
      <c r="AF123" s="28"/>
      <c r="AG123" s="28"/>
      <c r="AH123" s="5">
        <v>85514</v>
      </c>
      <c r="AI123" s="28"/>
      <c r="AJ123" s="5">
        <v>8427397</v>
      </c>
      <c r="AK123" s="28"/>
      <c r="AL123" s="5">
        <v>1307574</v>
      </c>
      <c r="AM123" s="5">
        <v>10880</v>
      </c>
      <c r="AN123" s="5"/>
      <c r="AO123" s="49">
        <v>361335103</v>
      </c>
    </row>
    <row r="124" spans="1:41" ht="10.5" customHeight="1">
      <c r="A124" s="6">
        <f t="shared" si="1"/>
        <v>1992</v>
      </c>
      <c r="B124" s="6" t="s">
        <v>34</v>
      </c>
      <c r="C124" s="4">
        <v>33604</v>
      </c>
      <c r="D124" s="28"/>
      <c r="E124" s="5">
        <v>5177</v>
      </c>
      <c r="F124" s="28"/>
      <c r="G124" s="28"/>
      <c r="H124" s="28"/>
      <c r="I124" s="28"/>
      <c r="J124" s="5">
        <v>808350</v>
      </c>
      <c r="K124" s="5">
        <v>9339786</v>
      </c>
      <c r="L124" s="28"/>
      <c r="M124" s="28"/>
      <c r="N124" s="5">
        <v>675294</v>
      </c>
      <c r="O124" s="5">
        <v>1020592</v>
      </c>
      <c r="P124" s="14">
        <v>4926704</v>
      </c>
      <c r="Q124" s="28"/>
      <c r="R124" s="5">
        <v>209631981</v>
      </c>
      <c r="S124" s="5">
        <v>1324263</v>
      </c>
      <c r="T124" s="5">
        <v>102874437</v>
      </c>
      <c r="U124" s="5">
        <v>266808</v>
      </c>
      <c r="V124" s="11">
        <v>588136</v>
      </c>
      <c r="W124" s="5">
        <v>628674</v>
      </c>
      <c r="X124" s="5">
        <v>559975</v>
      </c>
      <c r="Y124" s="5">
        <v>25531297</v>
      </c>
      <c r="Z124" s="28"/>
      <c r="AA124" s="28"/>
      <c r="AB124" s="5">
        <v>2099129</v>
      </c>
      <c r="AC124" s="28"/>
      <c r="AD124" s="28"/>
      <c r="AE124" s="28"/>
      <c r="AF124" s="28"/>
      <c r="AG124" s="28"/>
      <c r="AH124" s="5">
        <v>77411</v>
      </c>
      <c r="AI124" s="28"/>
      <c r="AJ124" s="5">
        <v>9201111</v>
      </c>
      <c r="AK124" s="28"/>
      <c r="AL124" s="5">
        <v>130848</v>
      </c>
      <c r="AM124" s="5">
        <v>3534</v>
      </c>
      <c r="AN124" s="5"/>
      <c r="AO124" s="49">
        <v>382030431</v>
      </c>
    </row>
    <row r="125" spans="1:41" ht="10.5" customHeight="1">
      <c r="A125" s="6">
        <f t="shared" si="1"/>
        <v>1992</v>
      </c>
      <c r="B125" s="6" t="s">
        <v>35</v>
      </c>
      <c r="C125" s="4">
        <v>33635</v>
      </c>
      <c r="D125" s="28"/>
      <c r="E125" s="5">
        <v>1203</v>
      </c>
      <c r="F125" s="28"/>
      <c r="G125" s="28"/>
      <c r="H125" s="28"/>
      <c r="I125" s="28"/>
      <c r="J125" s="5">
        <v>237629</v>
      </c>
      <c r="K125" s="5">
        <v>7965556</v>
      </c>
      <c r="L125" s="28"/>
      <c r="M125" s="28"/>
      <c r="N125" s="5">
        <v>35108</v>
      </c>
      <c r="O125" s="5">
        <v>542744</v>
      </c>
      <c r="P125" s="14">
        <v>4004705</v>
      </c>
      <c r="Q125" s="28"/>
      <c r="R125" s="5">
        <v>183638512</v>
      </c>
      <c r="S125" s="5">
        <v>2518823</v>
      </c>
      <c r="T125" s="5">
        <v>101447109</v>
      </c>
      <c r="U125" s="5">
        <v>402435</v>
      </c>
      <c r="V125" s="11">
        <v>880206</v>
      </c>
      <c r="W125" s="5">
        <v>455622</v>
      </c>
      <c r="X125" s="5">
        <v>463768</v>
      </c>
      <c r="Y125" s="5">
        <v>21783325</v>
      </c>
      <c r="Z125" s="28"/>
      <c r="AA125" s="28"/>
      <c r="AB125" s="5">
        <v>2526730</v>
      </c>
      <c r="AC125" s="28"/>
      <c r="AD125" s="28"/>
      <c r="AE125" s="28"/>
      <c r="AF125" s="28"/>
      <c r="AG125" s="28"/>
      <c r="AH125" s="5">
        <v>56205</v>
      </c>
      <c r="AI125" s="28"/>
      <c r="AJ125" s="5">
        <v>9439771</v>
      </c>
      <c r="AK125" s="28"/>
      <c r="AL125" s="5">
        <v>176968</v>
      </c>
      <c r="AM125" s="5">
        <v>18540</v>
      </c>
      <c r="AN125" s="5"/>
      <c r="AO125" s="49">
        <v>350639540</v>
      </c>
    </row>
    <row r="126" spans="1:41" ht="10.5" customHeight="1">
      <c r="A126" s="6">
        <f t="shared" si="1"/>
        <v>1992</v>
      </c>
      <c r="B126" s="6" t="s">
        <v>36</v>
      </c>
      <c r="C126" s="4">
        <v>33664</v>
      </c>
      <c r="D126" s="28"/>
      <c r="E126" s="5">
        <v>1393</v>
      </c>
      <c r="F126" s="28"/>
      <c r="G126" s="28"/>
      <c r="H126" s="28"/>
      <c r="I126" s="28"/>
      <c r="J126" s="5">
        <v>720751</v>
      </c>
      <c r="K126" s="5">
        <v>8387023</v>
      </c>
      <c r="L126" s="28"/>
      <c r="M126" s="28"/>
      <c r="N126" s="5">
        <v>23272</v>
      </c>
      <c r="O126" s="5">
        <v>1004596</v>
      </c>
      <c r="P126" s="14">
        <v>4462079</v>
      </c>
      <c r="Q126" s="28"/>
      <c r="R126" s="5">
        <v>209693262</v>
      </c>
      <c r="S126" s="5">
        <v>2593452</v>
      </c>
      <c r="T126" s="5">
        <v>119132351</v>
      </c>
      <c r="U126" s="5">
        <v>365949</v>
      </c>
      <c r="V126" s="11">
        <v>709540</v>
      </c>
      <c r="W126" s="5">
        <v>550652</v>
      </c>
      <c r="X126" s="5">
        <v>651808</v>
      </c>
      <c r="Y126" s="5">
        <v>22057221</v>
      </c>
      <c r="Z126" s="28"/>
      <c r="AA126" s="28"/>
      <c r="AB126" s="5">
        <v>2504248</v>
      </c>
      <c r="AC126" s="28"/>
      <c r="AD126" s="28"/>
      <c r="AE126" s="28"/>
      <c r="AF126" s="28"/>
      <c r="AG126" s="28"/>
      <c r="AH126" s="5">
        <v>87340</v>
      </c>
      <c r="AI126" s="28"/>
      <c r="AJ126" s="5">
        <v>9875742</v>
      </c>
      <c r="AK126" s="28"/>
      <c r="AL126" s="5">
        <v>3226195</v>
      </c>
      <c r="AM126" s="5">
        <v>47339</v>
      </c>
      <c r="AN126" s="5"/>
      <c r="AO126" s="49">
        <v>400122320</v>
      </c>
    </row>
    <row r="127" spans="1:41" ht="10.5" customHeight="1">
      <c r="A127" s="6">
        <f t="shared" si="1"/>
        <v>1992</v>
      </c>
      <c r="B127" s="6" t="s">
        <v>37</v>
      </c>
      <c r="C127" s="4">
        <v>33695</v>
      </c>
      <c r="D127" s="28"/>
      <c r="E127" s="5">
        <v>1010</v>
      </c>
      <c r="F127" s="28"/>
      <c r="G127" s="28"/>
      <c r="H127" s="28"/>
      <c r="I127" s="28"/>
      <c r="J127" s="5">
        <v>2923125</v>
      </c>
      <c r="K127" s="5">
        <v>30626295</v>
      </c>
      <c r="L127" s="28"/>
      <c r="M127" s="28"/>
      <c r="N127" s="5">
        <v>159355</v>
      </c>
      <c r="O127" s="5">
        <v>1121209</v>
      </c>
      <c r="P127" s="14">
        <v>5646593</v>
      </c>
      <c r="Q127" s="28"/>
      <c r="R127" s="5">
        <v>203557399</v>
      </c>
      <c r="S127" s="5">
        <v>2557006</v>
      </c>
      <c r="T127" s="5">
        <v>101863745</v>
      </c>
      <c r="U127" s="5">
        <v>356669</v>
      </c>
      <c r="V127" s="11">
        <v>694271</v>
      </c>
      <c r="W127" s="5">
        <v>560031</v>
      </c>
      <c r="X127" s="5">
        <v>612547</v>
      </c>
      <c r="Y127" s="5">
        <v>53982124</v>
      </c>
      <c r="Z127" s="28"/>
      <c r="AA127" s="28"/>
      <c r="AB127" s="5">
        <v>2806041</v>
      </c>
      <c r="AC127" s="28"/>
      <c r="AD127" s="28"/>
      <c r="AE127" s="28"/>
      <c r="AF127" s="28"/>
      <c r="AG127" s="28"/>
      <c r="AH127" s="5">
        <v>73270</v>
      </c>
      <c r="AI127" s="28"/>
      <c r="AJ127" s="5">
        <v>12463557</v>
      </c>
      <c r="AK127" s="28"/>
      <c r="AL127" s="5">
        <v>525950</v>
      </c>
      <c r="AM127" s="5">
        <v>22960</v>
      </c>
      <c r="AN127" s="5"/>
      <c r="AO127" s="49">
        <v>438593193</v>
      </c>
    </row>
    <row r="128" spans="1:41" ht="10.5" customHeight="1">
      <c r="A128" s="6">
        <f t="shared" si="1"/>
        <v>1992</v>
      </c>
      <c r="B128" s="6" t="s">
        <v>73</v>
      </c>
      <c r="C128" s="4">
        <v>33725</v>
      </c>
      <c r="D128" s="28"/>
      <c r="E128" s="5">
        <v>10529</v>
      </c>
      <c r="F128" s="28"/>
      <c r="G128" s="28"/>
      <c r="H128" s="28"/>
      <c r="I128" s="28"/>
      <c r="J128" s="5">
        <v>351266</v>
      </c>
      <c r="K128" s="5">
        <v>11216354</v>
      </c>
      <c r="L128" s="28"/>
      <c r="M128" s="28"/>
      <c r="N128" s="5">
        <v>46645</v>
      </c>
      <c r="O128" s="5">
        <v>24775741</v>
      </c>
      <c r="P128" s="14">
        <v>5793797</v>
      </c>
      <c r="Q128" s="28"/>
      <c r="R128" s="5">
        <v>208316448</v>
      </c>
      <c r="S128" s="5">
        <v>2631758</v>
      </c>
      <c r="T128" s="5">
        <v>82407493</v>
      </c>
      <c r="U128" s="5">
        <v>298212</v>
      </c>
      <c r="V128" s="11">
        <v>679691</v>
      </c>
      <c r="W128" s="5">
        <v>509444</v>
      </c>
      <c r="X128" s="5">
        <v>530443</v>
      </c>
      <c r="Y128" s="5">
        <v>25400260</v>
      </c>
      <c r="Z128" s="28"/>
      <c r="AA128" s="28"/>
      <c r="AB128" s="5">
        <v>2785863</v>
      </c>
      <c r="AC128" s="28"/>
      <c r="AD128" s="28"/>
      <c r="AE128" s="28"/>
      <c r="AF128" s="28"/>
      <c r="AG128" s="28"/>
      <c r="AH128" s="5">
        <v>107480</v>
      </c>
      <c r="AI128" s="28"/>
      <c r="AJ128" s="5">
        <v>10817940</v>
      </c>
      <c r="AK128" s="28"/>
      <c r="AL128" s="5">
        <v>202967</v>
      </c>
      <c r="AM128" s="5">
        <v>214402</v>
      </c>
      <c r="AN128" s="5"/>
      <c r="AO128" s="49">
        <v>392194648</v>
      </c>
    </row>
    <row r="129" spans="1:41" ht="10.5" customHeight="1">
      <c r="A129" s="6">
        <f t="shared" si="1"/>
        <v>1992</v>
      </c>
      <c r="B129" s="6" t="s">
        <v>39</v>
      </c>
      <c r="C129" s="4">
        <v>33756</v>
      </c>
      <c r="D129" s="28"/>
      <c r="E129" s="5">
        <v>443</v>
      </c>
      <c r="F129" s="28"/>
      <c r="G129" s="28"/>
      <c r="H129" s="28"/>
      <c r="I129" s="28"/>
      <c r="J129" s="5">
        <v>994360</v>
      </c>
      <c r="K129" s="5">
        <v>11417021</v>
      </c>
      <c r="L129" s="28"/>
      <c r="M129" s="28"/>
      <c r="N129" s="5">
        <v>166344</v>
      </c>
      <c r="O129" s="5">
        <v>25260727</v>
      </c>
      <c r="P129" s="14">
        <v>7012861</v>
      </c>
      <c r="Q129" s="28"/>
      <c r="R129" s="5">
        <v>235120122</v>
      </c>
      <c r="S129" s="5">
        <v>2634901</v>
      </c>
      <c r="T129" s="5">
        <v>108254810</v>
      </c>
      <c r="U129" s="5">
        <v>394418</v>
      </c>
      <c r="V129" s="11">
        <v>822380</v>
      </c>
      <c r="W129" s="5">
        <v>583737</v>
      </c>
      <c r="X129" s="5">
        <v>526300</v>
      </c>
      <c r="Y129" s="5">
        <v>26016577</v>
      </c>
      <c r="Z129" s="28"/>
      <c r="AA129" s="28"/>
      <c r="AB129" s="5">
        <v>3117452</v>
      </c>
      <c r="AC129" s="28"/>
      <c r="AD129" s="28"/>
      <c r="AE129" s="28"/>
      <c r="AF129" s="28"/>
      <c r="AG129" s="28"/>
      <c r="AH129" s="5">
        <v>87509</v>
      </c>
      <c r="AI129" s="28"/>
      <c r="AJ129" s="5">
        <v>10648534</v>
      </c>
      <c r="AK129" s="28"/>
      <c r="AL129" s="5">
        <v>455845</v>
      </c>
      <c r="AM129" s="5">
        <v>9655</v>
      </c>
      <c r="AN129" s="5"/>
      <c r="AO129" s="49">
        <v>446042825</v>
      </c>
    </row>
    <row r="130" spans="1:41" ht="10.5" customHeight="1">
      <c r="A130" s="6">
        <f t="shared" si="1"/>
        <v>1992</v>
      </c>
      <c r="B130" s="6" t="s">
        <v>40</v>
      </c>
      <c r="C130" s="4">
        <v>33786</v>
      </c>
      <c r="D130" s="28"/>
      <c r="E130" s="5">
        <v>1639</v>
      </c>
      <c r="F130" s="28"/>
      <c r="G130" s="28"/>
      <c r="H130" s="28"/>
      <c r="I130" s="28"/>
      <c r="J130" s="5">
        <v>1037989</v>
      </c>
      <c r="K130" s="5">
        <v>10905806</v>
      </c>
      <c r="L130" s="28"/>
      <c r="M130" s="28"/>
      <c r="N130" s="5">
        <v>612860</v>
      </c>
      <c r="O130" s="5">
        <v>21355077</v>
      </c>
      <c r="P130" s="14">
        <v>7046288</v>
      </c>
      <c r="Q130" s="28"/>
      <c r="R130" s="5">
        <v>256368924</v>
      </c>
      <c r="S130" s="5">
        <v>2617476</v>
      </c>
      <c r="T130" s="5">
        <v>120678613</v>
      </c>
      <c r="U130" s="5">
        <v>380715</v>
      </c>
      <c r="V130" s="11">
        <v>823927</v>
      </c>
      <c r="W130" s="5">
        <v>679966</v>
      </c>
      <c r="X130" s="5">
        <v>590569</v>
      </c>
      <c r="Y130" s="5">
        <v>29053425</v>
      </c>
      <c r="Z130" s="28"/>
      <c r="AA130" s="28"/>
      <c r="AB130" s="5">
        <v>3354546</v>
      </c>
      <c r="AC130" s="28"/>
      <c r="AD130" s="28"/>
      <c r="AE130" s="28"/>
      <c r="AF130" s="28"/>
      <c r="AG130" s="28"/>
      <c r="AH130" s="5">
        <v>77923</v>
      </c>
      <c r="AI130" s="28"/>
      <c r="AJ130" s="5">
        <v>11511223</v>
      </c>
      <c r="AK130" s="28"/>
      <c r="AL130" s="5">
        <v>3959596</v>
      </c>
      <c r="AM130" s="5">
        <v>43954</v>
      </c>
      <c r="AN130" s="5"/>
      <c r="AO130" s="49">
        <v>488253427</v>
      </c>
    </row>
    <row r="131" spans="1:41" ht="10.5" customHeight="1">
      <c r="A131" s="6">
        <f t="shared" si="1"/>
        <v>1992</v>
      </c>
      <c r="B131" s="6" t="s">
        <v>41</v>
      </c>
      <c r="C131" s="4">
        <v>33817</v>
      </c>
      <c r="D131" s="28"/>
      <c r="E131" s="5">
        <v>1407</v>
      </c>
      <c r="F131" s="28"/>
      <c r="G131" s="28"/>
      <c r="H131" s="28"/>
      <c r="I131" s="28"/>
      <c r="J131" s="5">
        <v>430412</v>
      </c>
      <c r="K131" s="5">
        <v>11707873</v>
      </c>
      <c r="L131" s="28"/>
      <c r="M131" s="28"/>
      <c r="N131" s="5">
        <v>197856</v>
      </c>
      <c r="O131" s="5">
        <v>28984678</v>
      </c>
      <c r="P131" s="14">
        <v>5954140</v>
      </c>
      <c r="Q131" s="28"/>
      <c r="R131" s="5">
        <v>236805209</v>
      </c>
      <c r="S131" s="5">
        <v>2599355</v>
      </c>
      <c r="T131" s="5">
        <v>104736924</v>
      </c>
      <c r="U131" s="5">
        <v>318468</v>
      </c>
      <c r="V131" s="11">
        <v>673809</v>
      </c>
      <c r="W131" s="5">
        <v>707633</v>
      </c>
      <c r="X131" s="5">
        <v>575474</v>
      </c>
      <c r="Y131" s="5">
        <v>34846446</v>
      </c>
      <c r="Z131" s="28"/>
      <c r="AA131" s="28"/>
      <c r="AB131" s="5">
        <v>3641454</v>
      </c>
      <c r="AC131" s="28"/>
      <c r="AD131" s="28"/>
      <c r="AE131" s="28"/>
      <c r="AF131" s="28"/>
      <c r="AG131" s="28"/>
      <c r="AH131" s="5">
        <v>69924</v>
      </c>
      <c r="AI131" s="28"/>
      <c r="AJ131" s="5">
        <v>12029590</v>
      </c>
      <c r="AK131" s="28"/>
      <c r="AL131" s="5">
        <v>224281</v>
      </c>
      <c r="AM131" s="5">
        <v>11784</v>
      </c>
      <c r="AN131" s="5"/>
      <c r="AO131" s="49">
        <v>463561843</v>
      </c>
    </row>
    <row r="132" spans="1:41" ht="10.5" customHeight="1">
      <c r="A132" s="6">
        <f t="shared" si="1"/>
        <v>1992</v>
      </c>
      <c r="B132" s="6" t="s">
        <v>42</v>
      </c>
      <c r="C132" s="4">
        <v>33848</v>
      </c>
      <c r="D132" s="28"/>
      <c r="E132" s="5">
        <v>1001</v>
      </c>
      <c r="F132" s="28"/>
      <c r="G132" s="28"/>
      <c r="H132" s="28"/>
      <c r="I132" s="28"/>
      <c r="J132" s="5">
        <v>2243604</v>
      </c>
      <c r="K132" s="5">
        <v>11517395</v>
      </c>
      <c r="L132" s="28"/>
      <c r="M132" s="28"/>
      <c r="N132" s="5">
        <v>547054</v>
      </c>
      <c r="O132" s="5">
        <v>1487345</v>
      </c>
      <c r="P132" s="14">
        <v>6050917</v>
      </c>
      <c r="Q132" s="28"/>
      <c r="R132" s="5">
        <v>257715166</v>
      </c>
      <c r="S132" s="5">
        <v>2676699</v>
      </c>
      <c r="T132" s="5">
        <v>128951114</v>
      </c>
      <c r="U132" s="5">
        <v>297685</v>
      </c>
      <c r="V132" s="11">
        <v>574335</v>
      </c>
      <c r="W132" s="5">
        <v>442384</v>
      </c>
      <c r="X132" s="5">
        <v>1902484</v>
      </c>
      <c r="Y132" s="5">
        <v>35094134</v>
      </c>
      <c r="Z132" s="28"/>
      <c r="AA132" s="28"/>
      <c r="AB132" s="5">
        <v>3297305</v>
      </c>
      <c r="AC132" s="28"/>
      <c r="AD132" s="28"/>
      <c r="AE132" s="28"/>
      <c r="AF132" s="28"/>
      <c r="AG132" s="28"/>
      <c r="AH132" s="5">
        <v>82280</v>
      </c>
      <c r="AI132" s="28"/>
      <c r="AJ132" s="5">
        <v>12294832</v>
      </c>
      <c r="AK132" s="28"/>
      <c r="AL132" s="5">
        <v>131651</v>
      </c>
      <c r="AM132" s="5">
        <v>13319</v>
      </c>
      <c r="AN132" s="5"/>
      <c r="AO132" s="49">
        <v>480712701</v>
      </c>
    </row>
    <row r="133" spans="1:41" ht="10.5" customHeight="1">
      <c r="A133" s="6">
        <f t="shared" ref="A133:A196" si="2">YEAR(C133)</f>
        <v>1992</v>
      </c>
      <c r="B133" s="6" t="s">
        <v>43</v>
      </c>
      <c r="C133" s="4">
        <v>33878</v>
      </c>
      <c r="D133" s="28"/>
      <c r="E133" s="5">
        <v>71</v>
      </c>
      <c r="F133" s="28"/>
      <c r="G133" s="28"/>
      <c r="H133" s="28"/>
      <c r="I133" s="28"/>
      <c r="J133" s="5">
        <v>443811</v>
      </c>
      <c r="K133" s="5">
        <v>16341647</v>
      </c>
      <c r="L133" s="28"/>
      <c r="M133" s="28"/>
      <c r="N133" s="5">
        <v>323864</v>
      </c>
      <c r="O133" s="5">
        <v>11966745</v>
      </c>
      <c r="P133" s="14">
        <v>7417957</v>
      </c>
      <c r="Q133" s="28"/>
      <c r="R133" s="5">
        <v>268183770.00000003</v>
      </c>
      <c r="S133" s="5">
        <v>2648785</v>
      </c>
      <c r="T133" s="5">
        <v>128060505</v>
      </c>
      <c r="U133" s="5">
        <v>416235</v>
      </c>
      <c r="V133" s="11">
        <v>1085664</v>
      </c>
      <c r="W133" s="5">
        <v>822736</v>
      </c>
      <c r="X133" s="5">
        <v>833983</v>
      </c>
      <c r="Y133" s="5">
        <v>71836129</v>
      </c>
      <c r="Z133" s="28"/>
      <c r="AA133" s="28"/>
      <c r="AB133" s="5">
        <v>3914236</v>
      </c>
      <c r="AC133" s="28"/>
      <c r="AD133" s="28"/>
      <c r="AE133" s="28"/>
      <c r="AF133" s="28"/>
      <c r="AG133" s="28"/>
      <c r="AH133" s="5">
        <v>86556</v>
      </c>
      <c r="AI133" s="28"/>
      <c r="AJ133" s="5">
        <v>12558490</v>
      </c>
      <c r="AK133" s="28"/>
      <c r="AL133" s="5">
        <v>133180</v>
      </c>
      <c r="AM133" s="5">
        <v>22164</v>
      </c>
      <c r="AN133" s="5"/>
      <c r="AO133" s="49">
        <v>546135592</v>
      </c>
    </row>
    <row r="134" spans="1:41" ht="10.5" customHeight="1">
      <c r="A134" s="6">
        <f t="shared" si="2"/>
        <v>1992</v>
      </c>
      <c r="B134" s="6" t="s">
        <v>44</v>
      </c>
      <c r="C134" s="4">
        <v>33909</v>
      </c>
      <c r="D134" s="28"/>
      <c r="E134" s="5">
        <v>653</v>
      </c>
      <c r="F134" s="28"/>
      <c r="G134" s="28"/>
      <c r="H134" s="28"/>
      <c r="I134" s="28"/>
      <c r="J134" s="5">
        <v>1361921</v>
      </c>
      <c r="K134" s="5">
        <v>13553318</v>
      </c>
      <c r="L134" s="28"/>
      <c r="M134" s="28"/>
      <c r="N134" s="5">
        <v>598440</v>
      </c>
      <c r="O134" s="5">
        <v>12938976</v>
      </c>
      <c r="P134" s="14">
        <v>6992310</v>
      </c>
      <c r="Q134" s="28"/>
      <c r="R134" s="5">
        <v>308292411</v>
      </c>
      <c r="S134" s="5">
        <v>2646898</v>
      </c>
      <c r="T134" s="5">
        <v>129806235</v>
      </c>
      <c r="U134" s="5">
        <v>733265</v>
      </c>
      <c r="V134" s="11">
        <v>1078780</v>
      </c>
      <c r="W134" s="5">
        <v>654102</v>
      </c>
      <c r="X134" s="5">
        <v>790591</v>
      </c>
      <c r="Y134" s="5">
        <v>54264429</v>
      </c>
      <c r="Z134" s="28"/>
      <c r="AA134" s="28"/>
      <c r="AB134" s="5">
        <v>4001035</v>
      </c>
      <c r="AC134" s="28"/>
      <c r="AD134" s="28"/>
      <c r="AE134" s="28"/>
      <c r="AF134" s="28"/>
      <c r="AG134" s="28"/>
      <c r="AH134" s="5">
        <v>132449</v>
      </c>
      <c r="AI134" s="28"/>
      <c r="AJ134" s="5">
        <v>13185784</v>
      </c>
      <c r="AK134" s="28"/>
      <c r="AL134" s="5">
        <v>130273</v>
      </c>
      <c r="AM134" s="5">
        <v>5192</v>
      </c>
      <c r="AN134" s="5"/>
      <c r="AO134" s="49">
        <v>568319650</v>
      </c>
    </row>
    <row r="135" spans="1:41" ht="10.5" customHeight="1">
      <c r="A135" s="6">
        <f t="shared" si="2"/>
        <v>1992</v>
      </c>
      <c r="B135" s="6" t="s">
        <v>45</v>
      </c>
      <c r="C135" s="4">
        <v>33939</v>
      </c>
      <c r="D135" s="28"/>
      <c r="E135" s="5">
        <v>2902</v>
      </c>
      <c r="F135" s="28"/>
      <c r="G135" s="28"/>
      <c r="H135" s="28"/>
      <c r="I135" s="28"/>
      <c r="J135" s="5">
        <v>946410</v>
      </c>
      <c r="K135" s="5">
        <v>13818141</v>
      </c>
      <c r="L135" s="28"/>
      <c r="M135" s="28"/>
      <c r="N135" s="5">
        <v>684750</v>
      </c>
      <c r="O135" s="5">
        <v>24116396</v>
      </c>
      <c r="P135" s="14">
        <v>16569420</v>
      </c>
      <c r="Q135" s="28"/>
      <c r="R135" s="5">
        <v>307622170</v>
      </c>
      <c r="S135" s="5">
        <v>2608501</v>
      </c>
      <c r="T135" s="5">
        <v>126158922</v>
      </c>
      <c r="U135" s="5">
        <v>303498</v>
      </c>
      <c r="V135" s="11">
        <v>710073</v>
      </c>
      <c r="W135" s="5">
        <v>622417</v>
      </c>
      <c r="X135" s="5">
        <v>622374</v>
      </c>
      <c r="Y135" s="5">
        <v>59648997</v>
      </c>
      <c r="Z135" s="28"/>
      <c r="AA135" s="28"/>
      <c r="AB135" s="5">
        <v>4185074</v>
      </c>
      <c r="AC135" s="28"/>
      <c r="AD135" s="28"/>
      <c r="AE135" s="28"/>
      <c r="AF135" s="28"/>
      <c r="AG135" s="28"/>
      <c r="AH135" s="5">
        <v>144296</v>
      </c>
      <c r="AI135" s="28"/>
      <c r="AJ135" s="5">
        <v>13914248</v>
      </c>
      <c r="AK135" s="28"/>
      <c r="AL135" s="5">
        <v>9099632</v>
      </c>
      <c r="AM135" s="5">
        <v>8336300</v>
      </c>
      <c r="AN135" s="5"/>
      <c r="AO135" s="49">
        <v>608409976</v>
      </c>
    </row>
    <row r="136" spans="1:41" ht="10.5" customHeight="1">
      <c r="A136" s="6">
        <f t="shared" si="2"/>
        <v>1993</v>
      </c>
      <c r="B136" s="6" t="s">
        <v>34</v>
      </c>
      <c r="C136" s="4">
        <v>33970</v>
      </c>
      <c r="D136" s="28"/>
      <c r="E136" s="5">
        <v>18327</v>
      </c>
      <c r="F136" s="28"/>
      <c r="G136" s="28"/>
      <c r="H136" s="28"/>
      <c r="I136" s="28"/>
      <c r="J136" s="5">
        <v>2142345</v>
      </c>
      <c r="K136" s="5">
        <v>11436411</v>
      </c>
      <c r="L136" s="28"/>
      <c r="M136" s="28"/>
      <c r="N136" s="5">
        <v>739675</v>
      </c>
      <c r="O136" s="5">
        <v>13693774</v>
      </c>
      <c r="P136" s="14">
        <v>5906136</v>
      </c>
      <c r="Q136" s="28"/>
      <c r="R136" s="5">
        <v>363909670</v>
      </c>
      <c r="S136" s="5">
        <v>2684221</v>
      </c>
      <c r="T136" s="5">
        <v>147287126</v>
      </c>
      <c r="U136" s="5">
        <v>459374</v>
      </c>
      <c r="V136" s="11">
        <v>1097954</v>
      </c>
      <c r="W136" s="5">
        <v>709506</v>
      </c>
      <c r="X136" s="5">
        <v>720377</v>
      </c>
      <c r="Y136" s="5">
        <v>66719493</v>
      </c>
      <c r="Z136" s="28"/>
      <c r="AA136" s="28"/>
      <c r="AB136" s="5">
        <v>5028949</v>
      </c>
      <c r="AC136" s="28"/>
      <c r="AD136" s="28"/>
      <c r="AE136" s="28"/>
      <c r="AF136" s="28"/>
      <c r="AG136" s="28"/>
      <c r="AH136" s="5">
        <v>117072</v>
      </c>
      <c r="AI136" s="28"/>
      <c r="AJ136" s="5">
        <v>16156980</v>
      </c>
      <c r="AK136" s="28"/>
      <c r="AL136" s="5">
        <v>2000178</v>
      </c>
      <c r="AM136" s="5">
        <v>796555</v>
      </c>
      <c r="AN136" s="5"/>
      <c r="AO136" s="49">
        <v>655356660</v>
      </c>
    </row>
    <row r="137" spans="1:41" ht="10.5" customHeight="1">
      <c r="A137" s="6">
        <f t="shared" si="2"/>
        <v>1993</v>
      </c>
      <c r="B137" s="6" t="s">
        <v>35</v>
      </c>
      <c r="C137" s="4">
        <v>34001</v>
      </c>
      <c r="D137" s="28"/>
      <c r="E137" s="5">
        <v>33827</v>
      </c>
      <c r="F137" s="28"/>
      <c r="G137" s="28"/>
      <c r="H137" s="28"/>
      <c r="I137" s="28"/>
      <c r="J137" s="5">
        <v>813079</v>
      </c>
      <c r="K137" s="5">
        <v>14558319</v>
      </c>
      <c r="L137" s="28"/>
      <c r="M137" s="28"/>
      <c r="N137" s="5">
        <v>204336</v>
      </c>
      <c r="O137" s="5">
        <v>23788148</v>
      </c>
      <c r="P137" s="14">
        <v>4756573</v>
      </c>
      <c r="Q137" s="28"/>
      <c r="R137" s="5">
        <v>294954268</v>
      </c>
      <c r="S137" s="5">
        <v>4633174</v>
      </c>
      <c r="T137" s="5">
        <v>150993370</v>
      </c>
      <c r="U137" s="5">
        <v>597942</v>
      </c>
      <c r="V137" s="11">
        <v>1870431</v>
      </c>
      <c r="W137" s="5">
        <v>822232</v>
      </c>
      <c r="X137" s="5">
        <v>792540</v>
      </c>
      <c r="Y137" s="5">
        <v>47011006</v>
      </c>
      <c r="Z137" s="28"/>
      <c r="AA137" s="28"/>
      <c r="AB137" s="5">
        <v>4891383</v>
      </c>
      <c r="AC137" s="28"/>
      <c r="AD137" s="28"/>
      <c r="AE137" s="28"/>
      <c r="AF137" s="28"/>
      <c r="AG137" s="28"/>
      <c r="AH137" s="5">
        <v>77926</v>
      </c>
      <c r="AI137" s="28"/>
      <c r="AJ137" s="5">
        <v>15829224</v>
      </c>
      <c r="AK137" s="28"/>
      <c r="AL137" s="5">
        <v>194326</v>
      </c>
      <c r="AM137" s="5">
        <v>161786</v>
      </c>
      <c r="AN137" s="5"/>
      <c r="AO137" s="49">
        <v>585508207</v>
      </c>
    </row>
    <row r="138" spans="1:41" ht="10.5" customHeight="1">
      <c r="A138" s="6">
        <f t="shared" si="2"/>
        <v>1993</v>
      </c>
      <c r="B138" s="6" t="s">
        <v>36</v>
      </c>
      <c r="C138" s="4">
        <v>34029</v>
      </c>
      <c r="D138" s="28"/>
      <c r="E138" s="5">
        <v>40456</v>
      </c>
      <c r="F138" s="28"/>
      <c r="G138" s="28"/>
      <c r="H138" s="28"/>
      <c r="I138" s="28"/>
      <c r="J138" s="5">
        <v>1170339</v>
      </c>
      <c r="K138" s="5">
        <v>15517503</v>
      </c>
      <c r="L138" s="28"/>
      <c r="M138" s="28"/>
      <c r="N138" s="5">
        <v>61494</v>
      </c>
      <c r="O138" s="5">
        <v>24535059</v>
      </c>
      <c r="P138" s="14">
        <v>8595870</v>
      </c>
      <c r="Q138" s="28"/>
      <c r="R138" s="5">
        <v>351367343</v>
      </c>
      <c r="S138" s="5">
        <v>4957819</v>
      </c>
      <c r="T138" s="5">
        <v>151930276</v>
      </c>
      <c r="U138" s="5">
        <v>424689</v>
      </c>
      <c r="V138" s="11">
        <v>983925</v>
      </c>
      <c r="W138" s="5">
        <v>876682</v>
      </c>
      <c r="X138" s="5">
        <v>760128</v>
      </c>
      <c r="Y138" s="5">
        <v>40870586</v>
      </c>
      <c r="Z138" s="28"/>
      <c r="AA138" s="28"/>
      <c r="AB138" s="5">
        <v>4849000</v>
      </c>
      <c r="AC138" s="28"/>
      <c r="AD138" s="28"/>
      <c r="AE138" s="28"/>
      <c r="AF138" s="28"/>
      <c r="AG138" s="28"/>
      <c r="AH138" s="5">
        <v>88148</v>
      </c>
      <c r="AI138" s="28"/>
      <c r="AJ138" s="5">
        <v>16115819</v>
      </c>
      <c r="AK138" s="28"/>
      <c r="AL138" s="5">
        <v>4464896</v>
      </c>
      <c r="AM138" s="5">
        <v>2298917</v>
      </c>
      <c r="AN138" s="5"/>
      <c r="AO138" s="49">
        <v>655701894</v>
      </c>
    </row>
    <row r="139" spans="1:41" ht="10.5" customHeight="1">
      <c r="A139" s="6">
        <f t="shared" si="2"/>
        <v>1993</v>
      </c>
      <c r="B139" s="6" t="s">
        <v>37</v>
      </c>
      <c r="C139" s="4">
        <v>34060</v>
      </c>
      <c r="D139" s="28"/>
      <c r="E139" s="5">
        <v>7223</v>
      </c>
      <c r="F139" s="28"/>
      <c r="G139" s="28"/>
      <c r="H139" s="28"/>
      <c r="I139" s="28"/>
      <c r="J139" s="5">
        <v>5883294</v>
      </c>
      <c r="K139" s="5">
        <v>37168948</v>
      </c>
      <c r="L139" s="28"/>
      <c r="M139" s="28"/>
      <c r="N139" s="5">
        <v>422314</v>
      </c>
      <c r="O139" s="5">
        <v>1611886</v>
      </c>
      <c r="P139" s="14">
        <v>8014250</v>
      </c>
      <c r="Q139" s="28"/>
      <c r="R139" s="5">
        <v>330186758</v>
      </c>
      <c r="S139" s="5">
        <v>4874238</v>
      </c>
      <c r="T139" s="5">
        <v>148362978</v>
      </c>
      <c r="U139" s="5">
        <v>443190</v>
      </c>
      <c r="V139" s="11">
        <v>1089677</v>
      </c>
      <c r="W139" s="5">
        <v>919458</v>
      </c>
      <c r="X139" s="5">
        <v>750460</v>
      </c>
      <c r="Y139" s="5">
        <v>135258967</v>
      </c>
      <c r="Z139" s="28"/>
      <c r="AA139" s="28"/>
      <c r="AB139" s="5">
        <v>5981129</v>
      </c>
      <c r="AC139" s="28"/>
      <c r="AD139" s="28"/>
      <c r="AE139" s="28"/>
      <c r="AF139" s="28"/>
      <c r="AG139" s="28"/>
      <c r="AH139" s="5">
        <v>154137</v>
      </c>
      <c r="AI139" s="28"/>
      <c r="AJ139" s="5">
        <v>16764830</v>
      </c>
      <c r="AK139" s="28"/>
      <c r="AL139" s="5">
        <v>4668216</v>
      </c>
      <c r="AM139" s="5">
        <v>2367394</v>
      </c>
      <c r="AN139" s="5"/>
      <c r="AO139" s="49">
        <v>737890264</v>
      </c>
    </row>
    <row r="140" spans="1:41" ht="10.5" customHeight="1">
      <c r="A140" s="6">
        <f t="shared" si="2"/>
        <v>1993</v>
      </c>
      <c r="B140" s="6" t="s">
        <v>73</v>
      </c>
      <c r="C140" s="4">
        <v>34090</v>
      </c>
      <c r="D140" s="28"/>
      <c r="E140" s="5">
        <v>4910</v>
      </c>
      <c r="F140" s="28"/>
      <c r="G140" s="28"/>
      <c r="H140" s="28"/>
      <c r="I140" s="28"/>
      <c r="J140" s="5">
        <v>716482</v>
      </c>
      <c r="K140" s="5">
        <v>17171783</v>
      </c>
      <c r="L140" s="28"/>
      <c r="M140" s="28"/>
      <c r="N140" s="5">
        <v>135159</v>
      </c>
      <c r="O140" s="5">
        <v>696699</v>
      </c>
      <c r="P140" s="14">
        <v>10935309</v>
      </c>
      <c r="Q140" s="28"/>
      <c r="R140" s="5">
        <v>346078079</v>
      </c>
      <c r="S140" s="5">
        <v>4930015</v>
      </c>
      <c r="T140" s="5">
        <v>144558330</v>
      </c>
      <c r="U140" s="5">
        <v>630764</v>
      </c>
      <c r="V140" s="11">
        <v>1059070</v>
      </c>
      <c r="W140" s="5">
        <v>2080009</v>
      </c>
      <c r="X140" s="5">
        <v>729694</v>
      </c>
      <c r="Y140" s="5">
        <v>45391548</v>
      </c>
      <c r="Z140" s="28"/>
      <c r="AA140" s="28"/>
      <c r="AB140" s="5">
        <v>5491234</v>
      </c>
      <c r="AC140" s="28"/>
      <c r="AD140" s="28"/>
      <c r="AE140" s="28"/>
      <c r="AF140" s="28"/>
      <c r="AG140" s="28"/>
      <c r="AH140" s="5">
        <v>129144</v>
      </c>
      <c r="AI140" s="28"/>
      <c r="AJ140" s="5">
        <v>17175828</v>
      </c>
      <c r="AK140" s="28"/>
      <c r="AL140" s="5">
        <v>326611</v>
      </c>
      <c r="AM140" s="5">
        <v>270854</v>
      </c>
      <c r="AN140" s="5"/>
      <c r="AO140" s="49">
        <v>623609212</v>
      </c>
    </row>
    <row r="141" spans="1:41" ht="10.5" customHeight="1">
      <c r="A141" s="6">
        <f t="shared" si="2"/>
        <v>1993</v>
      </c>
      <c r="B141" s="6" t="s">
        <v>39</v>
      </c>
      <c r="C141" s="4">
        <v>34121</v>
      </c>
      <c r="D141" s="28"/>
      <c r="E141" s="5">
        <v>16670</v>
      </c>
      <c r="F141" s="28"/>
      <c r="G141" s="28"/>
      <c r="H141" s="28"/>
      <c r="I141" s="28"/>
      <c r="J141" s="5">
        <v>1265839</v>
      </c>
      <c r="K141" s="5">
        <v>22231147</v>
      </c>
      <c r="L141" s="28"/>
      <c r="M141" s="28"/>
      <c r="N141" s="5">
        <v>191329</v>
      </c>
      <c r="O141" s="5">
        <v>1142023</v>
      </c>
      <c r="P141" s="14">
        <v>12092531</v>
      </c>
      <c r="Q141" s="28"/>
      <c r="R141" s="5">
        <v>362569906</v>
      </c>
      <c r="S141" s="5">
        <v>4890039</v>
      </c>
      <c r="T141" s="5">
        <v>142258680</v>
      </c>
      <c r="U141" s="5">
        <v>585977</v>
      </c>
      <c r="V141" s="11">
        <v>1299434</v>
      </c>
      <c r="W141" s="5">
        <v>531685</v>
      </c>
      <c r="X141" s="5">
        <v>793456</v>
      </c>
      <c r="Y141" s="5">
        <v>53198402</v>
      </c>
      <c r="Z141" s="28"/>
      <c r="AA141" s="28"/>
      <c r="AB141" s="5">
        <v>6219418</v>
      </c>
      <c r="AC141" s="28"/>
      <c r="AD141" s="28"/>
      <c r="AE141" s="28"/>
      <c r="AF141" s="28"/>
      <c r="AG141" s="28"/>
      <c r="AH141" s="5">
        <v>114019</v>
      </c>
      <c r="AI141" s="28"/>
      <c r="AJ141" s="5">
        <v>18076822</v>
      </c>
      <c r="AK141" s="28"/>
      <c r="AL141" s="5">
        <v>725726</v>
      </c>
      <c r="AM141" s="5">
        <v>71590</v>
      </c>
      <c r="AN141" s="5"/>
      <c r="AO141" s="49">
        <v>653980162</v>
      </c>
    </row>
    <row r="142" spans="1:41" ht="10.5" customHeight="1">
      <c r="A142" s="6">
        <f t="shared" si="2"/>
        <v>1993</v>
      </c>
      <c r="B142" s="6" t="s">
        <v>40</v>
      </c>
      <c r="C142" s="4">
        <v>34151</v>
      </c>
      <c r="D142" s="28"/>
      <c r="E142" s="5">
        <v>41573</v>
      </c>
      <c r="F142" s="28"/>
      <c r="G142" s="28"/>
      <c r="H142" s="28"/>
      <c r="I142" s="28"/>
      <c r="J142" s="5">
        <v>1857753</v>
      </c>
      <c r="K142" s="5">
        <v>16251822</v>
      </c>
      <c r="L142" s="28"/>
      <c r="M142" s="28"/>
      <c r="N142" s="5">
        <v>325811</v>
      </c>
      <c r="O142" s="5">
        <v>41972106</v>
      </c>
      <c r="P142" s="14">
        <v>11764187</v>
      </c>
      <c r="Q142" s="28"/>
      <c r="R142" s="5">
        <v>307914275</v>
      </c>
      <c r="S142" s="5">
        <v>4850159</v>
      </c>
      <c r="T142" s="5">
        <v>154004030</v>
      </c>
      <c r="U142" s="5">
        <v>397960</v>
      </c>
      <c r="V142" s="11">
        <v>974849</v>
      </c>
      <c r="W142" s="5">
        <v>1046126</v>
      </c>
      <c r="X142" s="5">
        <v>787992</v>
      </c>
      <c r="Y142" s="5">
        <v>96152850</v>
      </c>
      <c r="Z142" s="28"/>
      <c r="AA142" s="28"/>
      <c r="AB142" s="5">
        <v>6461773</v>
      </c>
      <c r="AC142" s="28"/>
      <c r="AD142" s="28"/>
      <c r="AE142" s="28"/>
      <c r="AF142" s="28"/>
      <c r="AG142" s="28"/>
      <c r="AH142" s="5">
        <v>105977</v>
      </c>
      <c r="AI142" s="28"/>
      <c r="AJ142" s="5">
        <v>19559542</v>
      </c>
      <c r="AK142" s="28"/>
      <c r="AL142" s="5">
        <v>3827822</v>
      </c>
      <c r="AM142" s="5">
        <v>114638</v>
      </c>
      <c r="AN142" s="5"/>
      <c r="AO142" s="49">
        <v>702542792</v>
      </c>
    </row>
    <row r="143" spans="1:41" ht="10.5" customHeight="1">
      <c r="A143" s="6">
        <f t="shared" si="2"/>
        <v>1993</v>
      </c>
      <c r="B143" s="6" t="s">
        <v>41</v>
      </c>
      <c r="C143" s="4">
        <v>34182</v>
      </c>
      <c r="D143" s="28"/>
      <c r="E143" s="5">
        <v>2952</v>
      </c>
      <c r="F143" s="28"/>
      <c r="G143" s="28"/>
      <c r="H143" s="28"/>
      <c r="I143" s="28"/>
      <c r="J143" s="5">
        <v>1115031</v>
      </c>
      <c r="K143" s="5">
        <v>18051869</v>
      </c>
      <c r="L143" s="28"/>
      <c r="M143" s="28"/>
      <c r="N143" s="5">
        <v>345221</v>
      </c>
      <c r="O143" s="5">
        <v>1537783</v>
      </c>
      <c r="P143" s="14">
        <v>11964486</v>
      </c>
      <c r="Q143" s="28"/>
      <c r="R143" s="5">
        <v>384122607</v>
      </c>
      <c r="S143" s="5">
        <v>4670370</v>
      </c>
      <c r="T143" s="5">
        <v>156601012</v>
      </c>
      <c r="U143" s="5">
        <v>437482</v>
      </c>
      <c r="V143" s="11">
        <v>1090529</v>
      </c>
      <c r="W143" s="5">
        <v>942276</v>
      </c>
      <c r="X143" s="5">
        <v>751106</v>
      </c>
      <c r="Y143" s="5">
        <v>78023705</v>
      </c>
      <c r="Z143" s="28"/>
      <c r="AA143" s="28"/>
      <c r="AB143" s="5">
        <v>5996887</v>
      </c>
      <c r="AC143" s="28"/>
      <c r="AD143" s="28"/>
      <c r="AE143" s="28"/>
      <c r="AF143" s="28"/>
      <c r="AG143" s="28"/>
      <c r="AH143" s="5">
        <v>77084</v>
      </c>
      <c r="AI143" s="28"/>
      <c r="AJ143" s="5">
        <v>19772780</v>
      </c>
      <c r="AK143" s="28"/>
      <c r="AL143" s="5">
        <v>697821</v>
      </c>
      <c r="AM143" s="5">
        <v>95578</v>
      </c>
      <c r="AN143" s="5"/>
      <c r="AO143" s="49">
        <v>710186326</v>
      </c>
    </row>
    <row r="144" spans="1:41" ht="10.5" customHeight="1">
      <c r="A144" s="6">
        <f t="shared" si="2"/>
        <v>1993</v>
      </c>
      <c r="B144" s="6" t="s">
        <v>42</v>
      </c>
      <c r="C144" s="4">
        <v>34213</v>
      </c>
      <c r="D144" s="28"/>
      <c r="E144" s="5">
        <v>2924</v>
      </c>
      <c r="F144" s="28"/>
      <c r="G144" s="28"/>
      <c r="H144" s="28"/>
      <c r="I144" s="28"/>
      <c r="J144" s="5">
        <v>2519340</v>
      </c>
      <c r="K144" s="5">
        <v>17429120</v>
      </c>
      <c r="L144" s="28"/>
      <c r="M144" s="28"/>
      <c r="N144" s="5">
        <v>375239</v>
      </c>
      <c r="O144" s="5">
        <v>998756</v>
      </c>
      <c r="P144" s="14">
        <v>12436134</v>
      </c>
      <c r="Q144" s="28"/>
      <c r="R144" s="5">
        <v>390180726</v>
      </c>
      <c r="S144" s="5">
        <v>93259</v>
      </c>
      <c r="T144" s="5">
        <v>199407391</v>
      </c>
      <c r="U144" s="5">
        <v>350650</v>
      </c>
      <c r="V144" s="11">
        <v>843435</v>
      </c>
      <c r="W144" s="5">
        <v>1617476</v>
      </c>
      <c r="X144" s="5">
        <v>963227</v>
      </c>
      <c r="Y144" s="5">
        <v>69052740</v>
      </c>
      <c r="Z144" s="28"/>
      <c r="AA144" s="28"/>
      <c r="AB144" s="5">
        <v>6355706</v>
      </c>
      <c r="AC144" s="28"/>
      <c r="AD144" s="28"/>
      <c r="AE144" s="28"/>
      <c r="AF144" s="28"/>
      <c r="AG144" s="28"/>
      <c r="AH144" s="5">
        <v>89444</v>
      </c>
      <c r="AI144" s="28"/>
      <c r="AJ144" s="5">
        <v>20391244</v>
      </c>
      <c r="AK144" s="28"/>
      <c r="AL144" s="5">
        <v>4783979</v>
      </c>
      <c r="AM144" s="5">
        <v>45762</v>
      </c>
      <c r="AN144" s="5"/>
      <c r="AO144" s="49">
        <v>752821816</v>
      </c>
    </row>
    <row r="145" spans="1:41" ht="10.5" customHeight="1">
      <c r="A145" s="6">
        <f t="shared" si="2"/>
        <v>1993</v>
      </c>
      <c r="B145" s="6" t="s">
        <v>43</v>
      </c>
      <c r="C145" s="4">
        <v>34243</v>
      </c>
      <c r="D145" s="28"/>
      <c r="E145" s="5">
        <v>4123</v>
      </c>
      <c r="F145" s="28"/>
      <c r="G145" s="28"/>
      <c r="H145" s="28"/>
      <c r="I145" s="28"/>
      <c r="J145" s="5">
        <v>1004887</v>
      </c>
      <c r="K145" s="5">
        <v>19474751</v>
      </c>
      <c r="L145" s="28"/>
      <c r="M145" s="28"/>
      <c r="N145" s="5">
        <v>239603</v>
      </c>
      <c r="O145" s="5">
        <v>20716303</v>
      </c>
      <c r="P145" s="14">
        <v>11987297</v>
      </c>
      <c r="Q145" s="28"/>
      <c r="R145" s="5">
        <v>362055503</v>
      </c>
      <c r="S145" s="5">
        <v>4755209</v>
      </c>
      <c r="T145" s="5">
        <v>178048116</v>
      </c>
      <c r="U145" s="5">
        <v>239175</v>
      </c>
      <c r="V145" s="11">
        <v>885317</v>
      </c>
      <c r="W145" s="5">
        <v>1201613</v>
      </c>
      <c r="X145" s="5">
        <v>1305798</v>
      </c>
      <c r="Y145" s="5">
        <v>96881476</v>
      </c>
      <c r="Z145" s="28"/>
      <c r="AA145" s="28"/>
      <c r="AB145" s="5">
        <v>6620504</v>
      </c>
      <c r="AC145" s="28"/>
      <c r="AD145" s="28"/>
      <c r="AE145" s="28"/>
      <c r="AF145" s="28"/>
      <c r="AG145" s="28"/>
      <c r="AH145" s="5">
        <v>90362</v>
      </c>
      <c r="AI145" s="28"/>
      <c r="AJ145" s="5">
        <v>20469195</v>
      </c>
      <c r="AK145" s="28"/>
      <c r="AL145" s="5">
        <v>138066</v>
      </c>
      <c r="AM145" s="5">
        <v>57549</v>
      </c>
      <c r="AN145" s="5"/>
      <c r="AO145" s="49">
        <v>750340534</v>
      </c>
    </row>
    <row r="146" spans="1:41" ht="10.5" customHeight="1">
      <c r="A146" s="6">
        <f t="shared" si="2"/>
        <v>1993</v>
      </c>
      <c r="B146" s="6" t="s">
        <v>44</v>
      </c>
      <c r="C146" s="4">
        <v>34274</v>
      </c>
      <c r="D146" s="28"/>
      <c r="E146" s="5">
        <v>5268</v>
      </c>
      <c r="F146" s="28"/>
      <c r="G146" s="28"/>
      <c r="H146" s="28"/>
      <c r="I146" s="28"/>
      <c r="J146" s="5">
        <v>3054060</v>
      </c>
      <c r="K146" s="5">
        <v>20108431</v>
      </c>
      <c r="L146" s="28"/>
      <c r="M146" s="28"/>
      <c r="N146" s="5">
        <v>1006596</v>
      </c>
      <c r="O146" s="5">
        <v>26420254</v>
      </c>
      <c r="P146" s="14">
        <v>15665018</v>
      </c>
      <c r="Q146" s="28"/>
      <c r="R146" s="5">
        <v>445768641</v>
      </c>
      <c r="S146" s="5">
        <v>4773166</v>
      </c>
      <c r="T146" s="5">
        <v>181886653</v>
      </c>
      <c r="U146" s="5">
        <v>769408</v>
      </c>
      <c r="V146" s="11">
        <v>2058391</v>
      </c>
      <c r="W146" s="5">
        <v>1025038</v>
      </c>
      <c r="X146" s="5">
        <v>1337360</v>
      </c>
      <c r="Y146" s="5">
        <v>80750170</v>
      </c>
      <c r="Z146" s="28"/>
      <c r="AA146" s="28"/>
      <c r="AB146" s="5">
        <v>6534601</v>
      </c>
      <c r="AC146" s="28"/>
      <c r="AD146" s="28"/>
      <c r="AE146" s="28"/>
      <c r="AF146" s="28"/>
      <c r="AG146" s="28"/>
      <c r="AH146" s="5">
        <v>123015</v>
      </c>
      <c r="AI146" s="28"/>
      <c r="AJ146" s="5">
        <v>21538002</v>
      </c>
      <c r="AK146" s="28"/>
      <c r="AL146" s="5">
        <v>172632</v>
      </c>
      <c r="AM146" s="5">
        <v>42181</v>
      </c>
      <c r="AN146" s="5"/>
      <c r="AO146" s="49">
        <v>836322822</v>
      </c>
    </row>
    <row r="147" spans="1:41" ht="10.5" customHeight="1">
      <c r="A147" s="6">
        <f t="shared" si="2"/>
        <v>1993</v>
      </c>
      <c r="B147" s="6" t="s">
        <v>45</v>
      </c>
      <c r="C147" s="4">
        <v>34304</v>
      </c>
      <c r="D147" s="28"/>
      <c r="E147" s="5">
        <v>1456</v>
      </c>
      <c r="F147" s="28"/>
      <c r="G147" s="28"/>
      <c r="H147" s="28"/>
      <c r="I147" s="28"/>
      <c r="J147" s="5">
        <v>1640133</v>
      </c>
      <c r="K147" s="5">
        <v>22234679</v>
      </c>
      <c r="L147" s="28"/>
      <c r="M147" s="28"/>
      <c r="N147" s="5">
        <v>363775</v>
      </c>
      <c r="O147" s="5">
        <v>2309377</v>
      </c>
      <c r="P147" s="14">
        <v>19901425</v>
      </c>
      <c r="Q147" s="28"/>
      <c r="R147" s="5">
        <v>439099902</v>
      </c>
      <c r="S147" s="5">
        <v>4646341</v>
      </c>
      <c r="T147" s="5">
        <v>186083949</v>
      </c>
      <c r="U147" s="5">
        <v>535310</v>
      </c>
      <c r="V147" s="11">
        <v>1218653</v>
      </c>
      <c r="W147" s="5">
        <v>1065393</v>
      </c>
      <c r="X147" s="5">
        <v>889576</v>
      </c>
      <c r="Y147" s="5">
        <v>84514700</v>
      </c>
      <c r="Z147" s="28"/>
      <c r="AA147" s="28"/>
      <c r="AB147" s="5">
        <v>7399019</v>
      </c>
      <c r="AC147" s="28"/>
      <c r="AD147" s="28"/>
      <c r="AE147" s="28"/>
      <c r="AF147" s="28"/>
      <c r="AG147" s="28"/>
      <c r="AH147" s="5">
        <v>152903</v>
      </c>
      <c r="AI147" s="28"/>
      <c r="AJ147" s="5">
        <v>16371218</v>
      </c>
      <c r="AK147" s="28"/>
      <c r="AL147" s="5">
        <v>5727712</v>
      </c>
      <c r="AM147" s="5">
        <v>6031485</v>
      </c>
      <c r="AN147" s="5"/>
      <c r="AO147" s="49">
        <v>825886665</v>
      </c>
    </row>
    <row r="148" spans="1:41" ht="10.5" customHeight="1">
      <c r="A148" s="6">
        <f t="shared" si="2"/>
        <v>1994</v>
      </c>
      <c r="B148" s="6" t="s">
        <v>34</v>
      </c>
      <c r="C148" s="4">
        <v>34335</v>
      </c>
      <c r="D148" s="28"/>
      <c r="E148" s="5">
        <v>4504</v>
      </c>
      <c r="F148" s="28"/>
      <c r="G148" s="28"/>
      <c r="H148" s="28"/>
      <c r="I148" s="28"/>
      <c r="J148" s="5">
        <v>2969534</v>
      </c>
      <c r="K148" s="5">
        <v>21297506</v>
      </c>
      <c r="L148" s="28"/>
      <c r="M148" s="28"/>
      <c r="N148" s="5">
        <v>1771494</v>
      </c>
      <c r="O148" s="5">
        <v>41639460</v>
      </c>
      <c r="P148" s="14">
        <v>13228723</v>
      </c>
      <c r="Q148" s="28"/>
      <c r="R148" s="5">
        <v>554906904</v>
      </c>
      <c r="S148" s="5">
        <v>4603359</v>
      </c>
      <c r="T148" s="5">
        <v>263000015</v>
      </c>
      <c r="U148" s="5">
        <v>481351</v>
      </c>
      <c r="V148" s="11">
        <v>1258226</v>
      </c>
      <c r="W148" s="5">
        <v>1041643</v>
      </c>
      <c r="X148" s="5">
        <v>1061434</v>
      </c>
      <c r="Y148" s="5">
        <v>94316237</v>
      </c>
      <c r="Z148" s="28"/>
      <c r="AA148" s="28"/>
      <c r="AB148" s="5">
        <v>7566028</v>
      </c>
      <c r="AC148" s="5">
        <v>67125</v>
      </c>
      <c r="AD148" s="28"/>
      <c r="AE148" s="28"/>
      <c r="AF148" s="28"/>
      <c r="AG148" s="28"/>
      <c r="AH148" s="5">
        <v>175725</v>
      </c>
      <c r="AI148" s="28"/>
      <c r="AJ148" s="5">
        <v>17768016</v>
      </c>
      <c r="AK148" s="28"/>
      <c r="AL148" s="5">
        <v>289007</v>
      </c>
      <c r="AM148" s="5">
        <v>215313</v>
      </c>
      <c r="AN148" s="5"/>
      <c r="AO148" s="49">
        <v>1036135539</v>
      </c>
    </row>
    <row r="149" spans="1:41" ht="10.5" customHeight="1">
      <c r="A149" s="6">
        <f t="shared" si="2"/>
        <v>1994</v>
      </c>
      <c r="B149" s="6" t="s">
        <v>35</v>
      </c>
      <c r="C149" s="4">
        <v>34366</v>
      </c>
      <c r="D149" s="28"/>
      <c r="E149" s="5">
        <v>15119</v>
      </c>
      <c r="F149" s="28"/>
      <c r="G149" s="28"/>
      <c r="H149" s="28"/>
      <c r="I149" s="28"/>
      <c r="J149" s="5">
        <v>1756599</v>
      </c>
      <c r="K149" s="5">
        <v>20965435</v>
      </c>
      <c r="L149" s="28"/>
      <c r="M149" s="28"/>
      <c r="N149" s="5">
        <v>138483</v>
      </c>
      <c r="O149" s="5">
        <v>16573884</v>
      </c>
      <c r="P149" s="14">
        <v>10379157</v>
      </c>
      <c r="Q149" s="28"/>
      <c r="R149" s="5">
        <v>426536391</v>
      </c>
      <c r="S149" s="5">
        <v>7363924</v>
      </c>
      <c r="T149" s="5">
        <v>245335318</v>
      </c>
      <c r="U149" s="5">
        <v>785915</v>
      </c>
      <c r="V149" s="11">
        <v>1632058</v>
      </c>
      <c r="W149" s="5">
        <v>1058069</v>
      </c>
      <c r="X149" s="5">
        <v>1025774</v>
      </c>
      <c r="Y149" s="5">
        <v>84291170</v>
      </c>
      <c r="Z149" s="28"/>
      <c r="AA149" s="28"/>
      <c r="AB149" s="5">
        <v>5841289</v>
      </c>
      <c r="AC149" s="5">
        <v>20771</v>
      </c>
      <c r="AD149" s="28"/>
      <c r="AE149" s="28"/>
      <c r="AF149" s="28"/>
      <c r="AG149" s="28"/>
      <c r="AH149" s="5">
        <v>98425</v>
      </c>
      <c r="AI149" s="28"/>
      <c r="AJ149" s="5">
        <v>18246279</v>
      </c>
      <c r="AK149" s="28"/>
      <c r="AL149" s="5">
        <v>242306</v>
      </c>
      <c r="AM149" s="5">
        <v>143130</v>
      </c>
      <c r="AN149" s="5"/>
      <c r="AO149" s="49">
        <v>852705896</v>
      </c>
    </row>
    <row r="150" spans="1:41" ht="10.5" customHeight="1">
      <c r="A150" s="6">
        <f t="shared" si="2"/>
        <v>1994</v>
      </c>
      <c r="B150" s="6" t="s">
        <v>36</v>
      </c>
      <c r="C150" s="4">
        <v>34394</v>
      </c>
      <c r="D150" s="28"/>
      <c r="E150" s="5">
        <v>35389</v>
      </c>
      <c r="F150" s="28"/>
      <c r="G150" s="28"/>
      <c r="H150" s="28"/>
      <c r="I150" s="28"/>
      <c r="J150" s="5">
        <v>1413716</v>
      </c>
      <c r="K150" s="5">
        <v>20966022</v>
      </c>
      <c r="L150" s="28"/>
      <c r="M150" s="28"/>
      <c r="N150" s="5">
        <v>226466</v>
      </c>
      <c r="O150" s="5">
        <v>1464698</v>
      </c>
      <c r="P150" s="14">
        <v>13878011</v>
      </c>
      <c r="Q150" s="28"/>
      <c r="R150" s="5">
        <v>465841762</v>
      </c>
      <c r="S150" s="5">
        <v>7702404</v>
      </c>
      <c r="T150" s="5">
        <v>231790084</v>
      </c>
      <c r="U150" s="5">
        <v>701720</v>
      </c>
      <c r="V150" s="11">
        <v>1429734</v>
      </c>
      <c r="W150" s="5">
        <v>884937</v>
      </c>
      <c r="X150" s="5">
        <v>904104</v>
      </c>
      <c r="Y150" s="5">
        <v>95612766</v>
      </c>
      <c r="Z150" s="28"/>
      <c r="AA150" s="28"/>
      <c r="AB150" s="5">
        <v>5427635</v>
      </c>
      <c r="AC150" s="5">
        <v>233182</v>
      </c>
      <c r="AD150" s="28"/>
      <c r="AE150" s="28"/>
      <c r="AF150" s="28"/>
      <c r="AG150" s="28"/>
      <c r="AH150" s="5">
        <v>81896</v>
      </c>
      <c r="AI150" s="28"/>
      <c r="AJ150" s="5">
        <v>17657035</v>
      </c>
      <c r="AK150" s="28"/>
      <c r="AL150" s="5">
        <v>274117</v>
      </c>
      <c r="AM150" s="5">
        <v>228381</v>
      </c>
      <c r="AN150" s="5"/>
      <c r="AO150" s="49">
        <v>893978965</v>
      </c>
    </row>
    <row r="151" spans="1:41" ht="10.5" customHeight="1">
      <c r="A151" s="6">
        <f t="shared" si="2"/>
        <v>1994</v>
      </c>
      <c r="B151" s="6" t="s">
        <v>37</v>
      </c>
      <c r="C151" s="4">
        <v>34425</v>
      </c>
      <c r="D151" s="28"/>
      <c r="E151" s="5">
        <v>1829</v>
      </c>
      <c r="F151" s="28"/>
      <c r="G151" s="28"/>
      <c r="H151" s="28"/>
      <c r="I151" s="28"/>
      <c r="J151" s="5">
        <v>12432741</v>
      </c>
      <c r="K151" s="5">
        <v>33948561</v>
      </c>
      <c r="L151" s="28"/>
      <c r="M151" s="28"/>
      <c r="N151" s="5">
        <v>742688</v>
      </c>
      <c r="O151" s="5">
        <v>1218729</v>
      </c>
      <c r="P151" s="14">
        <v>13039764</v>
      </c>
      <c r="Q151" s="28"/>
      <c r="R151" s="5">
        <v>484239308</v>
      </c>
      <c r="S151" s="5">
        <v>7584396</v>
      </c>
      <c r="T151" s="5">
        <v>218311542</v>
      </c>
      <c r="U151" s="5">
        <v>576001</v>
      </c>
      <c r="V151" s="11">
        <v>1481505</v>
      </c>
      <c r="W151" s="5">
        <v>1011302</v>
      </c>
      <c r="X151" s="5">
        <v>969938</v>
      </c>
      <c r="Y151" s="5">
        <v>188957808</v>
      </c>
      <c r="Z151" s="28"/>
      <c r="AA151" s="28"/>
      <c r="AB151" s="5">
        <v>6607041</v>
      </c>
      <c r="AC151" s="5">
        <v>209680</v>
      </c>
      <c r="AD151" s="28"/>
      <c r="AE151" s="28"/>
      <c r="AF151" s="28"/>
      <c r="AG151" s="28"/>
      <c r="AH151" s="5">
        <v>143123</v>
      </c>
      <c r="AI151" s="28"/>
      <c r="AJ151" s="5">
        <v>18186984</v>
      </c>
      <c r="AK151" s="28"/>
      <c r="AL151" s="5">
        <v>164026</v>
      </c>
      <c r="AM151" s="5">
        <v>173351</v>
      </c>
      <c r="AN151" s="5"/>
      <c r="AO151" s="49">
        <v>1011578225</v>
      </c>
    </row>
    <row r="152" spans="1:41" ht="10.5" customHeight="1">
      <c r="A152" s="6">
        <f t="shared" si="2"/>
        <v>1994</v>
      </c>
      <c r="B152" s="6" t="s">
        <v>73</v>
      </c>
      <c r="C152" s="4">
        <v>34455</v>
      </c>
      <c r="D152" s="28"/>
      <c r="E152" s="5">
        <v>2021</v>
      </c>
      <c r="F152" s="28"/>
      <c r="G152" s="28"/>
      <c r="H152" s="28"/>
      <c r="I152" s="28"/>
      <c r="J152" s="5">
        <v>1553852</v>
      </c>
      <c r="K152" s="5">
        <v>55662776</v>
      </c>
      <c r="L152" s="28"/>
      <c r="M152" s="28"/>
      <c r="N152" s="5">
        <v>232386</v>
      </c>
      <c r="O152" s="5">
        <v>21543469</v>
      </c>
      <c r="P152" s="14">
        <v>17041644</v>
      </c>
      <c r="Q152" s="28"/>
      <c r="R152" s="5">
        <v>549503980</v>
      </c>
      <c r="S152" s="5">
        <v>7683030</v>
      </c>
      <c r="T152" s="5">
        <v>226706403</v>
      </c>
      <c r="U152" s="5">
        <v>693459</v>
      </c>
      <c r="V152" s="11">
        <v>1589453</v>
      </c>
      <c r="W152" s="5">
        <v>2099058</v>
      </c>
      <c r="X152" s="5">
        <v>896224</v>
      </c>
      <c r="Y152" s="5">
        <v>99115997</v>
      </c>
      <c r="Z152" s="28"/>
      <c r="AA152" s="28"/>
      <c r="AB152" s="5">
        <v>7273064</v>
      </c>
      <c r="AC152" s="5">
        <v>242147</v>
      </c>
      <c r="AD152" s="28"/>
      <c r="AE152" s="28"/>
      <c r="AF152" s="28"/>
      <c r="AG152" s="28"/>
      <c r="AH152" s="5">
        <v>167346</v>
      </c>
      <c r="AI152" s="28"/>
      <c r="AJ152" s="5">
        <v>18833800</v>
      </c>
      <c r="AK152" s="28"/>
      <c r="AL152" s="5">
        <v>2118113</v>
      </c>
      <c r="AM152" s="5">
        <v>1769455</v>
      </c>
      <c r="AN152" s="5"/>
      <c r="AO152" s="49">
        <v>1030984768</v>
      </c>
    </row>
    <row r="153" spans="1:41" ht="10.5" customHeight="1">
      <c r="A153" s="6">
        <f t="shared" si="2"/>
        <v>1994</v>
      </c>
      <c r="B153" s="6" t="s">
        <v>39</v>
      </c>
      <c r="C153" s="4">
        <v>34486</v>
      </c>
      <c r="D153" s="28"/>
      <c r="E153" s="5">
        <v>4748</v>
      </c>
      <c r="F153" s="28"/>
      <c r="G153" s="28"/>
      <c r="H153" s="28"/>
      <c r="I153" s="28"/>
      <c r="J153" s="5">
        <v>1625919</v>
      </c>
      <c r="K153" s="5">
        <v>24451036</v>
      </c>
      <c r="L153" s="28"/>
      <c r="M153" s="28"/>
      <c r="N153" s="5">
        <v>531657</v>
      </c>
      <c r="O153" s="5">
        <v>19099760</v>
      </c>
      <c r="P153" s="14">
        <v>18659708</v>
      </c>
      <c r="Q153" s="28"/>
      <c r="R153" s="5">
        <v>509437098</v>
      </c>
      <c r="S153" s="5">
        <v>7244361</v>
      </c>
      <c r="T153" s="5">
        <v>218541014</v>
      </c>
      <c r="U153" s="5">
        <v>587059</v>
      </c>
      <c r="V153" s="11">
        <v>1159755</v>
      </c>
      <c r="W153" s="5">
        <v>1409365</v>
      </c>
      <c r="X153" s="5">
        <v>883260</v>
      </c>
      <c r="Y153" s="5">
        <v>107039618</v>
      </c>
      <c r="Z153" s="28"/>
      <c r="AA153" s="28"/>
      <c r="AB153" s="5">
        <v>7157083</v>
      </c>
      <c r="AC153" s="5">
        <v>259560</v>
      </c>
      <c r="AD153" s="28"/>
      <c r="AE153" s="28"/>
      <c r="AF153" s="28"/>
      <c r="AG153" s="28"/>
      <c r="AH153" s="5">
        <v>135893</v>
      </c>
      <c r="AI153" s="28"/>
      <c r="AJ153" s="5">
        <v>19485172</v>
      </c>
      <c r="AK153" s="28"/>
      <c r="AL153" s="5">
        <v>1822130</v>
      </c>
      <c r="AM153" s="5">
        <v>1357899</v>
      </c>
      <c r="AN153" s="5"/>
      <c r="AO153" s="49">
        <v>953460922</v>
      </c>
    </row>
    <row r="154" spans="1:41" ht="10.5" customHeight="1">
      <c r="A154" s="6">
        <f t="shared" si="2"/>
        <v>1994</v>
      </c>
      <c r="B154" s="6" t="s">
        <v>40</v>
      </c>
      <c r="C154" s="4">
        <v>34516</v>
      </c>
      <c r="D154" s="28"/>
      <c r="E154" s="5">
        <v>2952</v>
      </c>
      <c r="F154" s="28"/>
      <c r="G154" s="28"/>
      <c r="H154" s="28"/>
      <c r="I154" s="28"/>
      <c r="J154" s="5">
        <v>2926849</v>
      </c>
      <c r="K154" s="5">
        <v>25827527</v>
      </c>
      <c r="L154" s="28"/>
      <c r="M154" s="28"/>
      <c r="N154" s="5">
        <v>836312</v>
      </c>
      <c r="O154" s="5">
        <v>2748814</v>
      </c>
      <c r="P154" s="14">
        <v>16218811</v>
      </c>
      <c r="Q154" s="28"/>
      <c r="R154" s="5">
        <v>483604003</v>
      </c>
      <c r="S154" s="5">
        <v>8082421</v>
      </c>
      <c r="T154" s="5">
        <v>212310278</v>
      </c>
      <c r="U154" s="5">
        <v>474565</v>
      </c>
      <c r="V154" s="11">
        <v>1229755</v>
      </c>
      <c r="W154" s="5">
        <v>1413650</v>
      </c>
      <c r="X154" s="5">
        <v>924262</v>
      </c>
      <c r="Y154" s="5">
        <v>104933151</v>
      </c>
      <c r="Z154" s="28"/>
      <c r="AA154" s="28"/>
      <c r="AB154" s="5">
        <v>7161995</v>
      </c>
      <c r="AC154" s="5">
        <v>262253</v>
      </c>
      <c r="AD154" s="28"/>
      <c r="AE154" s="28"/>
      <c r="AF154" s="28"/>
      <c r="AG154" s="28"/>
      <c r="AH154" s="5">
        <v>128613</v>
      </c>
      <c r="AI154" s="28"/>
      <c r="AJ154" s="5">
        <v>20695325</v>
      </c>
      <c r="AK154" s="28"/>
      <c r="AL154" s="5">
        <v>161840</v>
      </c>
      <c r="AM154" s="5">
        <v>148117</v>
      </c>
      <c r="AN154" s="5"/>
      <c r="AO154" s="49">
        <v>902460630</v>
      </c>
    </row>
    <row r="155" spans="1:41" ht="10.5" customHeight="1">
      <c r="A155" s="6">
        <f t="shared" si="2"/>
        <v>1994</v>
      </c>
      <c r="B155" s="6" t="s">
        <v>41</v>
      </c>
      <c r="C155" s="4">
        <v>34547</v>
      </c>
      <c r="D155" s="28"/>
      <c r="E155" s="5">
        <v>7888</v>
      </c>
      <c r="F155" s="28"/>
      <c r="G155" s="28"/>
      <c r="H155" s="28"/>
      <c r="I155" s="28"/>
      <c r="J155" s="5">
        <v>2811936</v>
      </c>
      <c r="K155" s="5">
        <v>28121917</v>
      </c>
      <c r="L155" s="28"/>
      <c r="M155" s="28"/>
      <c r="N155" s="5">
        <v>715503</v>
      </c>
      <c r="O155" s="5">
        <v>1318896</v>
      </c>
      <c r="P155" s="14">
        <v>17938455</v>
      </c>
      <c r="Q155" s="28"/>
      <c r="R155" s="5">
        <v>525061300.00000006</v>
      </c>
      <c r="S155" s="5">
        <v>7512190</v>
      </c>
      <c r="T155" s="5">
        <v>236835004</v>
      </c>
      <c r="U155" s="5">
        <v>523724</v>
      </c>
      <c r="V155" s="11">
        <v>1419563</v>
      </c>
      <c r="W155" s="5">
        <v>1525684</v>
      </c>
      <c r="X155" s="5">
        <v>1014782</v>
      </c>
      <c r="Y155" s="5">
        <v>105569884</v>
      </c>
      <c r="Z155" s="28"/>
      <c r="AA155" s="28"/>
      <c r="AB155" s="5">
        <v>9048050</v>
      </c>
      <c r="AC155" s="5">
        <v>187209</v>
      </c>
      <c r="AD155" s="28"/>
      <c r="AE155" s="28"/>
      <c r="AF155" s="28"/>
      <c r="AG155" s="28"/>
      <c r="AH155" s="5">
        <v>94055</v>
      </c>
      <c r="AI155" s="28"/>
      <c r="AJ155" s="5">
        <v>21061386</v>
      </c>
      <c r="AK155" s="28"/>
      <c r="AL155" s="5">
        <v>4040732</v>
      </c>
      <c r="AM155" s="5">
        <v>2657520</v>
      </c>
      <c r="AN155" s="5"/>
      <c r="AO155" s="49">
        <v>981581524</v>
      </c>
    </row>
    <row r="156" spans="1:41" ht="10.5" customHeight="1">
      <c r="A156" s="6">
        <f t="shared" si="2"/>
        <v>1994</v>
      </c>
      <c r="B156" s="6" t="s">
        <v>42</v>
      </c>
      <c r="C156" s="4">
        <v>34578</v>
      </c>
      <c r="D156" s="28"/>
      <c r="E156" s="5">
        <v>29457</v>
      </c>
      <c r="F156" s="28"/>
      <c r="G156" s="28"/>
      <c r="H156" s="28"/>
      <c r="I156" s="28"/>
      <c r="J156" s="5">
        <v>2304007</v>
      </c>
      <c r="K156" s="5">
        <v>29189873</v>
      </c>
      <c r="L156" s="28"/>
      <c r="M156" s="28"/>
      <c r="N156" s="5">
        <v>269373</v>
      </c>
      <c r="O156" s="5">
        <v>23418985</v>
      </c>
      <c r="P156" s="14">
        <v>18984926</v>
      </c>
      <c r="Q156" s="28"/>
      <c r="R156" s="5">
        <v>614710987</v>
      </c>
      <c r="S156" s="5">
        <v>7592811</v>
      </c>
      <c r="T156" s="5">
        <v>260254287</v>
      </c>
      <c r="U156" s="5">
        <v>520870</v>
      </c>
      <c r="V156" s="11">
        <v>1174413</v>
      </c>
      <c r="W156" s="5">
        <v>1540218</v>
      </c>
      <c r="X156" s="5">
        <v>1105000</v>
      </c>
      <c r="Y156" s="5">
        <v>106400572</v>
      </c>
      <c r="Z156" s="28"/>
      <c r="AA156" s="28"/>
      <c r="AB156" s="5">
        <v>7502879</v>
      </c>
      <c r="AC156" s="5">
        <v>544508</v>
      </c>
      <c r="AD156" s="28"/>
      <c r="AE156" s="28"/>
      <c r="AF156" s="28"/>
      <c r="AG156" s="28"/>
      <c r="AH156" s="5">
        <v>124019</v>
      </c>
      <c r="AI156" s="28"/>
      <c r="AJ156" s="5">
        <v>22247602</v>
      </c>
      <c r="AK156" s="28"/>
      <c r="AL156" s="5">
        <v>676883</v>
      </c>
      <c r="AM156" s="5">
        <v>472099</v>
      </c>
      <c r="AN156" s="5"/>
      <c r="AO156" s="49">
        <v>1124106826</v>
      </c>
    </row>
    <row r="157" spans="1:41" ht="10.5" customHeight="1">
      <c r="A157" s="6">
        <f t="shared" si="2"/>
        <v>1994</v>
      </c>
      <c r="B157" s="6" t="s">
        <v>43</v>
      </c>
      <c r="C157" s="4">
        <v>34608</v>
      </c>
      <c r="D157" s="28"/>
      <c r="E157" s="5">
        <v>18814</v>
      </c>
      <c r="F157" s="28"/>
      <c r="G157" s="28"/>
      <c r="H157" s="28"/>
      <c r="I157" s="28"/>
      <c r="J157" s="5">
        <v>1282360</v>
      </c>
      <c r="K157" s="5">
        <v>30341713</v>
      </c>
      <c r="L157" s="28"/>
      <c r="M157" s="28"/>
      <c r="N157" s="5">
        <v>1003726</v>
      </c>
      <c r="O157" s="5">
        <v>35515208</v>
      </c>
      <c r="P157" s="14">
        <v>18364359</v>
      </c>
      <c r="Q157" s="28"/>
      <c r="R157" s="5">
        <v>563840441</v>
      </c>
      <c r="S157" s="5">
        <v>7493348</v>
      </c>
      <c r="T157" s="5">
        <v>289348758</v>
      </c>
      <c r="U157" s="5">
        <v>613811</v>
      </c>
      <c r="V157" s="11">
        <v>1523791</v>
      </c>
      <c r="W157" s="5">
        <v>1753396</v>
      </c>
      <c r="X157" s="5">
        <v>1465506</v>
      </c>
      <c r="Y157" s="5">
        <v>127346894</v>
      </c>
      <c r="Z157" s="28"/>
      <c r="AA157" s="28"/>
      <c r="AB157" s="5">
        <v>7543718</v>
      </c>
      <c r="AC157" s="5">
        <v>602970</v>
      </c>
      <c r="AD157" s="28"/>
      <c r="AE157" s="28"/>
      <c r="AF157" s="28"/>
      <c r="AG157" s="28"/>
      <c r="AH157" s="5">
        <v>389518</v>
      </c>
      <c r="AI157" s="28"/>
      <c r="AJ157" s="5">
        <v>23115078</v>
      </c>
      <c r="AK157" s="28"/>
      <c r="AL157" s="5">
        <v>178284</v>
      </c>
      <c r="AM157" s="5">
        <v>127187</v>
      </c>
      <c r="AN157" s="5"/>
      <c r="AO157" s="49">
        <v>1127029030</v>
      </c>
    </row>
    <row r="158" spans="1:41" ht="10.5" customHeight="1">
      <c r="A158" s="6">
        <f t="shared" si="2"/>
        <v>1994</v>
      </c>
      <c r="B158" s="6" t="s">
        <v>44</v>
      </c>
      <c r="C158" s="4">
        <v>34639</v>
      </c>
      <c r="D158" s="28"/>
      <c r="E158" s="5">
        <v>214927</v>
      </c>
      <c r="F158" s="28"/>
      <c r="G158" s="28"/>
      <c r="H158" s="28"/>
      <c r="I158" s="28"/>
      <c r="J158" s="5">
        <v>3003455</v>
      </c>
      <c r="K158" s="5">
        <v>35308388</v>
      </c>
      <c r="L158" s="28"/>
      <c r="M158" s="28"/>
      <c r="N158" s="5">
        <v>1307131</v>
      </c>
      <c r="O158" s="5">
        <v>5272702</v>
      </c>
      <c r="P158" s="14">
        <v>18985229</v>
      </c>
      <c r="Q158" s="28"/>
      <c r="R158" s="5">
        <v>639393794</v>
      </c>
      <c r="S158" s="5">
        <v>7428957</v>
      </c>
      <c r="T158" s="5">
        <v>273276472</v>
      </c>
      <c r="U158" s="5">
        <v>1572766</v>
      </c>
      <c r="V158" s="11">
        <v>3644646</v>
      </c>
      <c r="W158" s="5">
        <v>1375542</v>
      </c>
      <c r="X158" s="5">
        <v>1477212</v>
      </c>
      <c r="Y158" s="5">
        <v>112642557</v>
      </c>
      <c r="Z158" s="28"/>
      <c r="AA158" s="28"/>
      <c r="AB158" s="5">
        <v>8455427</v>
      </c>
      <c r="AC158" s="5">
        <v>569006</v>
      </c>
      <c r="AD158" s="28"/>
      <c r="AE158" s="28"/>
      <c r="AF158" s="28"/>
      <c r="AG158" s="28"/>
      <c r="AH158" s="5">
        <v>452000</v>
      </c>
      <c r="AI158" s="28"/>
      <c r="AJ158" s="5">
        <v>23198109</v>
      </c>
      <c r="AK158" s="28"/>
      <c r="AL158" s="5">
        <v>310582</v>
      </c>
      <c r="AM158" s="5">
        <v>78331</v>
      </c>
      <c r="AN158" s="5"/>
      <c r="AO158" s="49">
        <v>1153278694</v>
      </c>
    </row>
    <row r="159" spans="1:41" ht="10.5" customHeight="1">
      <c r="A159" s="6">
        <f t="shared" si="2"/>
        <v>1994</v>
      </c>
      <c r="B159" s="6" t="s">
        <v>45</v>
      </c>
      <c r="C159" s="4">
        <v>34669</v>
      </c>
      <c r="D159" s="28"/>
      <c r="E159" s="5">
        <v>60082</v>
      </c>
      <c r="F159" s="28"/>
      <c r="G159" s="28"/>
      <c r="H159" s="28"/>
      <c r="I159" s="28"/>
      <c r="J159" s="5">
        <v>2310187</v>
      </c>
      <c r="K159" s="5">
        <v>42419577</v>
      </c>
      <c r="L159" s="28"/>
      <c r="M159" s="28"/>
      <c r="N159" s="5">
        <v>1066873</v>
      </c>
      <c r="O159" s="5">
        <v>53714021</v>
      </c>
      <c r="P159" s="14">
        <v>26792023</v>
      </c>
      <c r="Q159" s="28"/>
      <c r="R159" s="5">
        <v>645380324</v>
      </c>
      <c r="S159" s="5">
        <v>7404077</v>
      </c>
      <c r="T159" s="5">
        <v>276938308</v>
      </c>
      <c r="U159" s="5">
        <v>938867</v>
      </c>
      <c r="V159" s="11">
        <v>2525728</v>
      </c>
      <c r="W159" s="5">
        <v>1721042</v>
      </c>
      <c r="X159" s="5">
        <v>1451602</v>
      </c>
      <c r="Y159" s="5">
        <v>119434767</v>
      </c>
      <c r="Z159" s="28"/>
      <c r="AA159" s="28"/>
      <c r="AB159" s="5">
        <v>9028736</v>
      </c>
      <c r="AC159" s="5">
        <v>888488</v>
      </c>
      <c r="AD159" s="28"/>
      <c r="AE159" s="28"/>
      <c r="AF159" s="28"/>
      <c r="AG159" s="28"/>
      <c r="AH159" s="5">
        <v>237038</v>
      </c>
      <c r="AI159" s="28"/>
      <c r="AJ159" s="5">
        <v>24196091</v>
      </c>
      <c r="AK159" s="28"/>
      <c r="AL159" s="5">
        <v>10171703</v>
      </c>
      <c r="AM159" s="5">
        <v>962348</v>
      </c>
      <c r="AN159" s="5"/>
      <c r="AO159" s="49">
        <v>1244313406</v>
      </c>
    </row>
    <row r="160" spans="1:41" ht="10.5" customHeight="1">
      <c r="A160" s="6">
        <f t="shared" si="2"/>
        <v>1995</v>
      </c>
      <c r="B160" s="6" t="s">
        <v>34</v>
      </c>
      <c r="C160" s="4">
        <v>34700</v>
      </c>
      <c r="D160" s="28"/>
      <c r="E160" s="5">
        <v>58322</v>
      </c>
      <c r="F160" s="28"/>
      <c r="G160" s="28"/>
      <c r="H160" s="28"/>
      <c r="I160" s="28"/>
      <c r="J160" s="5">
        <v>5381807</v>
      </c>
      <c r="K160" s="5">
        <v>31523620</v>
      </c>
      <c r="L160" s="28"/>
      <c r="M160" s="28"/>
      <c r="N160" s="5">
        <v>1977386</v>
      </c>
      <c r="O160" s="5">
        <v>7246127</v>
      </c>
      <c r="P160" s="14">
        <v>19444438</v>
      </c>
      <c r="Q160" s="28"/>
      <c r="R160" s="5">
        <v>800067889</v>
      </c>
      <c r="S160" s="5">
        <v>5550630</v>
      </c>
      <c r="T160" s="5">
        <v>326593882</v>
      </c>
      <c r="U160" s="5">
        <v>1299288</v>
      </c>
      <c r="V160" s="11">
        <v>2824388</v>
      </c>
      <c r="W160" s="5">
        <v>1338693</v>
      </c>
      <c r="X160" s="5">
        <v>1564390</v>
      </c>
      <c r="Y160" s="5">
        <v>134535979</v>
      </c>
      <c r="Z160" s="28"/>
      <c r="AA160" s="28"/>
      <c r="AB160" s="5">
        <v>9526722</v>
      </c>
      <c r="AC160" s="5">
        <v>170650</v>
      </c>
      <c r="AD160" s="28"/>
      <c r="AE160" s="28"/>
      <c r="AF160" s="28"/>
      <c r="AG160" s="5">
        <v>6203297</v>
      </c>
      <c r="AH160" s="5">
        <v>183197</v>
      </c>
      <c r="AI160" s="28"/>
      <c r="AJ160" s="5">
        <v>25562342</v>
      </c>
      <c r="AK160" s="28"/>
      <c r="AL160" s="5">
        <v>2892161</v>
      </c>
      <c r="AM160" s="5">
        <v>217244</v>
      </c>
      <c r="AN160" s="5"/>
      <c r="AO160" s="49">
        <v>1363058042</v>
      </c>
    </row>
    <row r="161" spans="1:41" ht="10.5" customHeight="1">
      <c r="A161" s="6">
        <f t="shared" si="2"/>
        <v>1995</v>
      </c>
      <c r="B161" s="6" t="s">
        <v>35</v>
      </c>
      <c r="C161" s="4">
        <v>34731</v>
      </c>
      <c r="D161" s="28"/>
      <c r="E161" s="5">
        <v>53900</v>
      </c>
      <c r="F161" s="28"/>
      <c r="G161" s="28"/>
      <c r="H161" s="28"/>
      <c r="I161" s="28"/>
      <c r="J161" s="5">
        <v>1311372</v>
      </c>
      <c r="K161" s="5">
        <v>31528195</v>
      </c>
      <c r="L161" s="28"/>
      <c r="M161" s="28"/>
      <c r="N161" s="5">
        <v>327428</v>
      </c>
      <c r="O161" s="5">
        <v>2361437</v>
      </c>
      <c r="P161" s="14">
        <v>13577954</v>
      </c>
      <c r="Q161" s="28"/>
      <c r="R161" s="5">
        <v>654480726</v>
      </c>
      <c r="S161" s="5">
        <v>10179082</v>
      </c>
      <c r="T161" s="5">
        <v>338461921</v>
      </c>
      <c r="U161" s="5">
        <v>1212919</v>
      </c>
      <c r="V161" s="11">
        <v>2842312</v>
      </c>
      <c r="W161" s="5">
        <v>1554476</v>
      </c>
      <c r="X161" s="5">
        <v>1472282</v>
      </c>
      <c r="Y161" s="5">
        <v>114603008</v>
      </c>
      <c r="Z161" s="28"/>
      <c r="AA161" s="28"/>
      <c r="AB161" s="5">
        <v>8466455</v>
      </c>
      <c r="AC161" s="5">
        <v>48608</v>
      </c>
      <c r="AD161" s="28"/>
      <c r="AE161" s="28"/>
      <c r="AF161" s="28"/>
      <c r="AG161" s="5">
        <v>6575359</v>
      </c>
      <c r="AH161" s="5">
        <v>135332</v>
      </c>
      <c r="AI161" s="28"/>
      <c r="AJ161" s="5">
        <v>25784759</v>
      </c>
      <c r="AK161" s="28"/>
      <c r="AL161" s="5">
        <v>212905</v>
      </c>
      <c r="AM161" s="5">
        <v>93372</v>
      </c>
      <c r="AN161" s="5"/>
      <c r="AO161" s="49">
        <v>1232302794</v>
      </c>
    </row>
    <row r="162" spans="1:41" ht="10.5" customHeight="1">
      <c r="A162" s="6">
        <f t="shared" si="2"/>
        <v>1995</v>
      </c>
      <c r="B162" s="6" t="s">
        <v>36</v>
      </c>
      <c r="C162" s="4">
        <v>34759</v>
      </c>
      <c r="D162" s="28"/>
      <c r="E162" s="5">
        <v>33137</v>
      </c>
      <c r="F162" s="28"/>
      <c r="G162" s="28"/>
      <c r="H162" s="28"/>
      <c r="I162" s="28"/>
      <c r="J162" s="5">
        <v>6537193</v>
      </c>
      <c r="K162" s="9">
        <v>35636361</v>
      </c>
      <c r="L162" s="28"/>
      <c r="M162" s="28"/>
      <c r="N162" s="9">
        <v>526684</v>
      </c>
      <c r="O162" s="9">
        <v>1688583</v>
      </c>
      <c r="P162" s="14">
        <v>21043348</v>
      </c>
      <c r="Q162" s="28"/>
      <c r="R162" s="5">
        <v>733401638</v>
      </c>
      <c r="S162" s="5">
        <v>11175218</v>
      </c>
      <c r="T162" s="5">
        <v>321027216</v>
      </c>
      <c r="U162" s="9">
        <v>1179273</v>
      </c>
      <c r="V162" s="11">
        <v>2574820</v>
      </c>
      <c r="W162" s="5">
        <v>1393932</v>
      </c>
      <c r="X162" s="5">
        <v>1541766</v>
      </c>
      <c r="Y162" s="5">
        <v>118332112</v>
      </c>
      <c r="Z162" s="28"/>
      <c r="AA162" s="28"/>
      <c r="AB162" s="5">
        <v>8547174</v>
      </c>
      <c r="AC162" s="5">
        <v>435474</v>
      </c>
      <c r="AD162" s="28"/>
      <c r="AE162" s="28"/>
      <c r="AF162" s="28"/>
      <c r="AG162" s="5">
        <v>3808693</v>
      </c>
      <c r="AH162" s="5">
        <v>730116</v>
      </c>
      <c r="AI162" s="28"/>
      <c r="AJ162" s="9">
        <v>26147871</v>
      </c>
      <c r="AK162" s="28"/>
      <c r="AL162" s="5">
        <v>251375</v>
      </c>
      <c r="AM162" s="5">
        <v>103421</v>
      </c>
      <c r="AN162" s="5"/>
      <c r="AO162" s="49">
        <v>1319593416</v>
      </c>
    </row>
    <row r="163" spans="1:41" ht="10.5" customHeight="1">
      <c r="A163" s="6">
        <f t="shared" si="2"/>
        <v>1995</v>
      </c>
      <c r="B163" s="6" t="s">
        <v>37</v>
      </c>
      <c r="C163" s="4">
        <v>34790</v>
      </c>
      <c r="D163" s="28"/>
      <c r="E163" s="5">
        <v>27507</v>
      </c>
      <c r="F163" s="28"/>
      <c r="G163" s="28"/>
      <c r="H163" s="28"/>
      <c r="I163" s="28"/>
      <c r="J163" s="5">
        <v>14424100</v>
      </c>
      <c r="K163" s="5">
        <v>84903750</v>
      </c>
      <c r="L163" s="28"/>
      <c r="M163" s="28"/>
      <c r="N163" s="5">
        <v>358118</v>
      </c>
      <c r="O163" s="5">
        <v>899253</v>
      </c>
      <c r="P163" s="14">
        <v>17881475</v>
      </c>
      <c r="Q163" s="28"/>
      <c r="R163" s="5">
        <v>666273974</v>
      </c>
      <c r="S163" s="5">
        <v>10868153</v>
      </c>
      <c r="T163" s="5">
        <v>323380614</v>
      </c>
      <c r="U163" s="5">
        <v>880009</v>
      </c>
      <c r="V163" s="11">
        <v>2023075</v>
      </c>
      <c r="W163" s="5">
        <v>2037521</v>
      </c>
      <c r="X163" s="5">
        <v>1759930</v>
      </c>
      <c r="Y163" s="5">
        <v>234560720</v>
      </c>
      <c r="Z163" s="28"/>
      <c r="AA163" s="28"/>
      <c r="AB163" s="5">
        <v>9745054</v>
      </c>
      <c r="AC163" s="5">
        <v>195974</v>
      </c>
      <c r="AD163" s="28"/>
      <c r="AE163" s="28"/>
      <c r="AF163" s="28"/>
      <c r="AG163" s="5">
        <v>8157333</v>
      </c>
      <c r="AH163" s="5">
        <v>301475</v>
      </c>
      <c r="AI163" s="28"/>
      <c r="AJ163" s="5">
        <v>24713805</v>
      </c>
      <c r="AK163" s="28"/>
      <c r="AL163" s="5">
        <v>245447</v>
      </c>
      <c r="AM163" s="5">
        <v>65297</v>
      </c>
      <c r="AN163" s="5"/>
      <c r="AO163" s="49">
        <v>1425668306</v>
      </c>
    </row>
    <row r="164" spans="1:41" ht="10.5" customHeight="1">
      <c r="A164" s="6">
        <f t="shared" si="2"/>
        <v>1995</v>
      </c>
      <c r="B164" s="6" t="s">
        <v>73</v>
      </c>
      <c r="C164" s="4">
        <v>34820</v>
      </c>
      <c r="D164" s="28"/>
      <c r="E164" s="5">
        <v>33364</v>
      </c>
      <c r="F164" s="28"/>
      <c r="G164" s="28"/>
      <c r="H164" s="28"/>
      <c r="I164" s="28"/>
      <c r="J164" s="5">
        <v>5288835</v>
      </c>
      <c r="K164" s="9">
        <v>53448282</v>
      </c>
      <c r="L164" s="28"/>
      <c r="M164" s="28"/>
      <c r="N164" s="9">
        <v>814759</v>
      </c>
      <c r="O164" s="9">
        <v>32978453</v>
      </c>
      <c r="P164" s="14">
        <v>23453654</v>
      </c>
      <c r="Q164" s="28"/>
      <c r="R164" s="5">
        <v>788878505</v>
      </c>
      <c r="S164" s="5">
        <v>10827610</v>
      </c>
      <c r="T164" s="5">
        <v>325235719</v>
      </c>
      <c r="U164" s="9">
        <v>986512</v>
      </c>
      <c r="V164" s="11">
        <v>2207872</v>
      </c>
      <c r="W164" s="5">
        <v>1665535</v>
      </c>
      <c r="X164" s="5">
        <v>1658882</v>
      </c>
      <c r="Y164" s="5">
        <v>149381703</v>
      </c>
      <c r="Z164" s="28"/>
      <c r="AA164" s="28"/>
      <c r="AB164" s="5">
        <v>9049452</v>
      </c>
      <c r="AC164" s="5">
        <v>430009</v>
      </c>
      <c r="AD164" s="28"/>
      <c r="AE164" s="28"/>
      <c r="AF164" s="28"/>
      <c r="AG164" s="5">
        <v>5739327</v>
      </c>
      <c r="AH164" s="5">
        <v>215022</v>
      </c>
      <c r="AI164" s="28"/>
      <c r="AJ164" s="9">
        <v>25440571</v>
      </c>
      <c r="AK164" s="28"/>
      <c r="AL164" s="5">
        <v>632276</v>
      </c>
      <c r="AM164" s="5">
        <v>93280</v>
      </c>
      <c r="AN164" s="5"/>
      <c r="AO164" s="49">
        <v>1455815313</v>
      </c>
    </row>
    <row r="165" spans="1:41" ht="10.5" customHeight="1">
      <c r="A165" s="6">
        <f t="shared" si="2"/>
        <v>1995</v>
      </c>
      <c r="B165" s="6" t="s">
        <v>39</v>
      </c>
      <c r="C165" s="4">
        <v>34851</v>
      </c>
      <c r="D165" s="28"/>
      <c r="E165" s="5">
        <v>51815</v>
      </c>
      <c r="F165" s="28"/>
      <c r="G165" s="28"/>
      <c r="H165" s="28"/>
      <c r="I165" s="28"/>
      <c r="J165" s="5">
        <v>3239211</v>
      </c>
      <c r="K165" s="9">
        <v>41269349</v>
      </c>
      <c r="L165" s="28"/>
      <c r="M165" s="28"/>
      <c r="N165" s="9">
        <v>547083</v>
      </c>
      <c r="O165" s="9">
        <v>30486244</v>
      </c>
      <c r="P165" s="14">
        <v>23752567</v>
      </c>
      <c r="Q165" s="28"/>
      <c r="R165" s="5">
        <v>798083814</v>
      </c>
      <c r="S165" s="5">
        <v>11038834</v>
      </c>
      <c r="T165" s="5">
        <v>277813859</v>
      </c>
      <c r="U165" s="9">
        <v>817861</v>
      </c>
      <c r="V165" s="11">
        <v>2175995</v>
      </c>
      <c r="W165" s="5">
        <v>2064772</v>
      </c>
      <c r="X165" s="5">
        <v>1619675</v>
      </c>
      <c r="Y165" s="5">
        <v>155868424</v>
      </c>
      <c r="Z165" s="28"/>
      <c r="AA165" s="28"/>
      <c r="AB165" s="5">
        <v>9678433</v>
      </c>
      <c r="AC165" s="5">
        <v>517309</v>
      </c>
      <c r="AD165" s="28"/>
      <c r="AE165" s="28"/>
      <c r="AF165" s="28"/>
      <c r="AG165" s="5">
        <v>9075714</v>
      </c>
      <c r="AH165" s="5">
        <v>258903</v>
      </c>
      <c r="AI165" s="28"/>
      <c r="AJ165" s="9">
        <v>30730117</v>
      </c>
      <c r="AK165" s="28"/>
      <c r="AL165" s="5">
        <v>195507</v>
      </c>
      <c r="AM165" s="5">
        <v>105183</v>
      </c>
      <c r="AN165" s="5"/>
      <c r="AO165" s="49">
        <v>1411937868</v>
      </c>
    </row>
    <row r="166" spans="1:41" ht="10.5" customHeight="1">
      <c r="A166" s="6">
        <f t="shared" si="2"/>
        <v>1995</v>
      </c>
      <c r="B166" s="6" t="s">
        <v>40</v>
      </c>
      <c r="C166" s="4">
        <v>34881</v>
      </c>
      <c r="D166" s="28"/>
      <c r="E166" s="5">
        <v>25070</v>
      </c>
      <c r="F166" s="28"/>
      <c r="G166" s="28"/>
      <c r="H166" s="28"/>
      <c r="I166" s="28"/>
      <c r="J166" s="5">
        <v>2900450</v>
      </c>
      <c r="K166" s="9">
        <v>36895898</v>
      </c>
      <c r="L166" s="28"/>
      <c r="M166" s="28"/>
      <c r="N166" s="9">
        <v>2052866</v>
      </c>
      <c r="O166" s="9">
        <v>3236080</v>
      </c>
      <c r="P166" s="14">
        <v>23814492</v>
      </c>
      <c r="Q166" s="28"/>
      <c r="R166" s="5">
        <v>847368049</v>
      </c>
      <c r="S166" s="5">
        <v>10731631</v>
      </c>
      <c r="T166" s="5">
        <v>358301897</v>
      </c>
      <c r="U166" s="9">
        <v>818103</v>
      </c>
      <c r="V166" s="11">
        <v>1896420</v>
      </c>
      <c r="W166" s="5">
        <v>3099831</v>
      </c>
      <c r="X166" s="5">
        <v>1502482</v>
      </c>
      <c r="Y166" s="5">
        <v>167568842</v>
      </c>
      <c r="Z166" s="28"/>
      <c r="AA166" s="28"/>
      <c r="AB166" s="5">
        <v>9914529</v>
      </c>
      <c r="AC166" s="5">
        <v>377431</v>
      </c>
      <c r="AD166" s="28"/>
      <c r="AE166" s="28"/>
      <c r="AF166" s="28"/>
      <c r="AG166" s="5">
        <v>7766316</v>
      </c>
      <c r="AH166" s="5">
        <v>199060</v>
      </c>
      <c r="AI166" s="28"/>
      <c r="AJ166" s="9">
        <v>32757946</v>
      </c>
      <c r="AK166" s="28"/>
      <c r="AL166" s="5">
        <v>3987192</v>
      </c>
      <c r="AM166" s="5">
        <v>974326</v>
      </c>
      <c r="AN166" s="5"/>
      <c r="AO166" s="49">
        <v>1556519140</v>
      </c>
    </row>
    <row r="167" spans="1:41" ht="10.5" customHeight="1">
      <c r="A167" s="6">
        <f t="shared" si="2"/>
        <v>1995</v>
      </c>
      <c r="B167" s="6" t="s">
        <v>41</v>
      </c>
      <c r="C167" s="4">
        <v>34912</v>
      </c>
      <c r="D167" s="28"/>
      <c r="E167" s="5">
        <v>12090</v>
      </c>
      <c r="F167" s="28"/>
      <c r="G167" s="28"/>
      <c r="H167" s="28"/>
      <c r="I167" s="28"/>
      <c r="J167" s="5">
        <v>5003877</v>
      </c>
      <c r="K167" s="9">
        <v>37579731</v>
      </c>
      <c r="L167" s="28"/>
      <c r="M167" s="28"/>
      <c r="N167" s="9">
        <v>366251</v>
      </c>
      <c r="O167" s="9">
        <v>2578654</v>
      </c>
      <c r="P167" s="14">
        <v>21592485</v>
      </c>
      <c r="Q167" s="28"/>
      <c r="R167" s="5">
        <v>722943618</v>
      </c>
      <c r="S167" s="5">
        <v>10489397</v>
      </c>
      <c r="T167" s="5">
        <v>287487318</v>
      </c>
      <c r="U167" s="9">
        <v>890391</v>
      </c>
      <c r="V167" s="11">
        <v>2208371</v>
      </c>
      <c r="W167" s="5">
        <v>1282026</v>
      </c>
      <c r="X167" s="5">
        <v>1329558</v>
      </c>
      <c r="Y167" s="5">
        <v>155239380</v>
      </c>
      <c r="Z167" s="28"/>
      <c r="AA167" s="28"/>
      <c r="AB167" s="5">
        <v>6702793</v>
      </c>
      <c r="AC167" s="5">
        <v>323292</v>
      </c>
      <c r="AD167" s="28"/>
      <c r="AE167" s="28"/>
      <c r="AF167" s="28"/>
      <c r="AG167" s="5">
        <v>7781493</v>
      </c>
      <c r="AH167" s="5">
        <v>104005</v>
      </c>
      <c r="AI167" s="28"/>
      <c r="AJ167" s="9">
        <v>30303748</v>
      </c>
      <c r="AK167" s="28"/>
      <c r="AL167" s="5">
        <v>4405834</v>
      </c>
      <c r="AM167" s="5">
        <v>703418</v>
      </c>
      <c r="AN167" s="5"/>
      <c r="AO167" s="49">
        <v>1315288467</v>
      </c>
    </row>
    <row r="168" spans="1:41" ht="10.5" customHeight="1">
      <c r="A168" s="6">
        <f t="shared" si="2"/>
        <v>1995</v>
      </c>
      <c r="B168" s="6" t="s">
        <v>42</v>
      </c>
      <c r="C168" s="4">
        <v>34943</v>
      </c>
      <c r="D168" s="28"/>
      <c r="E168" s="5">
        <v>26375</v>
      </c>
      <c r="F168" s="28"/>
      <c r="G168" s="28"/>
      <c r="H168" s="28"/>
      <c r="I168" s="28"/>
      <c r="J168" s="5">
        <v>3824162</v>
      </c>
      <c r="K168" s="9">
        <v>48154787</v>
      </c>
      <c r="L168" s="28"/>
      <c r="M168" s="28"/>
      <c r="N168" s="9">
        <v>1215162</v>
      </c>
      <c r="O168" s="9">
        <v>30719280</v>
      </c>
      <c r="P168" s="14">
        <v>21031779</v>
      </c>
      <c r="Q168" s="28"/>
      <c r="R168" s="5">
        <v>912520290</v>
      </c>
      <c r="S168" s="5">
        <v>12182529</v>
      </c>
      <c r="T168" s="5">
        <v>268120511</v>
      </c>
      <c r="U168" s="9">
        <v>961156</v>
      </c>
      <c r="V168" s="11">
        <v>2395896</v>
      </c>
      <c r="W168" s="5">
        <v>3351933</v>
      </c>
      <c r="X168" s="5">
        <v>2005276</v>
      </c>
      <c r="Y168" s="5">
        <v>193268990</v>
      </c>
      <c r="Z168" s="28"/>
      <c r="AA168" s="28"/>
      <c r="AB168" s="5">
        <v>11126311</v>
      </c>
      <c r="AC168" s="5">
        <v>482614</v>
      </c>
      <c r="AD168" s="28"/>
      <c r="AE168" s="28"/>
      <c r="AF168" s="28"/>
      <c r="AG168" s="5">
        <v>10606436</v>
      </c>
      <c r="AH168" s="5">
        <v>239475</v>
      </c>
      <c r="AI168" s="28"/>
      <c r="AJ168" s="9">
        <v>38365040</v>
      </c>
      <c r="AK168" s="28"/>
      <c r="AL168" s="5">
        <v>2799420</v>
      </c>
      <c r="AM168" s="5">
        <v>636325</v>
      </c>
      <c r="AN168" s="5"/>
      <c r="AO168" s="49">
        <v>1580816205</v>
      </c>
    </row>
    <row r="169" spans="1:41" ht="10.5" customHeight="1">
      <c r="A169" s="6">
        <f t="shared" si="2"/>
        <v>1995</v>
      </c>
      <c r="B169" s="6" t="s">
        <v>43</v>
      </c>
      <c r="C169" s="4">
        <v>34973</v>
      </c>
      <c r="D169" s="28"/>
      <c r="E169" s="5">
        <v>12572</v>
      </c>
      <c r="F169" s="28"/>
      <c r="G169" s="28"/>
      <c r="H169" s="28"/>
      <c r="I169" s="28"/>
      <c r="J169" s="5">
        <v>2288617</v>
      </c>
      <c r="K169" s="9">
        <v>47656013</v>
      </c>
      <c r="L169" s="28"/>
      <c r="M169" s="28"/>
      <c r="N169" s="9">
        <v>673779</v>
      </c>
      <c r="O169" s="9">
        <v>48378172</v>
      </c>
      <c r="P169" s="14">
        <v>27889998</v>
      </c>
      <c r="Q169" s="28"/>
      <c r="R169" s="5">
        <v>845263469</v>
      </c>
      <c r="S169" s="5">
        <v>11927866</v>
      </c>
      <c r="T169" s="5">
        <v>285853396</v>
      </c>
      <c r="U169" s="9">
        <v>666257</v>
      </c>
      <c r="V169" s="11">
        <v>1614389</v>
      </c>
      <c r="W169" s="5">
        <v>2433236</v>
      </c>
      <c r="X169" s="5">
        <v>1996418</v>
      </c>
      <c r="Y169" s="5">
        <v>211724121</v>
      </c>
      <c r="Z169" s="28"/>
      <c r="AA169" s="28"/>
      <c r="AB169" s="5">
        <v>9139231</v>
      </c>
      <c r="AC169" s="5">
        <v>260089</v>
      </c>
      <c r="AD169" s="28"/>
      <c r="AE169" s="28"/>
      <c r="AF169" s="28"/>
      <c r="AG169" s="5">
        <v>9453385</v>
      </c>
      <c r="AH169" s="5">
        <v>193386</v>
      </c>
      <c r="AI169" s="28"/>
      <c r="AJ169" s="9">
        <v>34739302</v>
      </c>
      <c r="AK169" s="28"/>
      <c r="AL169" s="5">
        <v>459342</v>
      </c>
      <c r="AM169" s="5">
        <v>169271</v>
      </c>
      <c r="AN169" s="5"/>
      <c r="AO169" s="49">
        <v>1555530282</v>
      </c>
    </row>
    <row r="170" spans="1:41" ht="10.5" customHeight="1">
      <c r="A170" s="6">
        <f t="shared" si="2"/>
        <v>1995</v>
      </c>
      <c r="B170" s="6" t="s">
        <v>44</v>
      </c>
      <c r="C170" s="4">
        <v>35004</v>
      </c>
      <c r="D170" s="28"/>
      <c r="E170" s="5">
        <v>349985</v>
      </c>
      <c r="F170" s="28"/>
      <c r="G170" s="28"/>
      <c r="H170" s="28"/>
      <c r="I170" s="28"/>
      <c r="J170" s="9">
        <v>4350669</v>
      </c>
      <c r="K170" s="9">
        <v>41330404</v>
      </c>
      <c r="L170" s="28"/>
      <c r="M170" s="28"/>
      <c r="N170" s="9">
        <v>495799</v>
      </c>
      <c r="O170" s="9">
        <v>9080559</v>
      </c>
      <c r="P170" s="14">
        <v>28018340</v>
      </c>
      <c r="Q170" s="28"/>
      <c r="R170" s="5">
        <v>939953560</v>
      </c>
      <c r="S170" s="5">
        <v>11037339</v>
      </c>
      <c r="T170" s="9">
        <v>323100245</v>
      </c>
      <c r="U170" s="9">
        <v>2006097</v>
      </c>
      <c r="V170" s="11">
        <v>4286823</v>
      </c>
      <c r="W170" s="5">
        <v>2653117</v>
      </c>
      <c r="X170" s="5">
        <v>1624936</v>
      </c>
      <c r="Y170" s="9">
        <v>185371566</v>
      </c>
      <c r="Z170" s="28"/>
      <c r="AA170" s="28"/>
      <c r="AB170" s="5">
        <v>9819582</v>
      </c>
      <c r="AC170" s="5">
        <v>324739</v>
      </c>
      <c r="AD170" s="28"/>
      <c r="AE170" s="28"/>
      <c r="AF170" s="28"/>
      <c r="AG170" s="5">
        <v>9149642</v>
      </c>
      <c r="AH170" s="5">
        <v>258631</v>
      </c>
      <c r="AI170" s="28"/>
      <c r="AJ170" s="9">
        <v>34848731</v>
      </c>
      <c r="AK170" s="28"/>
      <c r="AL170" s="5">
        <v>191710</v>
      </c>
      <c r="AM170" s="5">
        <v>52782</v>
      </c>
      <c r="AN170" s="5"/>
      <c r="AO170" s="49">
        <v>1624411959</v>
      </c>
    </row>
    <row r="171" spans="1:41" ht="10.5" customHeight="1">
      <c r="A171" s="6">
        <f t="shared" si="2"/>
        <v>1995</v>
      </c>
      <c r="B171" s="6" t="s">
        <v>45</v>
      </c>
      <c r="C171" s="4">
        <v>35034</v>
      </c>
      <c r="D171" s="28"/>
      <c r="E171" s="5">
        <v>33687</v>
      </c>
      <c r="F171" s="28"/>
      <c r="G171" s="28"/>
      <c r="H171" s="28"/>
      <c r="I171" s="28"/>
      <c r="J171" s="9">
        <v>3268696</v>
      </c>
      <c r="K171" s="9">
        <v>45739799</v>
      </c>
      <c r="L171" s="28"/>
      <c r="M171" s="28"/>
      <c r="N171" s="9">
        <v>778067</v>
      </c>
      <c r="O171" s="9">
        <v>75417646</v>
      </c>
      <c r="P171" s="14">
        <v>29217132</v>
      </c>
      <c r="Q171" s="28"/>
      <c r="R171" s="5">
        <v>894228657</v>
      </c>
      <c r="S171" s="5">
        <v>10496914</v>
      </c>
      <c r="T171" s="9">
        <v>337352771</v>
      </c>
      <c r="U171" s="9">
        <v>786525</v>
      </c>
      <c r="V171" s="11">
        <v>2082971</v>
      </c>
      <c r="W171" s="5">
        <v>3410440</v>
      </c>
      <c r="X171" s="5">
        <v>1707410</v>
      </c>
      <c r="Y171" s="9">
        <v>185633130</v>
      </c>
      <c r="Z171" s="28"/>
      <c r="AA171" s="28"/>
      <c r="AB171" s="5">
        <v>10349985</v>
      </c>
      <c r="AC171" s="5">
        <v>396152</v>
      </c>
      <c r="AD171" s="28"/>
      <c r="AE171" s="28"/>
      <c r="AF171" s="28"/>
      <c r="AG171" s="5">
        <v>8241952</v>
      </c>
      <c r="AH171" s="5">
        <v>271060</v>
      </c>
      <c r="AI171" s="28"/>
      <c r="AJ171" s="9">
        <v>36242713</v>
      </c>
      <c r="AK171" s="28"/>
      <c r="AL171" s="5">
        <v>24447316</v>
      </c>
      <c r="AM171" s="5">
        <v>12573662</v>
      </c>
      <c r="AN171" s="5"/>
      <c r="AO171" s="49">
        <v>1696786815</v>
      </c>
    </row>
    <row r="172" spans="1:41" ht="10.5" customHeight="1">
      <c r="A172" s="6">
        <f t="shared" si="2"/>
        <v>1996</v>
      </c>
      <c r="B172" s="6" t="s">
        <v>34</v>
      </c>
      <c r="C172" s="4">
        <v>35065</v>
      </c>
      <c r="D172" s="28"/>
      <c r="E172" s="5">
        <v>55093</v>
      </c>
      <c r="F172" s="28"/>
      <c r="G172" s="28"/>
      <c r="H172" s="28"/>
      <c r="I172" s="28"/>
      <c r="J172" s="9">
        <v>4053706</v>
      </c>
      <c r="K172" s="5">
        <v>46561517</v>
      </c>
      <c r="L172" s="28"/>
      <c r="M172" s="28"/>
      <c r="N172" s="5">
        <v>2576020</v>
      </c>
      <c r="O172" s="5">
        <v>10901407</v>
      </c>
      <c r="P172" s="14">
        <v>26777979</v>
      </c>
      <c r="Q172" s="28"/>
      <c r="R172" s="5">
        <v>1022131462</v>
      </c>
      <c r="S172" s="5">
        <v>11438027</v>
      </c>
      <c r="T172" s="9">
        <v>391551972</v>
      </c>
      <c r="U172" s="5">
        <v>1782064</v>
      </c>
      <c r="V172" s="11">
        <v>3394858</v>
      </c>
      <c r="W172" s="5">
        <v>3136522</v>
      </c>
      <c r="X172" s="5">
        <v>1978394</v>
      </c>
      <c r="Y172" s="9">
        <v>221924070</v>
      </c>
      <c r="Z172" s="28"/>
      <c r="AA172" s="28"/>
      <c r="AB172" s="5">
        <v>10984779</v>
      </c>
      <c r="AC172" s="5">
        <v>35604</v>
      </c>
      <c r="AD172" s="28"/>
      <c r="AE172" s="28"/>
      <c r="AF172" s="28"/>
      <c r="AG172" s="5">
        <v>8023041</v>
      </c>
      <c r="AH172" s="5">
        <v>194673</v>
      </c>
      <c r="AI172" s="28"/>
      <c r="AJ172" s="5">
        <v>38688810</v>
      </c>
      <c r="AK172" s="28"/>
      <c r="AL172" s="5">
        <v>3338068</v>
      </c>
      <c r="AM172" s="5">
        <v>5762692</v>
      </c>
      <c r="AN172" s="5"/>
      <c r="AO172" s="49">
        <v>1828220201</v>
      </c>
    </row>
    <row r="173" spans="1:41" ht="10.5" customHeight="1">
      <c r="A173" s="6">
        <f t="shared" si="2"/>
        <v>1996</v>
      </c>
      <c r="B173" s="6" t="s">
        <v>35</v>
      </c>
      <c r="C173" s="4">
        <v>35096</v>
      </c>
      <c r="D173" s="28"/>
      <c r="E173" s="5">
        <v>105883</v>
      </c>
      <c r="F173" s="28"/>
      <c r="G173" s="28"/>
      <c r="H173" s="28"/>
      <c r="I173" s="28"/>
      <c r="J173" s="9">
        <v>2915745</v>
      </c>
      <c r="K173" s="5">
        <v>50711347</v>
      </c>
      <c r="L173" s="28"/>
      <c r="M173" s="28"/>
      <c r="N173" s="5">
        <v>740650</v>
      </c>
      <c r="O173" s="5">
        <v>2760228</v>
      </c>
      <c r="P173" s="14">
        <v>19111912</v>
      </c>
      <c r="Q173" s="28"/>
      <c r="R173" s="5">
        <v>885643845</v>
      </c>
      <c r="S173" s="5">
        <v>15788556</v>
      </c>
      <c r="T173" s="9">
        <v>369081995</v>
      </c>
      <c r="U173" s="5">
        <v>1825118</v>
      </c>
      <c r="V173" s="11">
        <v>4612598</v>
      </c>
      <c r="W173" s="5">
        <v>2970672</v>
      </c>
      <c r="X173" s="5">
        <v>1805530</v>
      </c>
      <c r="Y173" s="9">
        <v>195330582</v>
      </c>
      <c r="Z173" s="28"/>
      <c r="AA173" s="28"/>
      <c r="AB173" s="5">
        <v>10093215</v>
      </c>
      <c r="AC173" s="5">
        <v>56111</v>
      </c>
      <c r="AD173" s="28"/>
      <c r="AE173" s="28"/>
      <c r="AF173" s="28"/>
      <c r="AG173" s="5">
        <v>10025551</v>
      </c>
      <c r="AH173" s="5">
        <v>138883</v>
      </c>
      <c r="AI173" s="28"/>
      <c r="AJ173" s="5">
        <v>39965072</v>
      </c>
      <c r="AK173" s="28"/>
      <c r="AL173" s="5">
        <v>1374677</v>
      </c>
      <c r="AM173" s="5">
        <v>5783663</v>
      </c>
      <c r="AN173" s="5"/>
      <c r="AO173" s="49">
        <v>1633915216</v>
      </c>
    </row>
    <row r="174" spans="1:41" ht="10.5" customHeight="1">
      <c r="A174" s="6">
        <f t="shared" si="2"/>
        <v>1996</v>
      </c>
      <c r="B174" s="6" t="s">
        <v>36</v>
      </c>
      <c r="C174" s="4">
        <v>35125</v>
      </c>
      <c r="D174" s="28"/>
      <c r="E174" s="5">
        <v>8922722</v>
      </c>
      <c r="F174" s="28"/>
      <c r="G174" s="28"/>
      <c r="H174" s="28"/>
      <c r="I174" s="28"/>
      <c r="J174" s="9">
        <v>9922180</v>
      </c>
      <c r="K174" s="5">
        <v>73729141</v>
      </c>
      <c r="L174" s="28"/>
      <c r="M174" s="28"/>
      <c r="N174" s="5">
        <v>302163</v>
      </c>
      <c r="O174" s="5">
        <v>2017324</v>
      </c>
      <c r="P174" s="14">
        <v>25410048</v>
      </c>
      <c r="Q174" s="28"/>
      <c r="R174" s="5">
        <v>1035830748</v>
      </c>
      <c r="S174" s="5">
        <v>16803943</v>
      </c>
      <c r="T174" s="9">
        <v>406805655</v>
      </c>
      <c r="U174" s="5">
        <v>1777838</v>
      </c>
      <c r="V174" s="11">
        <v>4760507</v>
      </c>
      <c r="W174" s="5">
        <v>4419127</v>
      </c>
      <c r="X174" s="5">
        <v>2050498</v>
      </c>
      <c r="Y174" s="9">
        <v>269004458</v>
      </c>
      <c r="Z174" s="28"/>
      <c r="AA174" s="28"/>
      <c r="AB174" s="5">
        <v>9994821</v>
      </c>
      <c r="AC174" s="5">
        <v>564310</v>
      </c>
      <c r="AD174" s="28"/>
      <c r="AE174" s="28"/>
      <c r="AF174" s="28"/>
      <c r="AG174" s="5">
        <v>8099581</v>
      </c>
      <c r="AH174" s="5">
        <v>233378</v>
      </c>
      <c r="AI174" s="28"/>
      <c r="AJ174" s="5">
        <v>48033480</v>
      </c>
      <c r="AK174" s="28"/>
      <c r="AL174" s="5">
        <v>1637743</v>
      </c>
      <c r="AM174" s="5">
        <v>1301506</v>
      </c>
      <c r="AN174" s="5"/>
      <c r="AO174" s="49">
        <v>1946706129</v>
      </c>
    </row>
    <row r="175" spans="1:41" ht="10.5" customHeight="1">
      <c r="A175" s="6">
        <f t="shared" si="2"/>
        <v>1996</v>
      </c>
      <c r="B175" s="6" t="s">
        <v>37</v>
      </c>
      <c r="C175" s="4">
        <v>35156</v>
      </c>
      <c r="D175" s="28"/>
      <c r="E175" s="5">
        <v>13833078</v>
      </c>
      <c r="F175" s="28"/>
      <c r="G175" s="28"/>
      <c r="H175" s="28"/>
      <c r="I175" s="28"/>
      <c r="J175" s="9">
        <v>22662817</v>
      </c>
      <c r="K175" s="5">
        <v>146221515</v>
      </c>
      <c r="L175" s="28"/>
      <c r="M175" s="28"/>
      <c r="N175" s="5">
        <v>907229</v>
      </c>
      <c r="O175" s="5">
        <v>3060137</v>
      </c>
      <c r="P175" s="14">
        <v>19591124</v>
      </c>
      <c r="Q175" s="28"/>
      <c r="R175" s="5">
        <v>980772689</v>
      </c>
      <c r="S175" s="9">
        <v>16827241</v>
      </c>
      <c r="T175" s="9">
        <v>366209266</v>
      </c>
      <c r="U175" s="5">
        <v>1690642</v>
      </c>
      <c r="V175" s="11">
        <v>5402140</v>
      </c>
      <c r="W175" s="5">
        <v>3591665</v>
      </c>
      <c r="X175" s="5">
        <v>1933916</v>
      </c>
      <c r="Y175" s="9">
        <v>426083093</v>
      </c>
      <c r="Z175" s="28"/>
      <c r="AA175" s="28"/>
      <c r="AB175" s="9">
        <v>11300271</v>
      </c>
      <c r="AC175" s="5">
        <v>513030</v>
      </c>
      <c r="AD175" s="28"/>
      <c r="AE175" s="28"/>
      <c r="AF175" s="28"/>
      <c r="AG175" s="5">
        <v>10384878</v>
      </c>
      <c r="AH175" s="5">
        <v>280025</v>
      </c>
      <c r="AI175" s="28"/>
      <c r="AJ175" s="5">
        <v>47892106</v>
      </c>
      <c r="AK175" s="28"/>
      <c r="AL175" s="5">
        <v>466388</v>
      </c>
      <c r="AM175" s="5">
        <v>822517</v>
      </c>
      <c r="AN175" s="5"/>
      <c r="AO175" s="49">
        <v>2095919288</v>
      </c>
    </row>
    <row r="176" spans="1:41" ht="10.5" customHeight="1">
      <c r="A176" s="6">
        <f t="shared" si="2"/>
        <v>1996</v>
      </c>
      <c r="B176" s="6" t="s">
        <v>73</v>
      </c>
      <c r="C176" s="4">
        <v>35186</v>
      </c>
      <c r="D176" s="28"/>
      <c r="E176" s="5">
        <v>13856315</v>
      </c>
      <c r="F176" s="28"/>
      <c r="G176" s="28"/>
      <c r="H176" s="28"/>
      <c r="I176" s="28"/>
      <c r="J176" s="9">
        <v>7022028</v>
      </c>
      <c r="K176" s="5">
        <v>91362282</v>
      </c>
      <c r="L176" s="28"/>
      <c r="M176" s="28"/>
      <c r="N176" s="5">
        <v>538123</v>
      </c>
      <c r="O176" s="5">
        <v>1609559</v>
      </c>
      <c r="P176" s="14">
        <v>27544613</v>
      </c>
      <c r="Q176" s="28"/>
      <c r="R176" s="5">
        <v>1057197367.0000001</v>
      </c>
      <c r="S176" s="5">
        <v>16786705</v>
      </c>
      <c r="T176" s="9">
        <v>353445217</v>
      </c>
      <c r="U176" s="5">
        <v>1832455</v>
      </c>
      <c r="V176" s="11">
        <v>3339697</v>
      </c>
      <c r="W176" s="5">
        <v>2897302</v>
      </c>
      <c r="X176" s="5">
        <v>1924570</v>
      </c>
      <c r="Y176" s="9">
        <v>217836525</v>
      </c>
      <c r="Z176" s="28"/>
      <c r="AA176" s="28"/>
      <c r="AB176" s="5">
        <v>10497597</v>
      </c>
      <c r="AC176" s="5">
        <v>1180119</v>
      </c>
      <c r="AD176" s="28"/>
      <c r="AE176" s="28"/>
      <c r="AF176" s="28"/>
      <c r="AG176" s="5">
        <v>6445106</v>
      </c>
      <c r="AH176" s="5">
        <v>217674</v>
      </c>
      <c r="AI176" s="28"/>
      <c r="AJ176" s="5">
        <v>49828769</v>
      </c>
      <c r="AK176" s="28"/>
      <c r="AL176" s="5">
        <v>544939</v>
      </c>
      <c r="AM176" s="5">
        <v>265668</v>
      </c>
      <c r="AN176" s="5"/>
      <c r="AO176" s="49">
        <v>1881466462</v>
      </c>
    </row>
    <row r="177" spans="1:41" ht="10.5" customHeight="1">
      <c r="A177" s="6">
        <f t="shared" si="2"/>
        <v>1996</v>
      </c>
      <c r="B177" s="6" t="s">
        <v>39</v>
      </c>
      <c r="C177" s="4">
        <v>35217</v>
      </c>
      <c r="D177" s="28"/>
      <c r="E177" s="5">
        <v>15853992</v>
      </c>
      <c r="F177" s="28"/>
      <c r="G177" s="28"/>
      <c r="H177" s="28"/>
      <c r="I177" s="28"/>
      <c r="J177" s="9">
        <v>7673125</v>
      </c>
      <c r="K177" s="5">
        <v>67555703</v>
      </c>
      <c r="L177" s="28"/>
      <c r="M177" s="28"/>
      <c r="N177" s="5">
        <v>242884</v>
      </c>
      <c r="O177" s="5">
        <v>47914642</v>
      </c>
      <c r="P177" s="14">
        <v>25063790</v>
      </c>
      <c r="Q177" s="28"/>
      <c r="R177" s="5">
        <v>998543537</v>
      </c>
      <c r="S177" s="9">
        <v>16470448</v>
      </c>
      <c r="T177" s="9">
        <v>390037469</v>
      </c>
      <c r="U177" s="5">
        <v>1581816</v>
      </c>
      <c r="V177" s="11">
        <v>3863504</v>
      </c>
      <c r="W177" s="5">
        <v>3723819</v>
      </c>
      <c r="X177" s="5">
        <v>2061454</v>
      </c>
      <c r="Y177" s="9">
        <v>222297880</v>
      </c>
      <c r="Z177" s="28"/>
      <c r="AA177" s="28"/>
      <c r="AB177" s="9">
        <v>11871343</v>
      </c>
      <c r="AC177" s="5">
        <v>922997</v>
      </c>
      <c r="AD177" s="28"/>
      <c r="AE177" s="28"/>
      <c r="AF177" s="28"/>
      <c r="AG177" s="5">
        <v>11923326</v>
      </c>
      <c r="AH177" s="5">
        <v>260306</v>
      </c>
      <c r="AI177" s="28"/>
      <c r="AJ177" s="5">
        <v>51342890</v>
      </c>
      <c r="AK177" s="28"/>
      <c r="AL177" s="5">
        <v>410249</v>
      </c>
      <c r="AM177" s="5">
        <v>352411</v>
      </c>
      <c r="AN177" s="5"/>
      <c r="AO177" s="49">
        <v>1897357122</v>
      </c>
    </row>
    <row r="178" spans="1:41" ht="10.5" customHeight="1">
      <c r="A178" s="6">
        <f t="shared" si="2"/>
        <v>1996</v>
      </c>
      <c r="B178" s="6" t="s">
        <v>40</v>
      </c>
      <c r="C178" s="4">
        <v>35247</v>
      </c>
      <c r="D178" s="28"/>
      <c r="E178" s="5">
        <v>18029256</v>
      </c>
      <c r="F178" s="28"/>
      <c r="G178" s="28"/>
      <c r="H178" s="28"/>
      <c r="I178" s="28"/>
      <c r="J178" s="9">
        <v>4711258</v>
      </c>
      <c r="K178" s="5">
        <v>66838593</v>
      </c>
      <c r="L178" s="28"/>
      <c r="M178" s="28"/>
      <c r="N178" s="5">
        <v>557459</v>
      </c>
      <c r="O178" s="5">
        <v>8084915</v>
      </c>
      <c r="P178" s="14">
        <v>30644946</v>
      </c>
      <c r="Q178" s="28"/>
      <c r="R178" s="5">
        <v>1157914339</v>
      </c>
      <c r="S178" s="9">
        <v>17397403</v>
      </c>
      <c r="T178" s="9">
        <v>389239363</v>
      </c>
      <c r="U178" s="5">
        <v>2065359</v>
      </c>
      <c r="V178" s="11">
        <v>3970476</v>
      </c>
      <c r="W178" s="5">
        <v>3353364</v>
      </c>
      <c r="X178" s="5">
        <v>2053246</v>
      </c>
      <c r="Y178" s="9">
        <v>234088177</v>
      </c>
      <c r="Z178" s="28"/>
      <c r="AA178" s="28"/>
      <c r="AB178" s="9">
        <v>11144214</v>
      </c>
      <c r="AC178" s="5">
        <v>609848</v>
      </c>
      <c r="AD178" s="28"/>
      <c r="AE178" s="28"/>
      <c r="AF178" s="28"/>
      <c r="AG178" s="5">
        <v>11563171</v>
      </c>
      <c r="AH178" s="5">
        <v>213894</v>
      </c>
      <c r="AI178" s="28"/>
      <c r="AJ178" s="5">
        <v>53194911</v>
      </c>
      <c r="AK178" s="28"/>
      <c r="AL178" s="5">
        <v>636816</v>
      </c>
      <c r="AM178" s="5">
        <v>207111</v>
      </c>
      <c r="AN178" s="5"/>
      <c r="AO178" s="49">
        <v>2032592161</v>
      </c>
    </row>
    <row r="179" spans="1:41" ht="10.5" customHeight="1">
      <c r="A179" s="6">
        <f t="shared" si="2"/>
        <v>1996</v>
      </c>
      <c r="B179" s="6" t="s">
        <v>41</v>
      </c>
      <c r="C179" s="4">
        <v>35278</v>
      </c>
      <c r="D179" s="28"/>
      <c r="E179" s="5">
        <v>17349861</v>
      </c>
      <c r="F179" s="28"/>
      <c r="G179" s="28"/>
      <c r="H179" s="28"/>
      <c r="I179" s="28"/>
      <c r="J179" s="9">
        <v>2354451</v>
      </c>
      <c r="K179" s="5">
        <v>63113124</v>
      </c>
      <c r="L179" s="28"/>
      <c r="M179" s="28"/>
      <c r="N179" s="5">
        <v>543083</v>
      </c>
      <c r="O179" s="5">
        <v>2841280</v>
      </c>
      <c r="P179" s="14">
        <v>31100910</v>
      </c>
      <c r="Q179" s="28"/>
      <c r="R179" s="5">
        <v>1040216602</v>
      </c>
      <c r="S179" s="9">
        <v>16709621</v>
      </c>
      <c r="T179" s="9">
        <v>375114948</v>
      </c>
      <c r="U179" s="5">
        <v>1137853</v>
      </c>
      <c r="V179" s="11">
        <v>3190580</v>
      </c>
      <c r="W179" s="5">
        <v>3669667</v>
      </c>
      <c r="X179" s="5">
        <v>1960912</v>
      </c>
      <c r="Y179" s="9">
        <v>247817064</v>
      </c>
      <c r="Z179" s="28"/>
      <c r="AA179" s="28"/>
      <c r="AB179" s="9">
        <v>11618106</v>
      </c>
      <c r="AC179" s="5">
        <v>1096542</v>
      </c>
      <c r="AD179" s="28"/>
      <c r="AE179" s="28"/>
      <c r="AF179" s="28"/>
      <c r="AG179" s="5">
        <v>11360387</v>
      </c>
      <c r="AH179" s="5">
        <v>169030</v>
      </c>
      <c r="AI179" s="28"/>
      <c r="AJ179" s="5">
        <v>55466009</v>
      </c>
      <c r="AK179" s="28"/>
      <c r="AL179" s="5">
        <v>379973</v>
      </c>
      <c r="AM179" s="5">
        <v>188118</v>
      </c>
      <c r="AN179" s="5"/>
      <c r="AO179" s="49">
        <v>1902024314</v>
      </c>
    </row>
    <row r="180" spans="1:41" ht="10.5" customHeight="1">
      <c r="A180" s="6">
        <f t="shared" si="2"/>
        <v>1996</v>
      </c>
      <c r="B180" s="6" t="s">
        <v>42</v>
      </c>
      <c r="C180" s="4">
        <v>35309</v>
      </c>
      <c r="D180" s="28"/>
      <c r="E180" s="5">
        <v>14517726</v>
      </c>
      <c r="F180" s="28"/>
      <c r="G180" s="28"/>
      <c r="H180" s="28"/>
      <c r="I180" s="28"/>
      <c r="J180" s="9">
        <v>6836644</v>
      </c>
      <c r="K180" s="5">
        <v>67032940</v>
      </c>
      <c r="L180" s="5">
        <v>5019</v>
      </c>
      <c r="M180" s="5"/>
      <c r="N180" s="5">
        <v>1037094</v>
      </c>
      <c r="O180" s="5">
        <v>6874922</v>
      </c>
      <c r="P180" s="14">
        <v>30986772</v>
      </c>
      <c r="Q180" s="28"/>
      <c r="R180" s="5">
        <v>1245490013</v>
      </c>
      <c r="S180" s="9">
        <v>16742186</v>
      </c>
      <c r="T180" s="9">
        <v>469377900</v>
      </c>
      <c r="U180" s="5">
        <v>1002494</v>
      </c>
      <c r="V180" s="11">
        <v>3397065</v>
      </c>
      <c r="W180" s="5">
        <v>4215186</v>
      </c>
      <c r="X180" s="5">
        <v>2032056</v>
      </c>
      <c r="Y180" s="9">
        <v>249868016</v>
      </c>
      <c r="Z180" s="28"/>
      <c r="AA180" s="28"/>
      <c r="AB180" s="9">
        <v>12578822</v>
      </c>
      <c r="AC180" s="5">
        <v>1024551</v>
      </c>
      <c r="AD180" s="28"/>
      <c r="AE180" s="28"/>
      <c r="AF180" s="28"/>
      <c r="AG180" s="5">
        <v>12514266</v>
      </c>
      <c r="AH180" s="5">
        <v>193200</v>
      </c>
      <c r="AI180" s="28"/>
      <c r="AJ180" s="5">
        <v>57100157</v>
      </c>
      <c r="AK180" s="28"/>
      <c r="AL180" s="5">
        <v>275845</v>
      </c>
      <c r="AM180" s="5">
        <v>96399</v>
      </c>
      <c r="AN180" s="5"/>
      <c r="AO180" s="49">
        <v>2216718971</v>
      </c>
    </row>
    <row r="181" spans="1:41" ht="10.5" customHeight="1">
      <c r="A181" s="6">
        <f t="shared" si="2"/>
        <v>1996</v>
      </c>
      <c r="B181" s="6" t="s">
        <v>43</v>
      </c>
      <c r="C181" s="4">
        <v>35339</v>
      </c>
      <c r="D181" s="28"/>
      <c r="E181" s="5">
        <v>18951734</v>
      </c>
      <c r="F181" s="28"/>
      <c r="G181" s="28"/>
      <c r="H181" s="28"/>
      <c r="I181" s="28"/>
      <c r="J181" s="9">
        <v>4210668</v>
      </c>
      <c r="K181" s="5">
        <v>73369880</v>
      </c>
      <c r="L181" s="5">
        <v>42337402</v>
      </c>
      <c r="M181" s="5"/>
      <c r="N181" s="5">
        <v>924602</v>
      </c>
      <c r="O181" s="5">
        <v>41439853</v>
      </c>
      <c r="P181" s="14">
        <v>32246712</v>
      </c>
      <c r="Q181" s="28"/>
      <c r="R181" s="5">
        <v>1166639575</v>
      </c>
      <c r="S181" s="9">
        <v>16410891</v>
      </c>
      <c r="T181" s="9">
        <v>493438217</v>
      </c>
      <c r="U181" s="5">
        <v>1211417</v>
      </c>
      <c r="V181" s="11">
        <v>4065726</v>
      </c>
      <c r="W181" s="5">
        <v>3741603</v>
      </c>
      <c r="X181" s="5">
        <v>1923598</v>
      </c>
      <c r="Y181" s="9">
        <v>230392555</v>
      </c>
      <c r="Z181" s="28"/>
      <c r="AA181" s="28"/>
      <c r="AB181" s="9">
        <v>12674348</v>
      </c>
      <c r="AC181" s="5">
        <v>891865</v>
      </c>
      <c r="AD181" s="28"/>
      <c r="AE181" s="28"/>
      <c r="AF181" s="28"/>
      <c r="AG181" s="5">
        <v>7745441</v>
      </c>
      <c r="AH181" s="5">
        <v>217059</v>
      </c>
      <c r="AI181" s="28"/>
      <c r="AJ181" s="5">
        <v>57955608</v>
      </c>
      <c r="AK181" s="28"/>
      <c r="AL181" s="5">
        <v>299456</v>
      </c>
      <c r="AM181" s="5">
        <v>121143</v>
      </c>
      <c r="AN181" s="5"/>
      <c r="AO181" s="49">
        <v>2230485615</v>
      </c>
    </row>
    <row r="182" spans="1:41" ht="10.5" customHeight="1">
      <c r="A182" s="6">
        <f t="shared" si="2"/>
        <v>1996</v>
      </c>
      <c r="B182" s="6" t="s">
        <v>44</v>
      </c>
      <c r="C182" s="4">
        <v>35370</v>
      </c>
      <c r="D182" s="28"/>
      <c r="E182" s="5">
        <v>41217820</v>
      </c>
      <c r="F182" s="28"/>
      <c r="G182" s="28"/>
      <c r="H182" s="28"/>
      <c r="I182" s="28"/>
      <c r="J182" s="9">
        <v>7111034</v>
      </c>
      <c r="K182" s="5">
        <v>60165837</v>
      </c>
      <c r="L182" s="5">
        <v>3934748</v>
      </c>
      <c r="M182" s="5"/>
      <c r="N182" s="5">
        <v>1209799</v>
      </c>
      <c r="O182" s="5">
        <v>5711483</v>
      </c>
      <c r="P182" s="14">
        <v>32388458</v>
      </c>
      <c r="Q182" s="28"/>
      <c r="R182" s="5">
        <v>1202130536</v>
      </c>
      <c r="S182" s="9">
        <v>17014292</v>
      </c>
      <c r="T182" s="9">
        <v>445318365</v>
      </c>
      <c r="U182" s="5">
        <v>3873661</v>
      </c>
      <c r="V182" s="11">
        <v>4166953</v>
      </c>
      <c r="W182" s="5">
        <v>4141903</v>
      </c>
      <c r="X182" s="5">
        <v>12121649</v>
      </c>
      <c r="Y182" s="9">
        <v>222157121</v>
      </c>
      <c r="Z182" s="28"/>
      <c r="AA182" s="28"/>
      <c r="AB182" s="9">
        <v>13482907</v>
      </c>
      <c r="AC182" s="5">
        <v>1018578</v>
      </c>
      <c r="AD182" s="28"/>
      <c r="AE182" s="28"/>
      <c r="AF182" s="28"/>
      <c r="AG182" s="5">
        <v>11685554</v>
      </c>
      <c r="AH182" s="5">
        <v>313905</v>
      </c>
      <c r="AI182" s="28"/>
      <c r="AJ182" s="5">
        <v>59446160</v>
      </c>
      <c r="AK182" s="28"/>
      <c r="AL182" s="5">
        <v>149693</v>
      </c>
      <c r="AM182" s="5">
        <v>39089</v>
      </c>
      <c r="AN182" s="5"/>
      <c r="AO182" s="49">
        <v>2163009231</v>
      </c>
    </row>
    <row r="183" spans="1:41" ht="10.5" customHeight="1">
      <c r="A183" s="6">
        <f t="shared" si="2"/>
        <v>1996</v>
      </c>
      <c r="B183" s="6" t="s">
        <v>45</v>
      </c>
      <c r="C183" s="4">
        <v>35400</v>
      </c>
      <c r="D183" s="28"/>
      <c r="E183" s="5">
        <v>22300830</v>
      </c>
      <c r="F183" s="28"/>
      <c r="G183" s="28"/>
      <c r="H183" s="28"/>
      <c r="I183" s="28"/>
      <c r="J183" s="9">
        <v>5495492</v>
      </c>
      <c r="K183" s="5">
        <v>68450096</v>
      </c>
      <c r="L183" s="5">
        <v>38687888</v>
      </c>
      <c r="M183" s="5"/>
      <c r="N183" s="5">
        <v>2047684</v>
      </c>
      <c r="O183" s="5">
        <v>46431156</v>
      </c>
      <c r="P183" s="14">
        <v>42505931</v>
      </c>
      <c r="Q183" s="28"/>
      <c r="R183" s="5">
        <v>1254590733</v>
      </c>
      <c r="S183" s="9">
        <v>16808602</v>
      </c>
      <c r="T183" s="9">
        <v>495135823</v>
      </c>
      <c r="U183" s="5">
        <v>1588906</v>
      </c>
      <c r="V183" s="11">
        <v>3895442</v>
      </c>
      <c r="W183" s="5">
        <v>4344874</v>
      </c>
      <c r="X183" s="5">
        <v>1967685</v>
      </c>
      <c r="Y183" s="9">
        <v>231689262</v>
      </c>
      <c r="Z183" s="28"/>
      <c r="AA183" s="28"/>
      <c r="AB183" s="9">
        <v>14030416</v>
      </c>
      <c r="AC183" s="5">
        <v>1869715</v>
      </c>
      <c r="AD183" s="28"/>
      <c r="AE183" s="28"/>
      <c r="AF183" s="28"/>
      <c r="AG183" s="5">
        <v>12956851</v>
      </c>
      <c r="AH183" s="5">
        <v>341989</v>
      </c>
      <c r="AI183" s="28"/>
      <c r="AJ183" s="5">
        <v>61248005</v>
      </c>
      <c r="AK183" s="28"/>
      <c r="AL183" s="5">
        <v>183310</v>
      </c>
      <c r="AM183" s="5">
        <v>85180</v>
      </c>
      <c r="AN183" s="5"/>
      <c r="AO183" s="49">
        <v>2343457393</v>
      </c>
    </row>
    <row r="184" spans="1:41" ht="10.5" customHeight="1">
      <c r="A184" s="6">
        <f t="shared" si="2"/>
        <v>1997</v>
      </c>
      <c r="B184" s="6" t="s">
        <v>34</v>
      </c>
      <c r="C184" s="4">
        <v>35431</v>
      </c>
      <c r="D184" s="28"/>
      <c r="E184" s="5">
        <v>26893898</v>
      </c>
      <c r="F184" s="28"/>
      <c r="G184" s="28"/>
      <c r="H184" s="28"/>
      <c r="I184" s="28"/>
      <c r="J184" s="9">
        <v>4027157</v>
      </c>
      <c r="K184" s="5">
        <v>55878906</v>
      </c>
      <c r="L184" s="5">
        <v>4005148</v>
      </c>
      <c r="M184" s="5"/>
      <c r="N184" s="5">
        <v>3770515</v>
      </c>
      <c r="O184" s="5">
        <v>3729521</v>
      </c>
      <c r="P184" s="14">
        <v>29505181</v>
      </c>
      <c r="Q184" s="28"/>
      <c r="R184" s="5">
        <v>1425504010</v>
      </c>
      <c r="S184" s="9">
        <v>15494571</v>
      </c>
      <c r="T184" s="9">
        <v>597598261</v>
      </c>
      <c r="U184" s="5">
        <v>2995545</v>
      </c>
      <c r="V184" s="11">
        <v>4825191</v>
      </c>
      <c r="W184" s="5">
        <v>4074536</v>
      </c>
      <c r="X184" s="5">
        <v>2241651</v>
      </c>
      <c r="Y184" s="9">
        <v>276412997</v>
      </c>
      <c r="Z184" s="28"/>
      <c r="AA184" s="28"/>
      <c r="AB184" s="9">
        <v>14762398</v>
      </c>
      <c r="AC184" s="5">
        <v>256598</v>
      </c>
      <c r="AD184" s="28"/>
      <c r="AE184" s="28"/>
      <c r="AF184" s="28"/>
      <c r="AG184" s="5">
        <v>12380724</v>
      </c>
      <c r="AH184" s="5">
        <v>276408</v>
      </c>
      <c r="AI184" s="28"/>
      <c r="AJ184" s="5">
        <v>64501979</v>
      </c>
      <c r="AK184" s="28"/>
      <c r="AL184" s="5">
        <v>290473</v>
      </c>
      <c r="AM184" s="5">
        <v>46221</v>
      </c>
      <c r="AN184" s="5"/>
      <c r="AO184" s="49">
        <v>2563027163</v>
      </c>
    </row>
    <row r="185" spans="1:41" ht="10.5" customHeight="1">
      <c r="A185" s="6">
        <f t="shared" si="2"/>
        <v>1997</v>
      </c>
      <c r="B185" s="6" t="s">
        <v>35</v>
      </c>
      <c r="C185" s="4">
        <v>35462</v>
      </c>
      <c r="D185" s="28"/>
      <c r="E185" s="5">
        <v>27420937</v>
      </c>
      <c r="F185" s="28"/>
      <c r="G185" s="28"/>
      <c r="H185" s="28"/>
      <c r="I185" s="28"/>
      <c r="J185" s="9">
        <v>3236188</v>
      </c>
      <c r="K185" s="5">
        <v>82516687</v>
      </c>
      <c r="L185" s="5">
        <v>709749</v>
      </c>
      <c r="M185" s="5"/>
      <c r="N185" s="5">
        <v>206802</v>
      </c>
      <c r="O185" s="5">
        <v>2295181</v>
      </c>
      <c r="P185" s="14">
        <v>21124797</v>
      </c>
      <c r="Q185" s="28"/>
      <c r="R185" s="5">
        <v>1266340775</v>
      </c>
      <c r="S185" s="5">
        <v>22317364</v>
      </c>
      <c r="T185" s="9">
        <v>578420739</v>
      </c>
      <c r="U185" s="5">
        <v>2262776</v>
      </c>
      <c r="V185" s="11">
        <v>4775691</v>
      </c>
      <c r="W185" s="5">
        <v>3744343</v>
      </c>
      <c r="X185" s="5">
        <v>2187308</v>
      </c>
      <c r="Y185" s="9">
        <v>207455891</v>
      </c>
      <c r="Z185" s="28"/>
      <c r="AA185" s="28"/>
      <c r="AB185" s="5">
        <v>13391935</v>
      </c>
      <c r="AC185" s="5">
        <v>77020</v>
      </c>
      <c r="AD185" s="28"/>
      <c r="AE185" s="28"/>
      <c r="AF185" s="28"/>
      <c r="AG185" s="5">
        <v>11078170</v>
      </c>
      <c r="AH185" s="5">
        <v>194862</v>
      </c>
      <c r="AI185" s="28"/>
      <c r="AJ185" s="5">
        <v>65621909</v>
      </c>
      <c r="AK185" s="28"/>
      <c r="AL185" s="5">
        <v>38519</v>
      </c>
      <c r="AM185" s="5">
        <v>47181</v>
      </c>
      <c r="AN185" s="5"/>
      <c r="AO185" s="49">
        <v>2328579680</v>
      </c>
    </row>
    <row r="186" spans="1:41" ht="10.5" customHeight="1">
      <c r="A186" s="6">
        <f t="shared" si="2"/>
        <v>1997</v>
      </c>
      <c r="B186" s="6" t="s">
        <v>36</v>
      </c>
      <c r="C186" s="4">
        <v>35490</v>
      </c>
      <c r="D186" s="28"/>
      <c r="E186" s="5">
        <v>24473316</v>
      </c>
      <c r="F186" s="28"/>
      <c r="G186" s="28"/>
      <c r="H186" s="28"/>
      <c r="I186" s="28"/>
      <c r="J186" s="9">
        <v>13360671</v>
      </c>
      <c r="K186" s="5">
        <v>55264945</v>
      </c>
      <c r="L186" s="5">
        <v>350023</v>
      </c>
      <c r="M186" s="5"/>
      <c r="N186" s="5">
        <v>36256</v>
      </c>
      <c r="O186" s="5">
        <v>1390166</v>
      </c>
      <c r="P186" s="14">
        <v>26310042</v>
      </c>
      <c r="Q186" s="28"/>
      <c r="R186" s="5">
        <v>1250228515</v>
      </c>
      <c r="S186" s="5">
        <v>20965194</v>
      </c>
      <c r="T186" s="9">
        <v>547363677</v>
      </c>
      <c r="U186" s="5">
        <v>2076672</v>
      </c>
      <c r="V186" s="11">
        <v>5492524</v>
      </c>
      <c r="W186" s="5">
        <v>5801145</v>
      </c>
      <c r="X186" s="5">
        <v>1906169</v>
      </c>
      <c r="Y186" s="9">
        <v>258212408</v>
      </c>
      <c r="Z186" s="28"/>
      <c r="AA186" s="28"/>
      <c r="AB186" s="5">
        <v>12816249</v>
      </c>
      <c r="AC186" s="5">
        <v>337805</v>
      </c>
      <c r="AD186" s="28"/>
      <c r="AE186" s="28"/>
      <c r="AF186" s="28"/>
      <c r="AG186" s="5">
        <v>10618331</v>
      </c>
      <c r="AH186" s="5">
        <v>225016</v>
      </c>
      <c r="AI186" s="28"/>
      <c r="AJ186" s="5">
        <v>72418503</v>
      </c>
      <c r="AK186" s="28"/>
      <c r="AL186" s="5">
        <v>122467</v>
      </c>
      <c r="AM186" s="5">
        <v>75083</v>
      </c>
      <c r="AN186" s="5"/>
      <c r="AO186" s="49">
        <v>2325054768</v>
      </c>
    </row>
    <row r="187" spans="1:41" ht="10.5" customHeight="1">
      <c r="A187" s="6">
        <f t="shared" si="2"/>
        <v>1997</v>
      </c>
      <c r="B187" s="6" t="s">
        <v>37</v>
      </c>
      <c r="C187" s="4">
        <v>35521</v>
      </c>
      <c r="D187" s="28"/>
      <c r="E187" s="5">
        <v>25541099</v>
      </c>
      <c r="F187" s="28"/>
      <c r="G187" s="28"/>
      <c r="H187" s="28"/>
      <c r="I187" s="28"/>
      <c r="J187" s="9">
        <v>24652928</v>
      </c>
      <c r="K187" s="5">
        <v>525360533</v>
      </c>
      <c r="L187" s="5">
        <v>530965</v>
      </c>
      <c r="M187" s="5"/>
      <c r="N187" s="5">
        <v>225403</v>
      </c>
      <c r="O187" s="5">
        <v>1651555</v>
      </c>
      <c r="P187" s="14">
        <v>33946226</v>
      </c>
      <c r="Q187" s="28"/>
      <c r="R187" s="5">
        <v>1376676139</v>
      </c>
      <c r="S187" s="5">
        <v>19915995</v>
      </c>
      <c r="T187" s="9">
        <v>495525760</v>
      </c>
      <c r="U187" s="5">
        <v>1571529</v>
      </c>
      <c r="V187" s="11">
        <v>4155084</v>
      </c>
      <c r="W187" s="5">
        <v>3442771</v>
      </c>
      <c r="X187" s="5">
        <v>1889666</v>
      </c>
      <c r="Y187" s="9">
        <v>459680070</v>
      </c>
      <c r="Z187" s="28"/>
      <c r="AA187" s="28"/>
      <c r="AB187" s="5">
        <v>13369136</v>
      </c>
      <c r="AC187" s="5">
        <v>364763</v>
      </c>
      <c r="AD187" s="28"/>
      <c r="AE187" s="28"/>
      <c r="AF187" s="28"/>
      <c r="AG187" s="5">
        <v>9515473</v>
      </c>
      <c r="AH187" s="5">
        <v>284896</v>
      </c>
      <c r="AI187" s="28"/>
      <c r="AJ187" s="5">
        <v>71369744</v>
      </c>
      <c r="AK187" s="28"/>
      <c r="AL187" s="5">
        <v>173478</v>
      </c>
      <c r="AM187" s="5">
        <v>22912</v>
      </c>
      <c r="AN187" s="5"/>
      <c r="AO187" s="49">
        <v>3084629867</v>
      </c>
    </row>
    <row r="188" spans="1:41" ht="10.5" customHeight="1">
      <c r="A188" s="6">
        <f t="shared" si="2"/>
        <v>1997</v>
      </c>
      <c r="B188" s="6" t="s">
        <v>73</v>
      </c>
      <c r="C188" s="4">
        <v>35551</v>
      </c>
      <c r="D188" s="28"/>
      <c r="E188" s="5">
        <v>23048700</v>
      </c>
      <c r="F188" s="28"/>
      <c r="G188" s="28"/>
      <c r="H188" s="28"/>
      <c r="I188" s="28"/>
      <c r="J188" s="9">
        <v>10805980</v>
      </c>
      <c r="K188" s="5">
        <v>103361681</v>
      </c>
      <c r="L188" s="5">
        <v>562216</v>
      </c>
      <c r="M188" s="5"/>
      <c r="N188" s="5">
        <v>336513</v>
      </c>
      <c r="O188" s="5">
        <v>1292124</v>
      </c>
      <c r="P188" s="14">
        <v>34656596</v>
      </c>
      <c r="Q188" s="28"/>
      <c r="R188" s="5">
        <v>1389806773</v>
      </c>
      <c r="S188" s="5">
        <v>22679665</v>
      </c>
      <c r="T188" s="9">
        <v>477388799</v>
      </c>
      <c r="U188" s="5">
        <v>1725556</v>
      </c>
      <c r="V188" s="11">
        <v>3974656</v>
      </c>
      <c r="W188" s="5">
        <v>5570178</v>
      </c>
      <c r="X188" s="5">
        <v>2052658</v>
      </c>
      <c r="Y188" s="9">
        <v>283611257</v>
      </c>
      <c r="Z188" s="28"/>
      <c r="AA188" s="28"/>
      <c r="AB188" s="5">
        <v>15255942</v>
      </c>
      <c r="AC188" s="5">
        <v>1040277</v>
      </c>
      <c r="AD188" s="28"/>
      <c r="AE188" s="28"/>
      <c r="AF188" s="28"/>
      <c r="AG188" s="5">
        <v>14033390</v>
      </c>
      <c r="AH188" s="5">
        <v>390086</v>
      </c>
      <c r="AI188" s="28"/>
      <c r="AJ188" s="5">
        <v>73116662</v>
      </c>
      <c r="AK188" s="28"/>
      <c r="AL188" s="5">
        <v>72725</v>
      </c>
      <c r="AM188" s="5">
        <v>97598</v>
      </c>
      <c r="AN188" s="5"/>
      <c r="AO188" s="49">
        <v>2483224161</v>
      </c>
    </row>
    <row r="189" spans="1:41" ht="10.5" customHeight="1">
      <c r="A189" s="6">
        <f t="shared" si="2"/>
        <v>1997</v>
      </c>
      <c r="B189" s="6" t="s">
        <v>39</v>
      </c>
      <c r="C189" s="4">
        <v>35582</v>
      </c>
      <c r="D189" s="28"/>
      <c r="E189" s="5">
        <v>22172494</v>
      </c>
      <c r="F189" s="28"/>
      <c r="G189" s="28"/>
      <c r="H189" s="28"/>
      <c r="I189" s="28"/>
      <c r="J189" s="9">
        <v>7040356</v>
      </c>
      <c r="K189" s="5">
        <v>105619057</v>
      </c>
      <c r="L189" s="5">
        <v>22023436</v>
      </c>
      <c r="M189" s="5"/>
      <c r="N189" s="5">
        <v>379452</v>
      </c>
      <c r="O189" s="5">
        <v>23550326</v>
      </c>
      <c r="P189" s="14">
        <v>37995805</v>
      </c>
      <c r="Q189" s="28"/>
      <c r="R189" s="5">
        <v>1243955331</v>
      </c>
      <c r="S189" s="5">
        <v>20598221</v>
      </c>
      <c r="T189" s="9">
        <v>483220412</v>
      </c>
      <c r="U189" s="5">
        <v>1748187</v>
      </c>
      <c r="V189" s="11">
        <v>3988810</v>
      </c>
      <c r="W189" s="5">
        <v>4730511</v>
      </c>
      <c r="X189" s="5">
        <v>1965006</v>
      </c>
      <c r="Y189" s="9">
        <v>271766959</v>
      </c>
      <c r="Z189" s="28"/>
      <c r="AA189" s="28"/>
      <c r="AB189" s="5">
        <v>15657517</v>
      </c>
      <c r="AC189" s="5">
        <v>1152073</v>
      </c>
      <c r="AD189" s="28"/>
      <c r="AE189" s="28"/>
      <c r="AF189" s="28"/>
      <c r="AG189" s="5">
        <v>16273743</v>
      </c>
      <c r="AH189" s="5">
        <v>308110</v>
      </c>
      <c r="AI189" s="28"/>
      <c r="AJ189" s="5">
        <v>72774612</v>
      </c>
      <c r="AK189" s="28"/>
      <c r="AL189" s="5">
        <v>1091851</v>
      </c>
      <c r="AM189" s="5">
        <v>163886</v>
      </c>
      <c r="AN189" s="5"/>
      <c r="AO189" s="49">
        <v>2376491706</v>
      </c>
    </row>
    <row r="190" spans="1:41" ht="10.5" customHeight="1">
      <c r="A190" s="6">
        <f t="shared" si="2"/>
        <v>1997</v>
      </c>
      <c r="B190" s="6" t="s">
        <v>40</v>
      </c>
      <c r="C190" s="4">
        <v>35612</v>
      </c>
      <c r="D190" s="28"/>
      <c r="E190" s="5">
        <v>24510256</v>
      </c>
      <c r="F190" s="28"/>
      <c r="G190" s="28"/>
      <c r="H190" s="28"/>
      <c r="I190" s="28"/>
      <c r="J190" s="9">
        <v>6080419</v>
      </c>
      <c r="K190" s="5">
        <v>105626496</v>
      </c>
      <c r="L190" s="5">
        <v>3500124</v>
      </c>
      <c r="M190" s="5"/>
      <c r="N190" s="5">
        <v>356403</v>
      </c>
      <c r="O190" s="5">
        <v>6431425</v>
      </c>
      <c r="P190" s="14">
        <v>36050076</v>
      </c>
      <c r="Q190" s="28"/>
      <c r="R190" s="5">
        <v>1449289921</v>
      </c>
      <c r="S190" s="5">
        <v>21687577</v>
      </c>
      <c r="T190" s="9">
        <v>513794388</v>
      </c>
      <c r="U190" s="5">
        <v>1837298</v>
      </c>
      <c r="V190" s="11">
        <v>4568604</v>
      </c>
      <c r="W190" s="5">
        <v>4484050</v>
      </c>
      <c r="X190" s="5">
        <v>2581661</v>
      </c>
      <c r="Y190" s="9">
        <v>289000327</v>
      </c>
      <c r="Z190" s="28"/>
      <c r="AA190" s="28"/>
      <c r="AB190" s="5">
        <v>15370871</v>
      </c>
      <c r="AC190" s="5">
        <v>1016466</v>
      </c>
      <c r="AD190" s="28"/>
      <c r="AE190" s="28"/>
      <c r="AF190" s="28"/>
      <c r="AG190" s="5">
        <v>14644404</v>
      </c>
      <c r="AH190" s="5">
        <v>307489</v>
      </c>
      <c r="AI190" s="28"/>
      <c r="AJ190" s="5">
        <v>74487902</v>
      </c>
      <c r="AK190" s="28"/>
      <c r="AL190" s="5">
        <v>306519</v>
      </c>
      <c r="AM190" s="5">
        <v>58195</v>
      </c>
      <c r="AN190" s="5"/>
      <c r="AO190" s="49">
        <v>2592993243</v>
      </c>
    </row>
    <row r="191" spans="1:41" ht="10.5" customHeight="1">
      <c r="A191" s="6">
        <f t="shared" si="2"/>
        <v>1997</v>
      </c>
      <c r="B191" s="6" t="s">
        <v>41</v>
      </c>
      <c r="C191" s="4">
        <v>35643</v>
      </c>
      <c r="D191" s="28"/>
      <c r="E191" s="5">
        <v>23041919</v>
      </c>
      <c r="F191" s="28"/>
      <c r="G191" s="28"/>
      <c r="H191" s="28"/>
      <c r="I191" s="28"/>
      <c r="J191" s="9">
        <v>3575848</v>
      </c>
      <c r="K191" s="5">
        <v>104400094</v>
      </c>
      <c r="L191" s="5">
        <v>1138754</v>
      </c>
      <c r="M191" s="5"/>
      <c r="N191" s="5">
        <v>507382</v>
      </c>
      <c r="O191" s="5">
        <v>1380718</v>
      </c>
      <c r="P191" s="14">
        <v>35428227</v>
      </c>
      <c r="Q191" s="28"/>
      <c r="R191" s="5">
        <v>1370247775</v>
      </c>
      <c r="S191" s="5">
        <v>21580208</v>
      </c>
      <c r="T191" s="9">
        <v>502157240</v>
      </c>
      <c r="U191" s="5">
        <v>2236085</v>
      </c>
      <c r="V191" s="11">
        <v>4447227</v>
      </c>
      <c r="W191" s="5">
        <v>4267349</v>
      </c>
      <c r="X191" s="5">
        <v>2450884</v>
      </c>
      <c r="Y191" s="9">
        <v>296466313</v>
      </c>
      <c r="Z191" s="28"/>
      <c r="AA191" s="28"/>
      <c r="AB191" s="5">
        <v>15301166</v>
      </c>
      <c r="AC191" s="5">
        <v>1171250</v>
      </c>
      <c r="AD191" s="28"/>
      <c r="AE191" s="28"/>
      <c r="AF191" s="28"/>
      <c r="AG191" s="5">
        <v>14104533</v>
      </c>
      <c r="AH191" s="5">
        <v>232207</v>
      </c>
      <c r="AI191" s="28"/>
      <c r="AJ191" s="5">
        <v>76501491</v>
      </c>
      <c r="AK191" s="28"/>
      <c r="AL191" s="5">
        <v>79803</v>
      </c>
      <c r="AM191" s="5">
        <v>64625</v>
      </c>
      <c r="AN191" s="5"/>
      <c r="AO191" s="49">
        <v>2496552636</v>
      </c>
    </row>
    <row r="192" spans="1:41" ht="10.5" customHeight="1">
      <c r="A192" s="6">
        <f t="shared" si="2"/>
        <v>1997</v>
      </c>
      <c r="B192" s="6" t="s">
        <v>42</v>
      </c>
      <c r="C192" s="4">
        <v>35674</v>
      </c>
      <c r="D192" s="28"/>
      <c r="E192" s="5">
        <v>20458998</v>
      </c>
      <c r="F192" s="28"/>
      <c r="G192" s="28"/>
      <c r="H192" s="28"/>
      <c r="I192" s="28"/>
      <c r="J192" s="9">
        <v>6053464</v>
      </c>
      <c r="K192" s="5">
        <v>106813586</v>
      </c>
      <c r="L192" s="5">
        <v>22393725</v>
      </c>
      <c r="M192" s="5"/>
      <c r="N192" s="5">
        <v>311368</v>
      </c>
      <c r="O192" s="5">
        <v>19168753</v>
      </c>
      <c r="P192" s="14">
        <v>41923976</v>
      </c>
      <c r="Q192" s="28"/>
      <c r="R192" s="5">
        <v>1552207882</v>
      </c>
      <c r="S192" s="5">
        <v>20896437</v>
      </c>
      <c r="T192" s="9">
        <v>551578040</v>
      </c>
      <c r="U192" s="5">
        <v>1366388</v>
      </c>
      <c r="V192" s="11">
        <v>3826422</v>
      </c>
      <c r="W192" s="5">
        <v>5083657</v>
      </c>
      <c r="X192" s="5">
        <v>2547227</v>
      </c>
      <c r="Y192" s="9">
        <v>290960254</v>
      </c>
      <c r="Z192" s="28"/>
      <c r="AA192" s="28"/>
      <c r="AB192" s="5">
        <v>15247231</v>
      </c>
      <c r="AC192" s="5">
        <v>618648</v>
      </c>
      <c r="AD192" s="28"/>
      <c r="AE192" s="28"/>
      <c r="AF192" s="28"/>
      <c r="AG192" s="5">
        <v>13907168</v>
      </c>
      <c r="AH192" s="5">
        <v>249038</v>
      </c>
      <c r="AI192" s="28"/>
      <c r="AJ192" s="5">
        <v>77672613</v>
      </c>
      <c r="AK192" s="28"/>
      <c r="AL192" s="5">
        <v>112749</v>
      </c>
      <c r="AM192" s="5">
        <v>52622</v>
      </c>
      <c r="AN192" s="5"/>
      <c r="AO192" s="49">
        <v>2776974806</v>
      </c>
    </row>
    <row r="193" spans="1:41" ht="10.5" customHeight="1">
      <c r="A193" s="6">
        <f t="shared" si="2"/>
        <v>1997</v>
      </c>
      <c r="B193" s="6" t="s">
        <v>43</v>
      </c>
      <c r="C193" s="4">
        <v>35704</v>
      </c>
      <c r="D193" s="28"/>
      <c r="E193" s="5">
        <v>22340968</v>
      </c>
      <c r="F193" s="28"/>
      <c r="G193" s="28"/>
      <c r="H193" s="28"/>
      <c r="I193" s="28"/>
      <c r="J193" s="9">
        <v>4528990</v>
      </c>
      <c r="K193" s="5">
        <v>115619994</v>
      </c>
      <c r="L193" s="5">
        <v>41473670</v>
      </c>
      <c r="M193" s="5"/>
      <c r="N193" s="5">
        <v>374504</v>
      </c>
      <c r="O193" s="5">
        <v>31510298</v>
      </c>
      <c r="P193" s="14">
        <v>43754833</v>
      </c>
      <c r="Q193" s="28"/>
      <c r="R193" s="5">
        <v>1502216767</v>
      </c>
      <c r="S193" s="5">
        <v>22065106</v>
      </c>
      <c r="T193" s="9">
        <v>574440504</v>
      </c>
      <c r="U193" s="5">
        <v>1300036</v>
      </c>
      <c r="V193" s="11">
        <v>4294537</v>
      </c>
      <c r="W193" s="5">
        <v>5150847</v>
      </c>
      <c r="X193" s="5">
        <v>2505924</v>
      </c>
      <c r="Y193" s="9">
        <v>347074496</v>
      </c>
      <c r="Z193" s="28"/>
      <c r="AA193" s="28"/>
      <c r="AB193" s="5">
        <v>16683691</v>
      </c>
      <c r="AC193" s="5">
        <v>1329092</v>
      </c>
      <c r="AD193" s="28"/>
      <c r="AE193" s="28"/>
      <c r="AF193" s="28"/>
      <c r="AG193" s="5">
        <v>20391240</v>
      </c>
      <c r="AH193" s="5">
        <v>336800</v>
      </c>
      <c r="AI193" s="28"/>
      <c r="AJ193" s="5">
        <v>80297121</v>
      </c>
      <c r="AK193" s="28"/>
      <c r="AL193" s="5">
        <v>661988</v>
      </c>
      <c r="AM193" s="5">
        <v>44241</v>
      </c>
      <c r="AN193" s="5"/>
      <c r="AO193" s="49">
        <v>2855544589</v>
      </c>
    </row>
    <row r="194" spans="1:41" ht="10.5" customHeight="1">
      <c r="A194" s="6">
        <f t="shared" si="2"/>
        <v>1997</v>
      </c>
      <c r="B194" s="6" t="s">
        <v>44</v>
      </c>
      <c r="C194" s="4">
        <v>35735</v>
      </c>
      <c r="D194" s="28"/>
      <c r="E194" s="5">
        <v>49551457</v>
      </c>
      <c r="F194" s="28"/>
      <c r="G194" s="28"/>
      <c r="H194" s="28"/>
      <c r="I194" s="28"/>
      <c r="J194" s="9">
        <v>5637683</v>
      </c>
      <c r="K194" s="5">
        <v>104926338</v>
      </c>
      <c r="L194" s="5">
        <v>5982962</v>
      </c>
      <c r="M194" s="5"/>
      <c r="N194" s="5">
        <v>842080</v>
      </c>
      <c r="O194" s="5">
        <v>2361389</v>
      </c>
      <c r="P194" s="14">
        <v>37479625</v>
      </c>
      <c r="Q194" s="28"/>
      <c r="R194" s="5">
        <v>1653663458</v>
      </c>
      <c r="S194" s="5">
        <v>21638795</v>
      </c>
      <c r="T194" s="9">
        <v>606620461</v>
      </c>
      <c r="U194" s="5">
        <v>4770164</v>
      </c>
      <c r="V194" s="11">
        <v>11185898</v>
      </c>
      <c r="W194" s="5">
        <v>5072154</v>
      </c>
      <c r="X194" s="5">
        <v>2913050</v>
      </c>
      <c r="Y194" s="9">
        <v>308065709</v>
      </c>
      <c r="Z194" s="28"/>
      <c r="AA194" s="28"/>
      <c r="AB194" s="5">
        <v>17516686</v>
      </c>
      <c r="AC194" s="5">
        <v>929596</v>
      </c>
      <c r="AD194" s="28"/>
      <c r="AE194" s="28"/>
      <c r="AF194" s="28"/>
      <c r="AG194" s="5">
        <v>14379204</v>
      </c>
      <c r="AH194" s="5">
        <v>433613</v>
      </c>
      <c r="AI194" s="28"/>
      <c r="AJ194" s="5">
        <v>82525264</v>
      </c>
      <c r="AK194" s="28"/>
      <c r="AL194" s="5">
        <v>54399</v>
      </c>
      <c r="AM194" s="5">
        <v>64466</v>
      </c>
      <c r="AN194" s="5"/>
      <c r="AO194" s="49">
        <v>2952081952</v>
      </c>
    </row>
    <row r="195" spans="1:41" ht="10.5" customHeight="1">
      <c r="A195" s="6">
        <f t="shared" si="2"/>
        <v>1997</v>
      </c>
      <c r="B195" s="6" t="s">
        <v>45</v>
      </c>
      <c r="C195" s="4">
        <v>35765</v>
      </c>
      <c r="D195" s="28"/>
      <c r="E195" s="5">
        <v>25702860</v>
      </c>
      <c r="F195" s="28"/>
      <c r="G195" s="28"/>
      <c r="H195" s="28"/>
      <c r="I195" s="28"/>
      <c r="J195" s="9">
        <v>8340549</v>
      </c>
      <c r="K195" s="5">
        <v>109496445</v>
      </c>
      <c r="L195" s="5">
        <v>64670263</v>
      </c>
      <c r="M195" s="5"/>
      <c r="N195" s="5">
        <v>1445248</v>
      </c>
      <c r="O195" s="5">
        <v>50535722</v>
      </c>
      <c r="P195" s="14">
        <v>59927465</v>
      </c>
      <c r="Q195" s="28"/>
      <c r="R195" s="5">
        <v>1585193759</v>
      </c>
      <c r="S195" s="5">
        <v>21354267</v>
      </c>
      <c r="T195" s="9">
        <v>684156787</v>
      </c>
      <c r="U195" s="5">
        <v>1730294</v>
      </c>
      <c r="V195" s="11">
        <v>4223830</v>
      </c>
      <c r="W195" s="5">
        <v>3922060</v>
      </c>
      <c r="X195" s="5">
        <v>2396058</v>
      </c>
      <c r="Y195" s="9">
        <v>297086875</v>
      </c>
      <c r="Z195" s="28"/>
      <c r="AA195" s="28"/>
      <c r="AB195" s="5">
        <v>17470240</v>
      </c>
      <c r="AC195" s="5">
        <v>1573077</v>
      </c>
      <c r="AD195" s="28"/>
      <c r="AE195" s="28"/>
      <c r="AF195" s="28"/>
      <c r="AG195" s="5">
        <v>9640953</v>
      </c>
      <c r="AH195" s="5">
        <v>2131403</v>
      </c>
      <c r="AI195" s="28"/>
      <c r="AJ195" s="5">
        <v>85518305</v>
      </c>
      <c r="AK195" s="28"/>
      <c r="AL195" s="5">
        <v>48729</v>
      </c>
      <c r="AM195" s="5">
        <v>44389</v>
      </c>
      <c r="AN195" s="5"/>
      <c r="AO195" s="49">
        <v>3057658206</v>
      </c>
    </row>
    <row r="196" spans="1:41" ht="10.5" customHeight="1">
      <c r="A196" s="6">
        <f t="shared" si="2"/>
        <v>1998</v>
      </c>
      <c r="B196" s="6" t="s">
        <v>34</v>
      </c>
      <c r="C196" s="4">
        <v>35796</v>
      </c>
      <c r="D196" s="28"/>
      <c r="E196" s="5">
        <v>27987202</v>
      </c>
      <c r="F196" s="28"/>
      <c r="G196" s="28"/>
      <c r="H196" s="28"/>
      <c r="I196" s="28"/>
      <c r="J196" s="9">
        <v>5378924</v>
      </c>
      <c r="K196" s="5">
        <v>104793240</v>
      </c>
      <c r="L196" s="5">
        <v>2818129</v>
      </c>
      <c r="M196" s="5"/>
      <c r="N196" s="5">
        <v>2546936</v>
      </c>
      <c r="O196" s="5">
        <v>1865064</v>
      </c>
      <c r="P196" s="14">
        <v>32122232</v>
      </c>
      <c r="Q196" s="28"/>
      <c r="R196" s="5">
        <v>1661426725</v>
      </c>
      <c r="S196" s="5">
        <v>21369640</v>
      </c>
      <c r="T196" s="9">
        <v>626183518</v>
      </c>
      <c r="U196" s="5">
        <v>2569165</v>
      </c>
      <c r="V196" s="11">
        <v>4956978</v>
      </c>
      <c r="W196" s="5">
        <v>5475946</v>
      </c>
      <c r="X196" s="5">
        <v>3253686</v>
      </c>
      <c r="Y196" s="9">
        <v>347289601</v>
      </c>
      <c r="Z196" s="28"/>
      <c r="AA196" s="28"/>
      <c r="AB196" s="5">
        <v>20503729</v>
      </c>
      <c r="AC196" s="5">
        <v>377028</v>
      </c>
      <c r="AD196" s="28"/>
      <c r="AE196" s="28"/>
      <c r="AF196" s="28"/>
      <c r="AG196" s="5">
        <v>20443752</v>
      </c>
      <c r="AH196" s="5">
        <v>630949</v>
      </c>
      <c r="AI196" s="28"/>
      <c r="AJ196" s="5">
        <v>90160026</v>
      </c>
      <c r="AK196" s="28"/>
      <c r="AL196" s="5">
        <v>80951</v>
      </c>
      <c r="AM196" s="5">
        <v>39355</v>
      </c>
      <c r="AN196" s="5"/>
      <c r="AO196" s="49">
        <v>3001491340</v>
      </c>
    </row>
    <row r="197" spans="1:41" ht="10.5" customHeight="1">
      <c r="A197" s="6">
        <f t="shared" ref="A197:A260" si="3">YEAR(C197)</f>
        <v>1998</v>
      </c>
      <c r="B197" s="6" t="s">
        <v>35</v>
      </c>
      <c r="C197" s="4">
        <v>35827</v>
      </c>
      <c r="D197" s="28"/>
      <c r="E197" s="5">
        <v>27651073</v>
      </c>
      <c r="F197" s="28"/>
      <c r="G197" s="28"/>
      <c r="H197" s="28"/>
      <c r="I197" s="28"/>
      <c r="J197" s="9">
        <v>12010329</v>
      </c>
      <c r="K197" s="5">
        <v>106119452</v>
      </c>
      <c r="L197" s="5">
        <v>1774965</v>
      </c>
      <c r="M197" s="5"/>
      <c r="N197" s="5">
        <v>377763</v>
      </c>
      <c r="O197" s="5">
        <v>2430197</v>
      </c>
      <c r="P197" s="14">
        <v>28397226</v>
      </c>
      <c r="Q197" s="28"/>
      <c r="R197" s="5">
        <v>1504723509</v>
      </c>
      <c r="S197" s="5">
        <v>22621214</v>
      </c>
      <c r="T197" s="9">
        <v>676251454</v>
      </c>
      <c r="U197" s="5">
        <v>2196167</v>
      </c>
      <c r="V197" s="11">
        <v>4801380</v>
      </c>
      <c r="W197" s="5">
        <v>5696317</v>
      </c>
      <c r="X197" s="5">
        <v>3102045</v>
      </c>
      <c r="Y197" s="9">
        <v>336302720</v>
      </c>
      <c r="Z197" s="28"/>
      <c r="AA197" s="28"/>
      <c r="AB197" s="5">
        <v>16181254</v>
      </c>
      <c r="AC197" s="5">
        <v>217922</v>
      </c>
      <c r="AD197" s="28"/>
      <c r="AE197" s="28"/>
      <c r="AF197" s="28"/>
      <c r="AG197" s="5">
        <v>12878556</v>
      </c>
      <c r="AH197" s="5">
        <v>347330</v>
      </c>
      <c r="AI197" s="28"/>
      <c r="AJ197" s="5">
        <v>91005408</v>
      </c>
      <c r="AK197" s="28"/>
      <c r="AL197" s="5">
        <v>76517</v>
      </c>
      <c r="AM197" s="5">
        <v>25412</v>
      </c>
      <c r="AN197" s="5"/>
      <c r="AO197" s="49">
        <v>2874415873</v>
      </c>
    </row>
    <row r="198" spans="1:41" ht="10.5" customHeight="1">
      <c r="A198" s="6">
        <f t="shared" si="3"/>
        <v>1998</v>
      </c>
      <c r="B198" s="6" t="s">
        <v>36</v>
      </c>
      <c r="C198" s="4">
        <v>35855</v>
      </c>
      <c r="D198" s="28"/>
      <c r="E198" s="5">
        <v>24061898</v>
      </c>
      <c r="F198" s="28"/>
      <c r="G198" s="28"/>
      <c r="H198" s="28"/>
      <c r="I198" s="28"/>
      <c r="J198" s="9">
        <v>22754277</v>
      </c>
      <c r="K198" s="5">
        <v>109126016</v>
      </c>
      <c r="L198" s="5">
        <v>2412391</v>
      </c>
      <c r="M198" s="5"/>
      <c r="N198" s="5">
        <v>325946</v>
      </c>
      <c r="O198" s="5">
        <v>1261192</v>
      </c>
      <c r="P198" s="14">
        <v>34262955</v>
      </c>
      <c r="Q198" s="28"/>
      <c r="R198" s="5">
        <v>1747590887</v>
      </c>
      <c r="S198" s="5">
        <v>26615931</v>
      </c>
      <c r="T198" s="9">
        <v>685010318</v>
      </c>
      <c r="U198" s="5">
        <v>1986772</v>
      </c>
      <c r="V198" s="11">
        <v>4522074</v>
      </c>
      <c r="W198" s="5">
        <v>6024704</v>
      </c>
      <c r="X198" s="5">
        <v>2677090</v>
      </c>
      <c r="Y198" s="9">
        <v>453527599</v>
      </c>
      <c r="Z198" s="28"/>
      <c r="AA198" s="28"/>
      <c r="AB198" s="5">
        <v>17430145</v>
      </c>
      <c r="AC198" s="5">
        <v>467178</v>
      </c>
      <c r="AD198" s="28"/>
      <c r="AE198" s="28"/>
      <c r="AF198" s="28"/>
      <c r="AG198" s="5">
        <v>12764768</v>
      </c>
      <c r="AH198" s="5">
        <v>529242</v>
      </c>
      <c r="AI198" s="28"/>
      <c r="AJ198" s="5">
        <v>85593028</v>
      </c>
      <c r="AK198" s="28"/>
      <c r="AL198" s="5">
        <v>138241</v>
      </c>
      <c r="AM198" s="5">
        <v>2661</v>
      </c>
      <c r="AN198" s="5"/>
      <c r="AO198" s="49">
        <v>3259442965</v>
      </c>
    </row>
    <row r="199" spans="1:41" ht="10.5" customHeight="1">
      <c r="A199" s="6">
        <f t="shared" si="3"/>
        <v>1998</v>
      </c>
      <c r="B199" s="6" t="s">
        <v>37</v>
      </c>
      <c r="C199" s="4">
        <v>35886</v>
      </c>
      <c r="D199" s="28"/>
      <c r="E199" s="5">
        <v>31755325</v>
      </c>
      <c r="F199" s="28"/>
      <c r="G199" s="28"/>
      <c r="H199" s="28"/>
      <c r="I199" s="28"/>
      <c r="J199" s="9">
        <v>36961397</v>
      </c>
      <c r="K199" s="5">
        <v>169597518</v>
      </c>
      <c r="L199" s="5">
        <v>1538014</v>
      </c>
      <c r="M199" s="5"/>
      <c r="N199" s="5">
        <v>363180</v>
      </c>
      <c r="O199" s="5">
        <v>1005290</v>
      </c>
      <c r="P199" s="14">
        <v>37854231</v>
      </c>
      <c r="Q199" s="28"/>
      <c r="R199" s="5">
        <v>1551900472</v>
      </c>
      <c r="S199" s="5">
        <v>23781825</v>
      </c>
      <c r="T199" s="9">
        <v>558194805</v>
      </c>
      <c r="U199" s="5">
        <v>2300548</v>
      </c>
      <c r="V199" s="11">
        <v>5062407</v>
      </c>
      <c r="W199" s="5">
        <v>6653832</v>
      </c>
      <c r="X199" s="5">
        <v>2759190</v>
      </c>
      <c r="Y199" s="9">
        <v>769386215</v>
      </c>
      <c r="Z199" s="28"/>
      <c r="AA199" s="28"/>
      <c r="AB199" s="5">
        <v>20436490</v>
      </c>
      <c r="AC199" s="5">
        <v>827509</v>
      </c>
      <c r="AD199" s="28"/>
      <c r="AE199" s="28"/>
      <c r="AF199" s="28"/>
      <c r="AG199" s="5">
        <v>19147419</v>
      </c>
      <c r="AH199" s="5">
        <v>673119</v>
      </c>
      <c r="AI199" s="28"/>
      <c r="AJ199" s="5">
        <v>84945538</v>
      </c>
      <c r="AK199" s="28"/>
      <c r="AL199" s="5">
        <v>91377</v>
      </c>
      <c r="AM199" s="5">
        <v>33243</v>
      </c>
      <c r="AN199" s="5"/>
      <c r="AO199" s="49">
        <v>3355577117</v>
      </c>
    </row>
    <row r="200" spans="1:41" ht="10.5" customHeight="1">
      <c r="A200" s="6">
        <f t="shared" si="3"/>
        <v>1998</v>
      </c>
      <c r="B200" s="6" t="s">
        <v>73</v>
      </c>
      <c r="C200" s="4">
        <v>35916</v>
      </c>
      <c r="D200" s="28"/>
      <c r="E200" s="5">
        <v>25085648</v>
      </c>
      <c r="F200" s="28"/>
      <c r="G200" s="28"/>
      <c r="H200" s="28"/>
      <c r="I200" s="28"/>
      <c r="J200" s="9">
        <v>9446247</v>
      </c>
      <c r="K200" s="5">
        <v>124629634</v>
      </c>
      <c r="L200" s="5">
        <v>1596588</v>
      </c>
      <c r="M200" s="5"/>
      <c r="N200" s="5">
        <v>354416</v>
      </c>
      <c r="O200" s="5">
        <v>5099425</v>
      </c>
      <c r="P200" s="14">
        <v>30532564</v>
      </c>
      <c r="Q200" s="28"/>
      <c r="R200" s="5">
        <v>1638878966</v>
      </c>
      <c r="S200" s="5">
        <v>25235683</v>
      </c>
      <c r="T200" s="9">
        <v>579055859</v>
      </c>
      <c r="U200" s="5">
        <v>1864212</v>
      </c>
      <c r="V200" s="11">
        <v>4222965</v>
      </c>
      <c r="W200" s="5">
        <v>5571951</v>
      </c>
      <c r="X200" s="5">
        <v>2575070</v>
      </c>
      <c r="Y200" s="9">
        <v>354651653</v>
      </c>
      <c r="Z200" s="28"/>
      <c r="AA200" s="28"/>
      <c r="AB200" s="5">
        <v>18876821</v>
      </c>
      <c r="AC200" s="5">
        <v>918259</v>
      </c>
      <c r="AD200" s="28"/>
      <c r="AE200" s="28"/>
      <c r="AF200" s="28"/>
      <c r="AG200" s="5">
        <v>8317259</v>
      </c>
      <c r="AH200" s="5">
        <v>558408</v>
      </c>
      <c r="AI200" s="28"/>
      <c r="AJ200" s="5">
        <v>88724254</v>
      </c>
      <c r="AK200" s="28"/>
      <c r="AL200" s="5">
        <v>50898</v>
      </c>
      <c r="AM200" s="5">
        <v>56204</v>
      </c>
      <c r="AN200" s="5"/>
      <c r="AO200" s="49">
        <v>2944784663</v>
      </c>
    </row>
    <row r="201" spans="1:41" ht="10.5" customHeight="1">
      <c r="A201" s="6">
        <f t="shared" si="3"/>
        <v>1998</v>
      </c>
      <c r="B201" s="6" t="s">
        <v>39</v>
      </c>
      <c r="C201" s="4">
        <v>35947</v>
      </c>
      <c r="D201" s="28"/>
      <c r="E201" s="5">
        <v>26726282</v>
      </c>
      <c r="F201" s="28"/>
      <c r="G201" s="28"/>
      <c r="H201" s="28"/>
      <c r="I201" s="28"/>
      <c r="J201" s="9">
        <v>6416850</v>
      </c>
      <c r="K201" s="5">
        <v>116057925</v>
      </c>
      <c r="L201" s="5">
        <v>2063949</v>
      </c>
      <c r="M201" s="5"/>
      <c r="N201" s="5">
        <v>522947</v>
      </c>
      <c r="O201" s="5">
        <v>6947692</v>
      </c>
      <c r="P201" s="14">
        <v>40574388</v>
      </c>
      <c r="Q201" s="28"/>
      <c r="R201" s="5">
        <v>1550087299</v>
      </c>
      <c r="S201" s="5">
        <v>24073058</v>
      </c>
      <c r="T201" s="9">
        <v>593572578</v>
      </c>
      <c r="U201" s="5">
        <v>2292592</v>
      </c>
      <c r="V201" s="11">
        <v>4793174</v>
      </c>
      <c r="W201" s="5">
        <v>6217389</v>
      </c>
      <c r="X201" s="5">
        <v>2522532</v>
      </c>
      <c r="Y201" s="9">
        <v>342381049</v>
      </c>
      <c r="Z201" s="28"/>
      <c r="AA201" s="28"/>
      <c r="AB201" s="5">
        <v>19718622</v>
      </c>
      <c r="AC201" s="5">
        <v>1225919</v>
      </c>
      <c r="AD201" s="28"/>
      <c r="AE201" s="28"/>
      <c r="AF201" s="28"/>
      <c r="AG201" s="5">
        <v>14550591</v>
      </c>
      <c r="AH201" s="5">
        <v>615788</v>
      </c>
      <c r="AI201" s="28"/>
      <c r="AJ201" s="5">
        <v>90351697</v>
      </c>
      <c r="AK201" s="28"/>
      <c r="AL201" s="5">
        <v>43539</v>
      </c>
      <c r="AM201" s="5">
        <v>19068</v>
      </c>
      <c r="AN201" s="5"/>
      <c r="AO201" s="49">
        <v>2869097609</v>
      </c>
    </row>
    <row r="202" spans="1:41" ht="10.5" customHeight="1">
      <c r="A202" s="6">
        <f t="shared" si="3"/>
        <v>1998</v>
      </c>
      <c r="B202" s="6" t="s">
        <v>40</v>
      </c>
      <c r="C202" s="4">
        <v>35977</v>
      </c>
      <c r="D202" s="28"/>
      <c r="E202" s="5">
        <v>28091369</v>
      </c>
      <c r="F202" s="28"/>
      <c r="G202" s="28"/>
      <c r="H202" s="28"/>
      <c r="I202" s="28"/>
      <c r="J202" s="9">
        <v>7893087</v>
      </c>
      <c r="K202" s="5">
        <v>123268170</v>
      </c>
      <c r="L202" s="5">
        <v>35107074</v>
      </c>
      <c r="M202" s="5"/>
      <c r="N202" s="5">
        <v>447427</v>
      </c>
      <c r="O202" s="5">
        <v>20452359</v>
      </c>
      <c r="P202" s="14">
        <v>40849557</v>
      </c>
      <c r="Q202" s="28"/>
      <c r="R202" s="5">
        <v>1739897176</v>
      </c>
      <c r="S202" s="5">
        <v>24866688</v>
      </c>
      <c r="T202" s="9">
        <v>571463285</v>
      </c>
      <c r="U202" s="5">
        <v>2216519</v>
      </c>
      <c r="V202" s="11">
        <v>5499041</v>
      </c>
      <c r="W202" s="5">
        <v>4470165</v>
      </c>
      <c r="X202" s="5">
        <v>2891735</v>
      </c>
      <c r="Y202" s="9">
        <v>365169732</v>
      </c>
      <c r="Z202" s="28"/>
      <c r="AA202" s="28"/>
      <c r="AB202" s="5">
        <v>18885958</v>
      </c>
      <c r="AC202" s="5">
        <v>519457</v>
      </c>
      <c r="AD202" s="28"/>
      <c r="AE202" s="28"/>
      <c r="AF202" s="28"/>
      <c r="AG202" s="5">
        <v>20527270</v>
      </c>
      <c r="AH202" s="5">
        <v>409897</v>
      </c>
      <c r="AI202" s="28"/>
      <c r="AJ202" s="5">
        <v>91509633</v>
      </c>
      <c r="AK202" s="28"/>
      <c r="AL202" s="5">
        <v>365992</v>
      </c>
      <c r="AM202" s="5">
        <v>1639</v>
      </c>
      <c r="AN202" s="5"/>
      <c r="AO202" s="49">
        <v>3118683676</v>
      </c>
    </row>
    <row r="203" spans="1:41" ht="10.5" customHeight="1">
      <c r="A203" s="6">
        <f t="shared" si="3"/>
        <v>1998</v>
      </c>
      <c r="B203" s="6" t="s">
        <v>41</v>
      </c>
      <c r="C203" s="4">
        <v>36008</v>
      </c>
      <c r="D203" s="28"/>
      <c r="E203" s="5">
        <v>24748062</v>
      </c>
      <c r="F203" s="28"/>
      <c r="G203" s="28"/>
      <c r="H203" s="28"/>
      <c r="I203" s="28"/>
      <c r="J203" s="9">
        <v>4480836</v>
      </c>
      <c r="K203" s="5">
        <v>115724440</v>
      </c>
      <c r="L203" s="5">
        <v>39147408</v>
      </c>
      <c r="M203" s="5"/>
      <c r="N203" s="5">
        <v>502948</v>
      </c>
      <c r="O203" s="5">
        <v>1892656</v>
      </c>
      <c r="P203" s="14">
        <v>36548012</v>
      </c>
      <c r="Q203" s="28"/>
      <c r="R203" s="5">
        <v>1671563596</v>
      </c>
      <c r="S203" s="5">
        <v>23862218</v>
      </c>
      <c r="T203" s="9">
        <v>559254567</v>
      </c>
      <c r="U203" s="5">
        <v>2052697</v>
      </c>
      <c r="V203" s="11">
        <v>4454893</v>
      </c>
      <c r="W203" s="5">
        <v>6265607</v>
      </c>
      <c r="X203" s="5">
        <v>2953470</v>
      </c>
      <c r="Y203" s="9">
        <v>356420357</v>
      </c>
      <c r="Z203" s="28"/>
      <c r="AA203" s="28"/>
      <c r="AB203" s="5">
        <v>19024064</v>
      </c>
      <c r="AC203" s="5">
        <v>1112612</v>
      </c>
      <c r="AD203" s="28"/>
      <c r="AE203" s="28"/>
      <c r="AF203" s="28"/>
      <c r="AG203" s="5">
        <v>14274255</v>
      </c>
      <c r="AH203" s="5">
        <v>386317</v>
      </c>
      <c r="AI203" s="28"/>
      <c r="AJ203" s="5">
        <v>92744829</v>
      </c>
      <c r="AK203" s="28"/>
      <c r="AL203" s="5">
        <v>75723</v>
      </c>
      <c r="AM203" s="5">
        <v>48788</v>
      </c>
      <c r="AN203" s="5"/>
      <c r="AO203" s="49">
        <v>2993622691</v>
      </c>
    </row>
    <row r="204" spans="1:41" ht="10.5" customHeight="1">
      <c r="A204" s="6">
        <f t="shared" si="3"/>
        <v>1998</v>
      </c>
      <c r="B204" s="6" t="s">
        <v>42</v>
      </c>
      <c r="C204" s="4">
        <v>36039</v>
      </c>
      <c r="D204" s="28"/>
      <c r="E204" s="5">
        <v>24797309</v>
      </c>
      <c r="F204" s="28"/>
      <c r="G204" s="28"/>
      <c r="H204" s="28"/>
      <c r="I204" s="28"/>
      <c r="J204" s="9">
        <v>8596589</v>
      </c>
      <c r="K204" s="5">
        <v>121457940</v>
      </c>
      <c r="L204" s="5">
        <v>43933787</v>
      </c>
      <c r="M204" s="5"/>
      <c r="N204" s="5">
        <v>628498</v>
      </c>
      <c r="O204" s="5">
        <v>22714593</v>
      </c>
      <c r="P204" s="14">
        <v>45012434</v>
      </c>
      <c r="Q204" s="28"/>
      <c r="R204" s="5">
        <v>1790284580</v>
      </c>
      <c r="S204" s="5">
        <v>25612026</v>
      </c>
      <c r="T204" s="9">
        <v>614709285</v>
      </c>
      <c r="U204" s="5">
        <v>2033908</v>
      </c>
      <c r="V204" s="11">
        <v>4317996</v>
      </c>
      <c r="W204" s="5">
        <v>5069179</v>
      </c>
      <c r="X204" s="5">
        <v>2950466</v>
      </c>
      <c r="Y204" s="9">
        <v>359221791</v>
      </c>
      <c r="Z204" s="28"/>
      <c r="AA204" s="28"/>
      <c r="AB204" s="5">
        <v>19007407</v>
      </c>
      <c r="AC204" s="5">
        <v>649506</v>
      </c>
      <c r="AD204" s="28"/>
      <c r="AE204" s="28"/>
      <c r="AF204" s="28"/>
      <c r="AG204" s="5">
        <v>18469324</v>
      </c>
      <c r="AH204" s="5">
        <v>467350</v>
      </c>
      <c r="AI204" s="28"/>
      <c r="AJ204" s="5">
        <v>94892285</v>
      </c>
      <c r="AK204" s="28"/>
      <c r="AL204" s="5">
        <v>117209</v>
      </c>
      <c r="AM204" s="5">
        <v>8602</v>
      </c>
      <c r="AN204" s="5"/>
      <c r="AO204" s="49">
        <v>3228023926</v>
      </c>
    </row>
    <row r="205" spans="1:41" ht="10.5" customHeight="1">
      <c r="A205" s="6">
        <f t="shared" si="3"/>
        <v>1998</v>
      </c>
      <c r="B205" s="6" t="s">
        <v>43</v>
      </c>
      <c r="C205" s="4">
        <v>36069</v>
      </c>
      <c r="D205" s="28"/>
      <c r="E205" s="5">
        <v>29903231</v>
      </c>
      <c r="F205" s="28"/>
      <c r="G205" s="28"/>
      <c r="H205" s="28"/>
      <c r="I205" s="28"/>
      <c r="J205" s="9">
        <v>5108760</v>
      </c>
      <c r="K205" s="5">
        <v>124983287</v>
      </c>
      <c r="L205" s="5">
        <v>7818796</v>
      </c>
      <c r="M205" s="5"/>
      <c r="N205" s="5">
        <v>1143434</v>
      </c>
      <c r="O205" s="5">
        <v>31489901</v>
      </c>
      <c r="P205" s="14">
        <v>43798072</v>
      </c>
      <c r="Q205" s="28"/>
      <c r="R205" s="5">
        <v>1654884184</v>
      </c>
      <c r="S205" s="5">
        <v>23482183</v>
      </c>
      <c r="T205" s="9">
        <v>586888105</v>
      </c>
      <c r="U205" s="5">
        <v>1791239</v>
      </c>
      <c r="V205" s="11">
        <v>5519406</v>
      </c>
      <c r="W205" s="5">
        <v>6183006</v>
      </c>
      <c r="X205" s="5">
        <v>3259798</v>
      </c>
      <c r="Y205" s="9">
        <v>451014856</v>
      </c>
      <c r="Z205" s="28"/>
      <c r="AA205" s="28"/>
      <c r="AB205" s="5">
        <v>19325997</v>
      </c>
      <c r="AC205" s="5">
        <v>745809</v>
      </c>
      <c r="AD205" s="28"/>
      <c r="AE205" s="28"/>
      <c r="AF205" s="28"/>
      <c r="AG205" s="5">
        <v>22402013</v>
      </c>
      <c r="AH205" s="5">
        <v>455573</v>
      </c>
      <c r="AI205" s="28"/>
      <c r="AJ205" s="5">
        <v>94225501</v>
      </c>
      <c r="AK205" s="28"/>
      <c r="AL205" s="5">
        <v>80460</v>
      </c>
      <c r="AM205" s="5">
        <v>18038</v>
      </c>
      <c r="AN205" s="5"/>
      <c r="AO205" s="49">
        <v>3131857814</v>
      </c>
    </row>
    <row r="206" spans="1:41" ht="10.5" customHeight="1">
      <c r="A206" s="6">
        <f t="shared" si="3"/>
        <v>1998</v>
      </c>
      <c r="B206" s="6" t="s">
        <v>44</v>
      </c>
      <c r="C206" s="4">
        <v>36100</v>
      </c>
      <c r="D206" s="28"/>
      <c r="E206" s="5">
        <v>52140707</v>
      </c>
      <c r="F206" s="28"/>
      <c r="G206" s="28"/>
      <c r="H206" s="28"/>
      <c r="I206" s="28"/>
      <c r="J206" s="9">
        <v>6351234</v>
      </c>
      <c r="K206" s="5">
        <v>121303436</v>
      </c>
      <c r="L206" s="5">
        <v>36156239</v>
      </c>
      <c r="M206" s="5"/>
      <c r="N206" s="5">
        <v>942226</v>
      </c>
      <c r="O206" s="5">
        <v>2532321</v>
      </c>
      <c r="P206" s="14">
        <v>37955374</v>
      </c>
      <c r="Q206" s="28"/>
      <c r="R206" s="5">
        <v>1820117120</v>
      </c>
      <c r="S206" s="5">
        <v>24335043</v>
      </c>
      <c r="T206" s="9">
        <v>610903643</v>
      </c>
      <c r="U206" s="5">
        <v>4868907</v>
      </c>
      <c r="V206" s="11">
        <v>10405257</v>
      </c>
      <c r="W206" s="5">
        <v>5666718</v>
      </c>
      <c r="X206" s="5">
        <v>3350496</v>
      </c>
      <c r="Y206" s="9">
        <v>414239321</v>
      </c>
      <c r="Z206" s="28"/>
      <c r="AA206" s="28"/>
      <c r="AB206" s="5">
        <v>19379944</v>
      </c>
      <c r="AC206" s="5">
        <v>747316</v>
      </c>
      <c r="AD206" s="28"/>
      <c r="AE206" s="28"/>
      <c r="AF206" s="28"/>
      <c r="AG206" s="5">
        <v>14935027</v>
      </c>
      <c r="AH206" s="5">
        <v>522508</v>
      </c>
      <c r="AI206" s="28"/>
      <c r="AJ206" s="5">
        <v>96197943</v>
      </c>
      <c r="AK206" s="28"/>
      <c r="AL206" s="5">
        <v>434451</v>
      </c>
      <c r="AM206" s="5">
        <v>58624</v>
      </c>
      <c r="AN206" s="5"/>
      <c r="AO206" s="49">
        <v>3536004038</v>
      </c>
    </row>
    <row r="207" spans="1:41" ht="10.5" customHeight="1">
      <c r="A207" s="6">
        <f t="shared" si="3"/>
        <v>1998</v>
      </c>
      <c r="B207" s="6" t="s">
        <v>45</v>
      </c>
      <c r="C207" s="4">
        <v>36130</v>
      </c>
      <c r="D207" s="28"/>
      <c r="E207" s="5">
        <v>23254305</v>
      </c>
      <c r="F207" s="28"/>
      <c r="G207" s="28"/>
      <c r="H207" s="28"/>
      <c r="I207" s="28"/>
      <c r="J207" s="9">
        <v>6955468</v>
      </c>
      <c r="K207" s="5">
        <v>121088097</v>
      </c>
      <c r="L207" s="5">
        <v>9418941</v>
      </c>
      <c r="M207" s="5"/>
      <c r="N207" s="5">
        <v>909463</v>
      </c>
      <c r="O207" s="5">
        <v>56326528</v>
      </c>
      <c r="P207" s="14">
        <v>57143236</v>
      </c>
      <c r="Q207" s="28"/>
      <c r="R207" s="5">
        <v>1788154833</v>
      </c>
      <c r="S207" s="5">
        <v>24753434</v>
      </c>
      <c r="T207" s="9">
        <v>665946774</v>
      </c>
      <c r="U207" s="5">
        <v>2914418</v>
      </c>
      <c r="V207" s="11">
        <v>4057512</v>
      </c>
      <c r="W207" s="5">
        <v>8927588</v>
      </c>
      <c r="X207" s="5">
        <v>2741421</v>
      </c>
      <c r="Y207" s="9">
        <v>380121622</v>
      </c>
      <c r="Z207" s="28"/>
      <c r="AA207" s="28"/>
      <c r="AB207" s="5">
        <v>19664312</v>
      </c>
      <c r="AC207" s="5">
        <v>1737299</v>
      </c>
      <c r="AD207" s="28"/>
      <c r="AE207" s="28"/>
      <c r="AF207" s="28"/>
      <c r="AG207" s="5">
        <v>17533713</v>
      </c>
      <c r="AH207" s="5">
        <v>557531</v>
      </c>
      <c r="AI207" s="28"/>
      <c r="AJ207" s="5">
        <v>100716675</v>
      </c>
      <c r="AK207" s="28"/>
      <c r="AL207" s="5">
        <v>265196</v>
      </c>
      <c r="AM207" s="5">
        <v>7472</v>
      </c>
      <c r="AN207" s="5"/>
      <c r="AO207" s="49">
        <v>3389231620</v>
      </c>
    </row>
    <row r="208" spans="1:41" ht="10.5" customHeight="1">
      <c r="A208" s="6">
        <f t="shared" si="3"/>
        <v>1999</v>
      </c>
      <c r="B208" s="6" t="s">
        <v>34</v>
      </c>
      <c r="C208" s="4">
        <v>36161</v>
      </c>
      <c r="D208" s="28"/>
      <c r="E208" s="5">
        <v>23841898</v>
      </c>
      <c r="F208" s="28"/>
      <c r="G208" s="28"/>
      <c r="H208" s="28"/>
      <c r="I208" s="28"/>
      <c r="J208" s="9">
        <v>4972113</v>
      </c>
      <c r="K208" s="5">
        <v>123261750</v>
      </c>
      <c r="L208" s="5">
        <v>3813869</v>
      </c>
      <c r="M208" s="5"/>
      <c r="N208" s="5">
        <v>1768522</v>
      </c>
      <c r="O208" s="5">
        <v>935707</v>
      </c>
      <c r="P208" s="14">
        <v>30774353</v>
      </c>
      <c r="Q208" s="28"/>
      <c r="R208" s="5">
        <v>1764941401</v>
      </c>
      <c r="S208" s="5">
        <v>24137141</v>
      </c>
      <c r="T208" s="9">
        <v>651844516</v>
      </c>
      <c r="U208" s="5">
        <v>1688964</v>
      </c>
      <c r="V208" s="11">
        <v>4124431</v>
      </c>
      <c r="W208" s="5">
        <v>5979763</v>
      </c>
      <c r="X208" s="5">
        <v>3054669</v>
      </c>
      <c r="Y208" s="9">
        <v>439825412</v>
      </c>
      <c r="Z208" s="28"/>
      <c r="AA208" s="28"/>
      <c r="AB208" s="5">
        <v>21261216</v>
      </c>
      <c r="AC208" s="5">
        <v>420191</v>
      </c>
      <c r="AD208" s="28"/>
      <c r="AE208" s="28"/>
      <c r="AF208" s="28"/>
      <c r="AG208" s="5">
        <v>19468354</v>
      </c>
      <c r="AH208" s="5">
        <v>473012</v>
      </c>
      <c r="AI208" s="28"/>
      <c r="AJ208" s="5">
        <v>98215231</v>
      </c>
      <c r="AK208" s="28"/>
      <c r="AL208" s="5">
        <v>105764</v>
      </c>
      <c r="AM208" s="5">
        <v>5400</v>
      </c>
      <c r="AN208" s="5"/>
      <c r="AO208" s="49">
        <v>3244184794</v>
      </c>
    </row>
    <row r="209" spans="1:41" ht="10.5" customHeight="1">
      <c r="A209" s="6">
        <f t="shared" si="3"/>
        <v>1999</v>
      </c>
      <c r="B209" s="6" t="s">
        <v>35</v>
      </c>
      <c r="C209" s="4">
        <v>36192</v>
      </c>
      <c r="D209" s="28"/>
      <c r="E209" s="5">
        <v>24916986</v>
      </c>
      <c r="F209" s="28"/>
      <c r="G209" s="28"/>
      <c r="H209" s="28"/>
      <c r="I209" s="28"/>
      <c r="J209" s="9">
        <v>13842350</v>
      </c>
      <c r="K209" s="5">
        <v>120052069</v>
      </c>
      <c r="L209" s="5">
        <v>2171103</v>
      </c>
      <c r="M209" s="5"/>
      <c r="N209" s="5">
        <v>1086999</v>
      </c>
      <c r="O209" s="5">
        <v>1968854</v>
      </c>
      <c r="P209" s="14">
        <v>26328673</v>
      </c>
      <c r="Q209" s="28"/>
      <c r="R209" s="5">
        <v>1570279372</v>
      </c>
      <c r="S209" s="5">
        <v>25780615</v>
      </c>
      <c r="T209" s="9">
        <v>643181869</v>
      </c>
      <c r="U209" s="5">
        <v>1902237</v>
      </c>
      <c r="V209" s="11">
        <v>4347413</v>
      </c>
      <c r="W209" s="5">
        <v>5148492</v>
      </c>
      <c r="X209" s="5">
        <v>3562735</v>
      </c>
      <c r="Y209" s="9">
        <v>377307385</v>
      </c>
      <c r="Z209" s="28"/>
      <c r="AA209" s="28"/>
      <c r="AB209" s="5">
        <v>16647430</v>
      </c>
      <c r="AC209" s="5">
        <v>60035</v>
      </c>
      <c r="AD209" s="28"/>
      <c r="AE209" s="28"/>
      <c r="AF209" s="28"/>
      <c r="AG209" s="5">
        <v>15198436</v>
      </c>
      <c r="AH209" s="5">
        <v>315366</v>
      </c>
      <c r="AI209" s="28"/>
      <c r="AJ209" s="5">
        <v>103385202</v>
      </c>
      <c r="AK209" s="28"/>
      <c r="AL209" s="5">
        <v>329854</v>
      </c>
      <c r="AM209" s="5">
        <v>10553</v>
      </c>
      <c r="AN209" s="5"/>
      <c r="AO209" s="49">
        <v>2974287371</v>
      </c>
    </row>
    <row r="210" spans="1:41" ht="10.5" customHeight="1">
      <c r="A210" s="6">
        <f t="shared" si="3"/>
        <v>1999</v>
      </c>
      <c r="B210" s="6" t="s">
        <v>36</v>
      </c>
      <c r="C210" s="4">
        <v>36220</v>
      </c>
      <c r="D210" s="28"/>
      <c r="E210" s="5">
        <v>25378067</v>
      </c>
      <c r="F210" s="28"/>
      <c r="G210" s="28"/>
      <c r="H210" s="28"/>
      <c r="I210" s="28"/>
      <c r="J210" s="9">
        <v>34508176</v>
      </c>
      <c r="K210" s="5">
        <v>124246035</v>
      </c>
      <c r="L210" s="5">
        <v>3801091</v>
      </c>
      <c r="M210" s="5"/>
      <c r="N210" s="5">
        <v>712260</v>
      </c>
      <c r="O210" s="5">
        <v>764874</v>
      </c>
      <c r="P210" s="14">
        <v>33291315</v>
      </c>
      <c r="Q210" s="28"/>
      <c r="R210" s="5">
        <v>1733135056</v>
      </c>
      <c r="S210" s="5">
        <v>26836660</v>
      </c>
      <c r="T210" s="9">
        <v>606919489</v>
      </c>
      <c r="U210" s="5">
        <v>1615789</v>
      </c>
      <c r="V210" s="11">
        <v>4758062</v>
      </c>
      <c r="W210" s="5">
        <v>7805362</v>
      </c>
      <c r="X210" s="5">
        <v>2749102</v>
      </c>
      <c r="Y210" s="9">
        <v>443549912</v>
      </c>
      <c r="Z210" s="28"/>
      <c r="AA210" s="28"/>
      <c r="AB210" s="5">
        <v>16824018</v>
      </c>
      <c r="AC210" s="5">
        <v>1359091</v>
      </c>
      <c r="AD210" s="28"/>
      <c r="AE210" s="28"/>
      <c r="AF210" s="28"/>
      <c r="AG210" s="5">
        <v>15136008</v>
      </c>
      <c r="AH210" s="5">
        <v>387365</v>
      </c>
      <c r="AI210" s="28"/>
      <c r="AJ210" s="5">
        <v>89347961</v>
      </c>
      <c r="AK210" s="28"/>
      <c r="AL210" s="5">
        <v>40947</v>
      </c>
      <c r="AM210" s="5">
        <v>2457</v>
      </c>
      <c r="AN210" s="5"/>
      <c r="AO210" s="49">
        <v>3195409695</v>
      </c>
    </row>
    <row r="211" spans="1:41" ht="10.5" customHeight="1">
      <c r="A211" s="6">
        <f t="shared" si="3"/>
        <v>1999</v>
      </c>
      <c r="B211" s="6" t="s">
        <v>37</v>
      </c>
      <c r="C211" s="4">
        <v>36251</v>
      </c>
      <c r="D211" s="28"/>
      <c r="E211" s="5">
        <v>19885169</v>
      </c>
      <c r="F211" s="28"/>
      <c r="G211" s="28"/>
      <c r="H211" s="28"/>
      <c r="I211" s="28"/>
      <c r="J211" s="9">
        <v>35897810</v>
      </c>
      <c r="K211" s="5">
        <v>75117185</v>
      </c>
      <c r="L211" s="5">
        <v>1854451</v>
      </c>
      <c r="M211" s="5"/>
      <c r="N211" s="5">
        <v>910960</v>
      </c>
      <c r="O211" s="5">
        <v>1324025</v>
      </c>
      <c r="P211" s="14">
        <v>32490745</v>
      </c>
      <c r="Q211" s="28"/>
      <c r="R211" s="5">
        <v>1613568847</v>
      </c>
      <c r="S211" s="5">
        <v>25727955</v>
      </c>
      <c r="T211" s="9">
        <v>542571389</v>
      </c>
      <c r="U211" s="5">
        <v>1486240</v>
      </c>
      <c r="V211" s="11">
        <v>3799277</v>
      </c>
      <c r="W211" s="5">
        <v>6578122</v>
      </c>
      <c r="X211" s="5">
        <v>2764908</v>
      </c>
      <c r="Y211" s="9">
        <v>677371904</v>
      </c>
      <c r="Z211" s="28"/>
      <c r="AA211" s="28"/>
      <c r="AB211" s="5">
        <v>18987483</v>
      </c>
      <c r="AC211" s="5">
        <v>819427</v>
      </c>
      <c r="AD211" s="28"/>
      <c r="AE211" s="28"/>
      <c r="AF211" s="28"/>
      <c r="AG211" s="5">
        <v>19365478</v>
      </c>
      <c r="AH211" s="5">
        <v>450678</v>
      </c>
      <c r="AI211" s="28"/>
      <c r="AJ211" s="5">
        <v>86598950</v>
      </c>
      <c r="AK211" s="28"/>
      <c r="AL211" s="5">
        <v>80320</v>
      </c>
      <c r="AM211" s="5">
        <v>20880</v>
      </c>
      <c r="AN211" s="5"/>
      <c r="AO211" s="49">
        <v>3186170117</v>
      </c>
    </row>
    <row r="212" spans="1:41" ht="10.5" customHeight="1">
      <c r="A212" s="6">
        <f t="shared" si="3"/>
        <v>1999</v>
      </c>
      <c r="B212" s="6" t="s">
        <v>73</v>
      </c>
      <c r="C212" s="4">
        <v>36281</v>
      </c>
      <c r="D212" s="28"/>
      <c r="E212" s="5">
        <v>16239765</v>
      </c>
      <c r="F212" s="28"/>
      <c r="G212" s="28"/>
      <c r="H212" s="28"/>
      <c r="I212" s="28"/>
      <c r="J212" s="9">
        <v>7505896</v>
      </c>
      <c r="K212" s="5">
        <v>123207067</v>
      </c>
      <c r="L212" s="5">
        <v>2157058</v>
      </c>
      <c r="M212" s="5"/>
      <c r="N212" s="5">
        <v>1007952</v>
      </c>
      <c r="O212" s="5">
        <v>18464618</v>
      </c>
      <c r="P212" s="14">
        <v>31995997</v>
      </c>
      <c r="Q212" s="28"/>
      <c r="R212" s="5">
        <v>1557402904</v>
      </c>
      <c r="S212" s="5">
        <v>25277149</v>
      </c>
      <c r="T212" s="9">
        <v>564634672</v>
      </c>
      <c r="U212" s="5">
        <v>1433842</v>
      </c>
      <c r="V212" s="11">
        <v>3489304</v>
      </c>
      <c r="W212" s="5">
        <v>5108166</v>
      </c>
      <c r="X212" s="5">
        <v>2528642</v>
      </c>
      <c r="Y212" s="9">
        <v>352086512</v>
      </c>
      <c r="Z212" s="28"/>
      <c r="AA212" s="28"/>
      <c r="AB212" s="5">
        <v>17452146</v>
      </c>
      <c r="AC212" s="5">
        <v>1013029</v>
      </c>
      <c r="AD212" s="28"/>
      <c r="AE212" s="28"/>
      <c r="AF212" s="28"/>
      <c r="AG212" s="5">
        <v>13601569</v>
      </c>
      <c r="AH212" s="5">
        <v>394718</v>
      </c>
      <c r="AI212" s="28"/>
      <c r="AJ212" s="5">
        <v>83843689</v>
      </c>
      <c r="AK212" s="28"/>
      <c r="AL212" s="5">
        <v>35543</v>
      </c>
      <c r="AM212" s="5">
        <v>7566</v>
      </c>
      <c r="AN212" s="5"/>
      <c r="AO212" s="49">
        <v>2848238864</v>
      </c>
    </row>
    <row r="213" spans="1:41" ht="10.5" customHeight="1">
      <c r="A213" s="6">
        <f t="shared" si="3"/>
        <v>1999</v>
      </c>
      <c r="B213" s="6" t="s">
        <v>39</v>
      </c>
      <c r="C213" s="4">
        <v>36312</v>
      </c>
      <c r="D213" s="28"/>
      <c r="E213" s="5">
        <v>17068087</v>
      </c>
      <c r="F213" s="28"/>
      <c r="G213" s="28"/>
      <c r="H213" s="28"/>
      <c r="I213" s="28"/>
      <c r="J213" s="9">
        <v>6410704</v>
      </c>
      <c r="K213" s="5">
        <v>110681762</v>
      </c>
      <c r="L213" s="5">
        <v>22880851</v>
      </c>
      <c r="M213" s="5"/>
      <c r="N213" s="5">
        <v>939873</v>
      </c>
      <c r="O213" s="5">
        <v>2127997</v>
      </c>
      <c r="P213" s="14">
        <v>35633582</v>
      </c>
      <c r="Q213" s="28"/>
      <c r="R213" s="5">
        <v>1562441854</v>
      </c>
      <c r="S213" s="5">
        <v>24858041</v>
      </c>
      <c r="T213" s="9">
        <v>507401059</v>
      </c>
      <c r="U213" s="5">
        <v>2129087</v>
      </c>
      <c r="V213" s="11">
        <v>3927074</v>
      </c>
      <c r="W213" s="5">
        <v>5533167</v>
      </c>
      <c r="X213" s="5">
        <v>2193096</v>
      </c>
      <c r="Y213" s="9">
        <v>365793851</v>
      </c>
      <c r="Z213" s="28"/>
      <c r="AA213" s="28"/>
      <c r="AB213" s="5">
        <v>18117069</v>
      </c>
      <c r="AC213" s="5">
        <v>1710661</v>
      </c>
      <c r="AD213" s="28"/>
      <c r="AE213" s="28"/>
      <c r="AF213" s="28"/>
      <c r="AG213" s="5">
        <v>19362242</v>
      </c>
      <c r="AH213" s="5">
        <v>514175</v>
      </c>
      <c r="AI213" s="28"/>
      <c r="AJ213" s="5">
        <v>91192522</v>
      </c>
      <c r="AK213" s="28"/>
      <c r="AL213" s="5">
        <v>82693</v>
      </c>
      <c r="AM213" s="5">
        <v>9037</v>
      </c>
      <c r="AN213" s="5"/>
      <c r="AO213" s="49">
        <v>2814850104</v>
      </c>
    </row>
    <row r="214" spans="1:41" ht="10.5" customHeight="1">
      <c r="A214" s="6">
        <f t="shared" si="3"/>
        <v>1999</v>
      </c>
      <c r="B214" s="6" t="s">
        <v>40</v>
      </c>
      <c r="C214" s="4">
        <v>36342</v>
      </c>
      <c r="D214" s="28"/>
      <c r="E214" s="5">
        <v>15846919</v>
      </c>
      <c r="F214" s="28"/>
      <c r="G214" s="28"/>
      <c r="H214" s="28"/>
      <c r="I214" s="28"/>
      <c r="J214" s="9">
        <v>7626037</v>
      </c>
      <c r="K214" s="5">
        <v>112280629</v>
      </c>
      <c r="L214" s="5">
        <v>5366643</v>
      </c>
      <c r="M214" s="5"/>
      <c r="N214" s="5">
        <v>962106</v>
      </c>
      <c r="O214" s="5">
        <v>1191119</v>
      </c>
      <c r="P214" s="14">
        <v>35377556</v>
      </c>
      <c r="Q214" s="28"/>
      <c r="R214" s="5">
        <v>1708347744</v>
      </c>
      <c r="S214" s="5">
        <v>26187870</v>
      </c>
      <c r="T214" s="9">
        <v>471653956</v>
      </c>
      <c r="U214" s="5">
        <v>1690626</v>
      </c>
      <c r="V214" s="11">
        <v>3708876</v>
      </c>
      <c r="W214" s="5">
        <v>4347079</v>
      </c>
      <c r="X214" s="5">
        <v>2414940</v>
      </c>
      <c r="Y214" s="9">
        <v>407166842</v>
      </c>
      <c r="Z214" s="28"/>
      <c r="AA214" s="28"/>
      <c r="AB214" s="5">
        <v>17938910</v>
      </c>
      <c r="AC214" s="5">
        <v>591254</v>
      </c>
      <c r="AD214" s="28"/>
      <c r="AE214" s="28"/>
      <c r="AF214" s="28"/>
      <c r="AG214" s="5">
        <v>22149553</v>
      </c>
      <c r="AH214" s="5">
        <v>332011</v>
      </c>
      <c r="AI214" s="28"/>
      <c r="AJ214" s="5">
        <v>88088320</v>
      </c>
      <c r="AK214" s="28"/>
      <c r="AL214" s="5">
        <v>640</v>
      </c>
      <c r="AM214" s="5">
        <v>37207</v>
      </c>
      <c r="AN214" s="5"/>
      <c r="AO214" s="49">
        <v>2950769647</v>
      </c>
    </row>
    <row r="215" spans="1:41" ht="10.5" customHeight="1">
      <c r="A215" s="6">
        <f t="shared" si="3"/>
        <v>1999</v>
      </c>
      <c r="B215" s="6" t="s">
        <v>41</v>
      </c>
      <c r="C215" s="4">
        <v>36373</v>
      </c>
      <c r="D215" s="28"/>
      <c r="E215" s="5">
        <v>13885729</v>
      </c>
      <c r="F215" s="28"/>
      <c r="G215" s="28"/>
      <c r="H215" s="28"/>
      <c r="I215" s="28"/>
      <c r="J215" s="9">
        <v>3810122</v>
      </c>
      <c r="K215" s="5">
        <v>121719342</v>
      </c>
      <c r="L215" s="5">
        <v>33802752</v>
      </c>
      <c r="M215" s="5"/>
      <c r="N215" s="5">
        <v>781318</v>
      </c>
      <c r="O215" s="5">
        <v>1278361</v>
      </c>
      <c r="P215" s="14">
        <v>39232618</v>
      </c>
      <c r="Q215" s="28"/>
      <c r="R215" s="5">
        <v>1639581645</v>
      </c>
      <c r="S215" s="5">
        <v>24756625</v>
      </c>
      <c r="T215" s="9">
        <v>539755060</v>
      </c>
      <c r="U215" s="5">
        <v>1486121</v>
      </c>
      <c r="V215" s="11">
        <v>3107214</v>
      </c>
      <c r="W215" s="5">
        <v>5315230</v>
      </c>
      <c r="X215" s="5">
        <v>2466474</v>
      </c>
      <c r="Y215" s="9">
        <v>383958167</v>
      </c>
      <c r="Z215" s="28"/>
      <c r="AA215" s="28"/>
      <c r="AB215" s="5">
        <v>16993347</v>
      </c>
      <c r="AC215" s="5">
        <v>804457</v>
      </c>
      <c r="AD215" s="28"/>
      <c r="AE215" s="28"/>
      <c r="AF215" s="28"/>
      <c r="AG215" s="5">
        <v>15694338</v>
      </c>
      <c r="AH215" s="5">
        <v>243056</v>
      </c>
      <c r="AI215" s="28"/>
      <c r="AJ215" s="5">
        <v>91795447</v>
      </c>
      <c r="AK215" s="28"/>
      <c r="AL215" s="5">
        <v>37138</v>
      </c>
      <c r="AM215" s="5">
        <v>9743</v>
      </c>
      <c r="AN215" s="5"/>
      <c r="AO215" s="49">
        <v>2960525917</v>
      </c>
    </row>
    <row r="216" spans="1:41" ht="10.5" customHeight="1">
      <c r="A216" s="6">
        <f t="shared" si="3"/>
        <v>1999</v>
      </c>
      <c r="B216" s="6" t="s">
        <v>42</v>
      </c>
      <c r="C216" s="4">
        <v>36404</v>
      </c>
      <c r="D216" s="28"/>
      <c r="E216" s="5">
        <v>16079484</v>
      </c>
      <c r="F216" s="28"/>
      <c r="G216" s="28"/>
      <c r="H216" s="28"/>
      <c r="I216" s="28"/>
      <c r="J216" s="9">
        <v>8423678</v>
      </c>
      <c r="K216" s="5">
        <v>118974126</v>
      </c>
      <c r="L216" s="5">
        <v>5186236</v>
      </c>
      <c r="M216" s="5"/>
      <c r="N216" s="5">
        <v>942117</v>
      </c>
      <c r="O216" s="5">
        <v>22537680</v>
      </c>
      <c r="P216" s="14">
        <v>39742879</v>
      </c>
      <c r="Q216" s="28"/>
      <c r="R216" s="5">
        <v>1754105954</v>
      </c>
      <c r="S216" s="5">
        <v>24860065</v>
      </c>
      <c r="T216" s="9">
        <v>566088616</v>
      </c>
      <c r="U216" s="5">
        <v>1430575</v>
      </c>
      <c r="V216" s="11">
        <v>3572882</v>
      </c>
      <c r="W216" s="5">
        <v>5936975</v>
      </c>
      <c r="X216" s="5">
        <v>2434643</v>
      </c>
      <c r="Y216" s="9">
        <v>386198451</v>
      </c>
      <c r="Z216" s="28"/>
      <c r="AA216" s="28"/>
      <c r="AB216" s="5">
        <v>17806188</v>
      </c>
      <c r="AC216" s="5">
        <v>1012466</v>
      </c>
      <c r="AD216" s="28"/>
      <c r="AE216" s="28"/>
      <c r="AF216" s="28"/>
      <c r="AG216" s="5">
        <v>24407233</v>
      </c>
      <c r="AH216" s="5">
        <v>392260</v>
      </c>
      <c r="AI216" s="28"/>
      <c r="AJ216" s="5">
        <v>91088753</v>
      </c>
      <c r="AK216" s="28"/>
      <c r="AL216" s="5">
        <v>293885</v>
      </c>
      <c r="AM216" s="5">
        <v>0</v>
      </c>
      <c r="AN216" s="5"/>
      <c r="AO216" s="49">
        <v>3109709465</v>
      </c>
    </row>
    <row r="217" spans="1:41" ht="10.5" customHeight="1">
      <c r="A217" s="6">
        <f t="shared" si="3"/>
        <v>1999</v>
      </c>
      <c r="B217" s="6" t="s">
        <v>43</v>
      </c>
      <c r="C217" s="4">
        <v>36434</v>
      </c>
      <c r="D217" s="28"/>
      <c r="E217" s="5">
        <v>18291633</v>
      </c>
      <c r="F217" s="28"/>
      <c r="G217" s="28"/>
      <c r="H217" s="28"/>
      <c r="I217" s="28"/>
      <c r="J217" s="9">
        <v>8370341</v>
      </c>
      <c r="K217" s="5">
        <v>124650252</v>
      </c>
      <c r="L217" s="5">
        <v>28723643</v>
      </c>
      <c r="M217" s="5"/>
      <c r="N217" s="5">
        <v>1131701</v>
      </c>
      <c r="O217" s="5">
        <v>31661152</v>
      </c>
      <c r="P217" s="14">
        <v>33080612</v>
      </c>
      <c r="Q217" s="28"/>
      <c r="R217" s="5">
        <v>1580319804</v>
      </c>
      <c r="S217" s="5">
        <v>24283953</v>
      </c>
      <c r="T217" s="9">
        <v>550604490</v>
      </c>
      <c r="U217" s="5">
        <v>1692676</v>
      </c>
      <c r="V217" s="11">
        <v>4280674</v>
      </c>
      <c r="W217" s="5">
        <v>5182708</v>
      </c>
      <c r="X217" s="5">
        <v>2278904</v>
      </c>
      <c r="Y217" s="9">
        <v>428950535</v>
      </c>
      <c r="Z217" s="28"/>
      <c r="AA217" s="28"/>
      <c r="AB217" s="5">
        <v>18200320</v>
      </c>
      <c r="AC217" s="5">
        <v>858441</v>
      </c>
      <c r="AD217" s="28"/>
      <c r="AE217" s="28"/>
      <c r="AF217" s="28"/>
      <c r="AG217" s="5">
        <v>17918284</v>
      </c>
      <c r="AH217" s="5">
        <v>326922</v>
      </c>
      <c r="AI217" s="28"/>
      <c r="AJ217" s="5">
        <v>93287904</v>
      </c>
      <c r="AK217" s="28"/>
      <c r="AL217" s="9">
        <v>38324</v>
      </c>
      <c r="AM217" s="5">
        <v>1958</v>
      </c>
      <c r="AN217" s="5"/>
      <c r="AO217" s="49">
        <v>2991116946</v>
      </c>
    </row>
    <row r="218" spans="1:41" ht="10.5" customHeight="1">
      <c r="A218" s="6">
        <f t="shared" si="3"/>
        <v>1999</v>
      </c>
      <c r="B218" s="6" t="s">
        <v>44</v>
      </c>
      <c r="C218" s="4">
        <v>36465</v>
      </c>
      <c r="D218" s="28"/>
      <c r="E218" s="5">
        <v>16032016</v>
      </c>
      <c r="F218" s="28"/>
      <c r="G218" s="28"/>
      <c r="H218" s="28"/>
      <c r="I218" s="28"/>
      <c r="J218" s="9">
        <v>8061713</v>
      </c>
      <c r="K218" s="5">
        <v>124190105</v>
      </c>
      <c r="L218" s="5">
        <v>2370766</v>
      </c>
      <c r="M218" s="5"/>
      <c r="N218" s="5">
        <v>1070365</v>
      </c>
      <c r="O218" s="5">
        <v>2625604</v>
      </c>
      <c r="P218" s="14">
        <v>34431437</v>
      </c>
      <c r="Q218" s="28"/>
      <c r="R218" s="5">
        <v>1907508787</v>
      </c>
      <c r="S218" s="5">
        <v>24616429</v>
      </c>
      <c r="T218" s="9">
        <v>594227223</v>
      </c>
      <c r="U218" s="5">
        <v>1544264</v>
      </c>
      <c r="V218" s="11">
        <v>3717194</v>
      </c>
      <c r="W218" s="5">
        <v>5007513</v>
      </c>
      <c r="X218" s="5">
        <v>2641553</v>
      </c>
      <c r="Y218" s="9">
        <v>408938050</v>
      </c>
      <c r="Z218" s="28"/>
      <c r="AA218" s="28"/>
      <c r="AB218" s="5">
        <v>17848033</v>
      </c>
      <c r="AC218" s="5">
        <v>792726</v>
      </c>
      <c r="AD218" s="28"/>
      <c r="AE218" s="28"/>
      <c r="AF218" s="28"/>
      <c r="AG218" s="5">
        <v>15019813</v>
      </c>
      <c r="AH218" s="5">
        <v>296505</v>
      </c>
      <c r="AI218" s="28"/>
      <c r="AJ218" s="5">
        <v>93253280</v>
      </c>
      <c r="AK218" s="28"/>
      <c r="AL218" s="9">
        <v>76671</v>
      </c>
      <c r="AM218" s="5">
        <v>238</v>
      </c>
      <c r="AN218" s="5"/>
      <c r="AO218" s="49">
        <v>3283599392</v>
      </c>
    </row>
    <row r="219" spans="1:41" ht="10.5" customHeight="1">
      <c r="A219" s="6">
        <f t="shared" si="3"/>
        <v>1999</v>
      </c>
      <c r="B219" s="6" t="s">
        <v>45</v>
      </c>
      <c r="C219" s="4">
        <v>36495</v>
      </c>
      <c r="D219" s="28"/>
      <c r="E219" s="5">
        <v>19901469</v>
      </c>
      <c r="F219" s="28"/>
      <c r="G219" s="28"/>
      <c r="H219" s="28"/>
      <c r="I219" s="28"/>
      <c r="J219" s="9">
        <v>6834796</v>
      </c>
      <c r="K219" s="5">
        <v>110393099</v>
      </c>
      <c r="L219" s="5">
        <v>22536293</v>
      </c>
      <c r="M219" s="5"/>
      <c r="N219" s="5">
        <v>1856804</v>
      </c>
      <c r="O219" s="5">
        <v>53109524</v>
      </c>
      <c r="P219" s="14">
        <v>40578204</v>
      </c>
      <c r="Q219" s="28"/>
      <c r="R219" s="5">
        <v>1763919039</v>
      </c>
      <c r="S219" s="5">
        <v>24314204</v>
      </c>
      <c r="T219" s="9">
        <v>685383640</v>
      </c>
      <c r="U219" s="5">
        <v>1833515</v>
      </c>
      <c r="V219" s="11">
        <v>4626360</v>
      </c>
      <c r="W219" s="5">
        <v>6085725</v>
      </c>
      <c r="X219" s="5">
        <v>2563039</v>
      </c>
      <c r="Y219" s="9">
        <v>374050306</v>
      </c>
      <c r="Z219" s="28"/>
      <c r="AA219" s="28"/>
      <c r="AB219" s="5">
        <v>18353168</v>
      </c>
      <c r="AC219" s="5">
        <v>1886374</v>
      </c>
      <c r="AD219" s="28"/>
      <c r="AE219" s="28"/>
      <c r="AF219" s="28"/>
      <c r="AG219" s="5">
        <v>16746130</v>
      </c>
      <c r="AH219" s="5">
        <v>357277</v>
      </c>
      <c r="AI219" s="28"/>
      <c r="AJ219" s="5">
        <v>93199246</v>
      </c>
      <c r="AK219" s="28"/>
      <c r="AL219" s="9">
        <v>23461</v>
      </c>
      <c r="AM219" s="5">
        <v>971</v>
      </c>
      <c r="AN219" s="5"/>
      <c r="AO219" s="49">
        <v>3267419953</v>
      </c>
    </row>
    <row r="220" spans="1:41" ht="10.5" customHeight="1">
      <c r="A220" s="6">
        <f t="shared" si="3"/>
        <v>2000</v>
      </c>
      <c r="B220" s="6" t="s">
        <v>34</v>
      </c>
      <c r="C220" s="4">
        <v>36526</v>
      </c>
      <c r="D220" s="28"/>
      <c r="E220" s="5">
        <v>18804852</v>
      </c>
      <c r="F220" s="28"/>
      <c r="G220" s="28"/>
      <c r="H220" s="28"/>
      <c r="I220" s="28"/>
      <c r="J220" s="9">
        <v>5894769</v>
      </c>
      <c r="K220" s="60">
        <v>119670898</v>
      </c>
      <c r="L220" s="60">
        <v>3443568</v>
      </c>
      <c r="M220" s="28"/>
      <c r="N220" s="5">
        <v>1615492</v>
      </c>
      <c r="O220" s="5">
        <v>1525931</v>
      </c>
      <c r="P220" s="14">
        <v>26960732</v>
      </c>
      <c r="Q220" s="28"/>
      <c r="R220" s="5">
        <v>1815377247</v>
      </c>
      <c r="S220" s="5">
        <v>24813867</v>
      </c>
      <c r="T220" s="9">
        <v>702740025</v>
      </c>
      <c r="U220" s="5">
        <v>1785704</v>
      </c>
      <c r="V220" s="11">
        <v>4504260</v>
      </c>
      <c r="W220" s="5">
        <v>5903441</v>
      </c>
      <c r="X220" s="5">
        <v>2983898</v>
      </c>
      <c r="Y220" s="9">
        <v>431915333</v>
      </c>
      <c r="Z220" s="28"/>
      <c r="AA220" s="28"/>
      <c r="AB220" s="5">
        <v>20381722</v>
      </c>
      <c r="AC220" s="5">
        <v>211387</v>
      </c>
      <c r="AD220" s="28"/>
      <c r="AE220" s="28"/>
      <c r="AF220" s="5">
        <v>136659</v>
      </c>
      <c r="AG220" s="5">
        <v>20167937</v>
      </c>
      <c r="AH220" s="5">
        <v>354289</v>
      </c>
      <c r="AI220" s="28"/>
      <c r="AJ220" s="5">
        <v>95962937</v>
      </c>
      <c r="AK220" s="28"/>
      <c r="AL220" s="9">
        <v>9075</v>
      </c>
      <c r="AM220" s="5">
        <v>9075</v>
      </c>
      <c r="AN220" s="5"/>
      <c r="AO220" s="49">
        <v>3321001035</v>
      </c>
    </row>
    <row r="221" spans="1:41" ht="10.5" customHeight="1">
      <c r="A221" s="6">
        <f t="shared" si="3"/>
        <v>2000</v>
      </c>
      <c r="B221" s="6" t="s">
        <v>35</v>
      </c>
      <c r="C221" s="4">
        <v>36557</v>
      </c>
      <c r="D221" s="28"/>
      <c r="E221" s="5">
        <v>34437777</v>
      </c>
      <c r="F221" s="28"/>
      <c r="G221" s="28"/>
      <c r="H221" s="28"/>
      <c r="I221" s="28"/>
      <c r="J221" s="9">
        <v>9849100</v>
      </c>
      <c r="K221" s="60">
        <v>120570861</v>
      </c>
      <c r="L221" s="60">
        <v>1760966</v>
      </c>
      <c r="M221" s="28"/>
      <c r="N221" s="5">
        <v>1651006</v>
      </c>
      <c r="O221" s="5">
        <v>1481135</v>
      </c>
      <c r="P221" s="14">
        <v>27532710</v>
      </c>
      <c r="Q221" s="28"/>
      <c r="R221" s="5">
        <v>1682557300</v>
      </c>
      <c r="S221" s="5">
        <v>26630746</v>
      </c>
      <c r="T221" s="9">
        <v>720494630</v>
      </c>
      <c r="U221" s="5">
        <v>4391456</v>
      </c>
      <c r="V221" s="11">
        <v>9235551</v>
      </c>
      <c r="W221" s="5">
        <v>5421860</v>
      </c>
      <c r="X221" s="5">
        <v>2574847</v>
      </c>
      <c r="Y221" s="9">
        <v>405918407</v>
      </c>
      <c r="Z221" s="28"/>
      <c r="AA221" s="28"/>
      <c r="AB221" s="5">
        <v>16806516</v>
      </c>
      <c r="AC221" s="5">
        <v>256923</v>
      </c>
      <c r="AD221" s="28"/>
      <c r="AE221" s="28"/>
      <c r="AF221" s="5">
        <v>138180</v>
      </c>
      <c r="AG221" s="5">
        <v>16211025</v>
      </c>
      <c r="AH221" s="5">
        <v>233877</v>
      </c>
      <c r="AI221" s="28"/>
      <c r="AJ221" s="5">
        <v>91641570</v>
      </c>
      <c r="AK221" s="28"/>
      <c r="AL221" s="9">
        <v>60916</v>
      </c>
      <c r="AM221" s="5">
        <v>60916</v>
      </c>
      <c r="AN221" s="5"/>
      <c r="AO221" s="49">
        <v>3197086264</v>
      </c>
    </row>
    <row r="222" spans="1:41" ht="10.5" customHeight="1">
      <c r="A222" s="6">
        <f t="shared" si="3"/>
        <v>2000</v>
      </c>
      <c r="B222" s="6" t="s">
        <v>36</v>
      </c>
      <c r="C222" s="4">
        <v>36586</v>
      </c>
      <c r="D222" s="28"/>
      <c r="E222" s="5">
        <v>17964855</v>
      </c>
      <c r="F222" s="28"/>
      <c r="G222" s="28"/>
      <c r="H222" s="28"/>
      <c r="I222" s="28"/>
      <c r="J222" s="9">
        <v>7006808</v>
      </c>
      <c r="K222" s="60">
        <v>123762877</v>
      </c>
      <c r="L222" s="60">
        <v>13766479</v>
      </c>
      <c r="M222" s="28"/>
      <c r="N222" s="5">
        <v>814515</v>
      </c>
      <c r="O222" s="5">
        <v>1261390</v>
      </c>
      <c r="P222" s="14">
        <v>29025082</v>
      </c>
      <c r="Q222" s="28"/>
      <c r="R222" s="5">
        <v>1682404620</v>
      </c>
      <c r="S222" s="5">
        <v>25479607</v>
      </c>
      <c r="T222" s="9">
        <v>698133819</v>
      </c>
      <c r="U222" s="5">
        <v>1531733</v>
      </c>
      <c r="V222" s="11">
        <v>3593818</v>
      </c>
      <c r="W222" s="5">
        <v>6987793</v>
      </c>
      <c r="X222" s="5">
        <v>2315241</v>
      </c>
      <c r="Y222" s="9">
        <v>406301677</v>
      </c>
      <c r="Z222" s="28"/>
      <c r="AA222" s="28"/>
      <c r="AB222" s="5">
        <v>17594659</v>
      </c>
      <c r="AC222" s="5">
        <v>679787</v>
      </c>
      <c r="AD222" s="28"/>
      <c r="AE222" s="28"/>
      <c r="AF222" s="5">
        <v>69797</v>
      </c>
      <c r="AG222" s="9">
        <v>19415933</v>
      </c>
      <c r="AH222" s="5">
        <v>304302</v>
      </c>
      <c r="AI222" s="28"/>
      <c r="AJ222" s="5">
        <v>93999350</v>
      </c>
      <c r="AK222" s="28"/>
      <c r="AL222" s="9">
        <v>965466</v>
      </c>
      <c r="AM222" s="5">
        <v>965466</v>
      </c>
      <c r="AN222" s="5"/>
      <c r="AO222" s="49">
        <v>3170465003</v>
      </c>
    </row>
    <row r="223" spans="1:41" ht="10.5" customHeight="1">
      <c r="A223" s="6">
        <f t="shared" si="3"/>
        <v>2000</v>
      </c>
      <c r="B223" s="6" t="s">
        <v>37</v>
      </c>
      <c r="C223" s="4">
        <v>36617</v>
      </c>
      <c r="D223" s="28"/>
      <c r="E223" s="5">
        <v>17554616</v>
      </c>
      <c r="F223" s="28"/>
      <c r="G223" s="28"/>
      <c r="H223" s="28"/>
      <c r="I223" s="28"/>
      <c r="J223" s="9">
        <v>67067916</v>
      </c>
      <c r="K223" s="60">
        <v>78781603</v>
      </c>
      <c r="L223" s="60">
        <v>16153758</v>
      </c>
      <c r="M223" s="28"/>
      <c r="N223" s="5">
        <v>830863</v>
      </c>
      <c r="O223" s="5">
        <v>1332267</v>
      </c>
      <c r="P223" s="14">
        <v>29353695</v>
      </c>
      <c r="Q223" s="28"/>
      <c r="R223" s="5">
        <v>1489749639</v>
      </c>
      <c r="S223" s="5">
        <v>23955947</v>
      </c>
      <c r="T223" s="9">
        <v>595281759</v>
      </c>
      <c r="U223" s="5">
        <v>2250190</v>
      </c>
      <c r="V223" s="11">
        <v>4403079</v>
      </c>
      <c r="W223" s="5">
        <v>5782525</v>
      </c>
      <c r="X223" s="5">
        <v>3045781</v>
      </c>
      <c r="Y223" s="9">
        <v>687095115</v>
      </c>
      <c r="Z223" s="28"/>
      <c r="AA223" s="28"/>
      <c r="AB223" s="5">
        <v>18027160</v>
      </c>
      <c r="AC223" s="5">
        <v>1346944</v>
      </c>
      <c r="AD223" s="28"/>
      <c r="AE223" s="28"/>
      <c r="AF223" s="5">
        <v>49174</v>
      </c>
      <c r="AG223" s="5">
        <v>26214854</v>
      </c>
      <c r="AH223" s="5">
        <v>369260</v>
      </c>
      <c r="AI223" s="28"/>
      <c r="AJ223" s="5">
        <v>92727495</v>
      </c>
      <c r="AK223" s="28"/>
      <c r="AL223" s="9">
        <v>18217</v>
      </c>
      <c r="AM223" s="5">
        <v>18217</v>
      </c>
      <c r="AN223" s="5"/>
      <c r="AO223" s="49">
        <v>3178163292</v>
      </c>
    </row>
    <row r="224" spans="1:41" ht="10.5" customHeight="1">
      <c r="A224" s="6">
        <f t="shared" si="3"/>
        <v>2000</v>
      </c>
      <c r="B224" s="6" t="s">
        <v>73</v>
      </c>
      <c r="C224" s="4">
        <v>36647</v>
      </c>
      <c r="D224" s="28"/>
      <c r="E224" s="5">
        <v>15825382</v>
      </c>
      <c r="F224" s="28"/>
      <c r="G224" s="28"/>
      <c r="H224" s="28"/>
      <c r="I224" s="28"/>
      <c r="J224" s="9">
        <v>7664106</v>
      </c>
      <c r="K224" s="60">
        <v>160996620</v>
      </c>
      <c r="L224" s="60">
        <v>8793177</v>
      </c>
      <c r="M224" s="28"/>
      <c r="N224" s="5">
        <v>671813</v>
      </c>
      <c r="O224" s="5">
        <v>13513732</v>
      </c>
      <c r="P224" s="14">
        <v>31763166</v>
      </c>
      <c r="Q224" s="28"/>
      <c r="R224" s="5">
        <v>1678249582</v>
      </c>
      <c r="S224" s="5">
        <v>27172200</v>
      </c>
      <c r="T224" s="9">
        <v>603933000</v>
      </c>
      <c r="U224" s="5">
        <v>1828478</v>
      </c>
      <c r="V224" s="11">
        <v>3707695</v>
      </c>
      <c r="W224" s="5">
        <v>5761766</v>
      </c>
      <c r="X224" s="5">
        <v>2557731</v>
      </c>
      <c r="Y224" s="9">
        <v>379333994</v>
      </c>
      <c r="Z224" s="28"/>
      <c r="AA224" s="28"/>
      <c r="AB224" s="5">
        <v>16656966</v>
      </c>
      <c r="AC224" s="5">
        <v>1036634</v>
      </c>
      <c r="AD224" s="28"/>
      <c r="AE224" s="28"/>
      <c r="AF224" s="5">
        <v>44669</v>
      </c>
      <c r="AG224" s="9">
        <v>17433809</v>
      </c>
      <c r="AH224" s="5">
        <v>339275</v>
      </c>
      <c r="AI224" s="28"/>
      <c r="AJ224" s="5">
        <v>95214169</v>
      </c>
      <c r="AK224" s="28"/>
      <c r="AL224" s="9">
        <v>361816</v>
      </c>
      <c r="AM224" s="5">
        <v>361816</v>
      </c>
      <c r="AN224" s="5"/>
      <c r="AO224" s="49">
        <v>3089799305</v>
      </c>
    </row>
    <row r="225" spans="1:41" ht="10.5" customHeight="1">
      <c r="A225" s="6">
        <f t="shared" si="3"/>
        <v>2000</v>
      </c>
      <c r="B225" s="6" t="s">
        <v>39</v>
      </c>
      <c r="C225" s="4">
        <v>36678</v>
      </c>
      <c r="D225" s="28"/>
      <c r="E225" s="5">
        <v>22068835</v>
      </c>
      <c r="F225" s="28"/>
      <c r="G225" s="28"/>
      <c r="H225" s="28"/>
      <c r="I225" s="28"/>
      <c r="J225" s="9">
        <v>5837563</v>
      </c>
      <c r="K225" s="60">
        <v>133185787</v>
      </c>
      <c r="L225" s="60">
        <v>28026994</v>
      </c>
      <c r="M225" s="28"/>
      <c r="N225" s="5">
        <v>720466</v>
      </c>
      <c r="O225" s="5">
        <v>1983283</v>
      </c>
      <c r="P225" s="14">
        <v>32584710</v>
      </c>
      <c r="Q225" s="28"/>
      <c r="R225" s="5">
        <v>1537306852</v>
      </c>
      <c r="S225" s="5">
        <v>23563291</v>
      </c>
      <c r="T225" s="9">
        <v>597999566</v>
      </c>
      <c r="U225" s="5">
        <v>2119373</v>
      </c>
      <c r="V225" s="11">
        <v>4807701</v>
      </c>
      <c r="W225" s="5">
        <v>7002741</v>
      </c>
      <c r="X225" s="5">
        <v>2415252</v>
      </c>
      <c r="Y225" s="9">
        <v>395358776</v>
      </c>
      <c r="Z225" s="28"/>
      <c r="AA225" s="28"/>
      <c r="AB225" s="5">
        <v>17987694</v>
      </c>
      <c r="AC225" s="5">
        <v>659418</v>
      </c>
      <c r="AD225" s="28"/>
      <c r="AE225" s="28"/>
      <c r="AF225" s="5">
        <v>145231</v>
      </c>
      <c r="AG225" s="9">
        <v>25101548</v>
      </c>
      <c r="AH225" s="5">
        <v>440768</v>
      </c>
      <c r="AI225" s="28"/>
      <c r="AJ225" s="5">
        <v>96459813</v>
      </c>
      <c r="AK225" s="28"/>
      <c r="AL225" s="9">
        <v>74193</v>
      </c>
      <c r="AM225" s="5">
        <v>74193</v>
      </c>
      <c r="AN225" s="5"/>
      <c r="AO225" s="49">
        <v>2954529011</v>
      </c>
    </row>
    <row r="226" spans="1:41" ht="10.5" customHeight="1">
      <c r="A226" s="6">
        <f t="shared" si="3"/>
        <v>2000</v>
      </c>
      <c r="B226" s="6" t="s">
        <v>40</v>
      </c>
      <c r="C226" s="4">
        <v>36708</v>
      </c>
      <c r="D226" s="28"/>
      <c r="E226" s="5">
        <v>15081154</v>
      </c>
      <c r="F226" s="28"/>
      <c r="G226" s="28"/>
      <c r="H226" s="28"/>
      <c r="I226" s="28"/>
      <c r="J226" s="9">
        <v>8346774</v>
      </c>
      <c r="K226" s="60">
        <v>125668713</v>
      </c>
      <c r="L226" s="60">
        <v>5772071</v>
      </c>
      <c r="M226" s="28"/>
      <c r="N226" s="5">
        <v>1246001</v>
      </c>
      <c r="O226" s="5">
        <v>1929074</v>
      </c>
      <c r="P226" s="14">
        <v>30900793</v>
      </c>
      <c r="Q226" s="28"/>
      <c r="R226" s="5">
        <v>1644029422</v>
      </c>
      <c r="S226" s="5">
        <v>24622075</v>
      </c>
      <c r="T226" s="9">
        <v>554777322</v>
      </c>
      <c r="U226" s="5">
        <v>1560460</v>
      </c>
      <c r="V226" s="11">
        <v>3808094</v>
      </c>
      <c r="W226" s="5">
        <v>6052493</v>
      </c>
      <c r="X226" s="5">
        <v>2637602</v>
      </c>
      <c r="Y226" s="9">
        <v>401223401</v>
      </c>
      <c r="Z226" s="28"/>
      <c r="AA226" s="28"/>
      <c r="AB226" s="5">
        <v>17793974</v>
      </c>
      <c r="AC226" s="5">
        <v>887298</v>
      </c>
      <c r="AD226" s="28"/>
      <c r="AE226" s="28"/>
      <c r="AF226" s="5">
        <v>165948</v>
      </c>
      <c r="AG226" s="9">
        <v>26670521</v>
      </c>
      <c r="AH226" s="5">
        <v>434830</v>
      </c>
      <c r="AI226" s="28"/>
      <c r="AJ226" s="5">
        <v>86264050</v>
      </c>
      <c r="AK226" s="28"/>
      <c r="AL226" s="9">
        <v>176233</v>
      </c>
      <c r="AM226" s="5">
        <v>176233</v>
      </c>
      <c r="AN226" s="5"/>
      <c r="AO226" s="49">
        <v>2975982442</v>
      </c>
    </row>
    <row r="227" spans="1:41" ht="10.5" customHeight="1">
      <c r="A227" s="6">
        <f t="shared" si="3"/>
        <v>2000</v>
      </c>
      <c r="B227" s="6" t="s">
        <v>41</v>
      </c>
      <c r="C227" s="4">
        <v>36739</v>
      </c>
      <c r="D227" s="28"/>
      <c r="E227" s="5">
        <v>17036286</v>
      </c>
      <c r="F227" s="28"/>
      <c r="G227" s="28"/>
      <c r="H227" s="28"/>
      <c r="I227" s="28"/>
      <c r="J227" s="9">
        <v>5854195</v>
      </c>
      <c r="K227" s="60">
        <v>131171125</v>
      </c>
      <c r="L227" s="60">
        <v>46740597</v>
      </c>
      <c r="M227" s="28"/>
      <c r="N227" s="5">
        <v>1254335</v>
      </c>
      <c r="O227" s="5">
        <v>1647554</v>
      </c>
      <c r="P227" s="14">
        <v>38628861</v>
      </c>
      <c r="Q227" s="28"/>
      <c r="R227" s="5">
        <v>1581747093</v>
      </c>
      <c r="S227" s="5">
        <v>24582375</v>
      </c>
      <c r="T227" s="9">
        <v>599703766</v>
      </c>
      <c r="U227" s="5">
        <v>1666377</v>
      </c>
      <c r="V227" s="11">
        <v>3856314</v>
      </c>
      <c r="W227" s="5">
        <v>5772848</v>
      </c>
      <c r="X227" s="5">
        <v>2614782</v>
      </c>
      <c r="Y227" s="9">
        <v>404290405</v>
      </c>
      <c r="Z227" s="28"/>
      <c r="AA227" s="28"/>
      <c r="AB227" s="5">
        <v>16181319</v>
      </c>
      <c r="AC227" s="5">
        <v>892637</v>
      </c>
      <c r="AD227" s="28"/>
      <c r="AE227" s="28"/>
      <c r="AF227" s="5">
        <v>653909</v>
      </c>
      <c r="AG227" s="9">
        <v>17271395</v>
      </c>
      <c r="AH227" s="5">
        <v>264484</v>
      </c>
      <c r="AI227" s="28"/>
      <c r="AJ227" s="5">
        <v>84459734</v>
      </c>
      <c r="AK227" s="28"/>
      <c r="AL227" s="9">
        <v>197867</v>
      </c>
      <c r="AM227" s="5">
        <v>197867</v>
      </c>
      <c r="AN227" s="5"/>
      <c r="AO227" s="49">
        <v>3001835879</v>
      </c>
    </row>
    <row r="228" spans="1:41" ht="10.5" customHeight="1">
      <c r="A228" s="6">
        <f t="shared" si="3"/>
        <v>2000</v>
      </c>
      <c r="B228" s="6" t="s">
        <v>42</v>
      </c>
      <c r="C228" s="4">
        <v>36770</v>
      </c>
      <c r="D228" s="28"/>
      <c r="E228" s="5">
        <v>14103320</v>
      </c>
      <c r="F228" s="28"/>
      <c r="G228" s="28"/>
      <c r="H228" s="28"/>
      <c r="I228" s="28"/>
      <c r="J228" s="9">
        <v>8738379</v>
      </c>
      <c r="K228" s="60">
        <v>129376092</v>
      </c>
      <c r="L228" s="60">
        <v>4753426</v>
      </c>
      <c r="M228" s="28"/>
      <c r="N228" s="5">
        <v>1386603</v>
      </c>
      <c r="O228" s="5">
        <v>17795717</v>
      </c>
      <c r="P228" s="14">
        <v>33000659</v>
      </c>
      <c r="Q228" s="28"/>
      <c r="R228" s="5">
        <v>1686870175</v>
      </c>
      <c r="S228" s="5">
        <v>24153756</v>
      </c>
      <c r="T228" s="9">
        <v>576112202</v>
      </c>
      <c r="U228" s="5">
        <v>1680187</v>
      </c>
      <c r="V228" s="11">
        <v>4068616</v>
      </c>
      <c r="W228" s="5">
        <v>7555838</v>
      </c>
      <c r="X228" s="5">
        <v>2641539</v>
      </c>
      <c r="Y228" s="9">
        <v>402355258</v>
      </c>
      <c r="Z228" s="28"/>
      <c r="AA228" s="28"/>
      <c r="AB228" s="5">
        <v>16547869</v>
      </c>
      <c r="AC228" s="5">
        <v>1041948</v>
      </c>
      <c r="AD228" s="28"/>
      <c r="AE228" s="28"/>
      <c r="AF228" s="5">
        <v>986402</v>
      </c>
      <c r="AG228" s="9">
        <v>28678525</v>
      </c>
      <c r="AH228" s="5">
        <v>304113</v>
      </c>
      <c r="AI228" s="28"/>
      <c r="AJ228" s="5">
        <v>89911187</v>
      </c>
      <c r="AK228" s="28"/>
      <c r="AL228" s="9">
        <v>84353</v>
      </c>
      <c r="AM228" s="5">
        <v>84353</v>
      </c>
      <c r="AN228" s="5"/>
      <c r="AO228" s="49">
        <v>3067355358</v>
      </c>
    </row>
    <row r="229" spans="1:41" ht="10.5" customHeight="1">
      <c r="A229" s="6">
        <f t="shared" si="3"/>
        <v>2000</v>
      </c>
      <c r="B229" s="6" t="s">
        <v>43</v>
      </c>
      <c r="C229" s="4">
        <v>36800</v>
      </c>
      <c r="D229" s="28"/>
      <c r="E229" s="5">
        <v>17669922</v>
      </c>
      <c r="F229" s="28"/>
      <c r="G229" s="28"/>
      <c r="H229" s="28"/>
      <c r="I229" s="28"/>
      <c r="J229" s="9">
        <v>8702518</v>
      </c>
      <c r="K229" s="60">
        <v>126670819</v>
      </c>
      <c r="L229" s="60">
        <v>1900920</v>
      </c>
      <c r="M229" s="28"/>
      <c r="N229" s="5">
        <v>1456188</v>
      </c>
      <c r="O229" s="5">
        <v>29811706</v>
      </c>
      <c r="P229" s="14">
        <v>28952444</v>
      </c>
      <c r="Q229" s="28"/>
      <c r="R229" s="5">
        <v>1605594746</v>
      </c>
      <c r="S229" s="5">
        <v>22557593</v>
      </c>
      <c r="T229" s="9">
        <v>636375402</v>
      </c>
      <c r="U229" s="5">
        <v>1488437</v>
      </c>
      <c r="V229" s="11">
        <v>4071790</v>
      </c>
      <c r="W229" s="5">
        <v>5635311</v>
      </c>
      <c r="X229" s="5">
        <v>2781466</v>
      </c>
      <c r="Y229" s="9">
        <v>413328952</v>
      </c>
      <c r="Z229" s="28"/>
      <c r="AA229" s="28"/>
      <c r="AB229" s="5">
        <v>16905398</v>
      </c>
      <c r="AC229" s="5">
        <v>995518</v>
      </c>
      <c r="AD229" s="28"/>
      <c r="AE229" s="28"/>
      <c r="AF229" s="5">
        <v>1284314</v>
      </c>
      <c r="AG229" s="9">
        <v>26003474</v>
      </c>
      <c r="AH229" s="5">
        <v>314570</v>
      </c>
      <c r="AI229" s="28"/>
      <c r="AJ229" s="5">
        <v>85311507</v>
      </c>
      <c r="AK229" s="28"/>
      <c r="AL229" s="9">
        <v>14977</v>
      </c>
      <c r="AM229" s="5">
        <v>14977</v>
      </c>
      <c r="AN229" s="5"/>
      <c r="AO229" s="49">
        <v>3051783983</v>
      </c>
    </row>
    <row r="230" spans="1:41" ht="10.5" customHeight="1">
      <c r="A230" s="6">
        <f t="shared" si="3"/>
        <v>2000</v>
      </c>
      <c r="B230" s="6" t="s">
        <v>44</v>
      </c>
      <c r="C230" s="4">
        <v>36831</v>
      </c>
      <c r="D230" s="28"/>
      <c r="E230" s="5">
        <v>14448944</v>
      </c>
      <c r="F230" s="28"/>
      <c r="G230" s="28"/>
      <c r="H230" s="28"/>
      <c r="I230" s="28"/>
      <c r="J230" s="9">
        <v>13053332</v>
      </c>
      <c r="K230" s="60">
        <v>111665879</v>
      </c>
      <c r="L230" s="60">
        <v>2178123</v>
      </c>
      <c r="M230" s="28"/>
      <c r="N230" s="5">
        <v>1782294</v>
      </c>
      <c r="O230" s="5">
        <v>2007040</v>
      </c>
      <c r="P230" s="14">
        <v>27591326</v>
      </c>
      <c r="Q230" s="28"/>
      <c r="R230" s="5">
        <v>1589619482</v>
      </c>
      <c r="S230" s="5">
        <v>24640895</v>
      </c>
      <c r="T230" s="9">
        <v>627839361</v>
      </c>
      <c r="U230" s="5">
        <v>992753</v>
      </c>
      <c r="V230" s="11">
        <v>2745362</v>
      </c>
      <c r="W230" s="5">
        <v>6297795</v>
      </c>
      <c r="X230" s="5">
        <v>1534426</v>
      </c>
      <c r="Y230" s="9">
        <v>339310636</v>
      </c>
      <c r="Z230" s="28"/>
      <c r="AA230" s="28"/>
      <c r="AB230" s="5">
        <v>15440265</v>
      </c>
      <c r="AC230" s="5">
        <v>787789</v>
      </c>
      <c r="AD230" s="28"/>
      <c r="AE230" s="28"/>
      <c r="AF230" s="5">
        <v>1069925</v>
      </c>
      <c r="AG230" s="9">
        <v>19710826</v>
      </c>
      <c r="AH230" s="5">
        <v>523847</v>
      </c>
      <c r="AI230" s="28"/>
      <c r="AJ230" s="5">
        <v>87412813</v>
      </c>
      <c r="AK230" s="28"/>
      <c r="AL230" s="9">
        <v>182111</v>
      </c>
      <c r="AM230" s="5">
        <v>182111</v>
      </c>
      <c r="AN230" s="5"/>
      <c r="AO230" s="49">
        <v>2905797196</v>
      </c>
    </row>
    <row r="231" spans="1:41" ht="10.5" customHeight="1">
      <c r="A231" s="6">
        <f t="shared" si="3"/>
        <v>2000</v>
      </c>
      <c r="B231" s="6" t="s">
        <v>45</v>
      </c>
      <c r="C231" s="4">
        <v>36861</v>
      </c>
      <c r="D231" s="28"/>
      <c r="E231" s="5">
        <v>17857114</v>
      </c>
      <c r="F231" s="28"/>
      <c r="G231" s="28"/>
      <c r="H231" s="28"/>
      <c r="I231" s="28"/>
      <c r="J231" s="9">
        <v>5959681</v>
      </c>
      <c r="K231" s="60">
        <v>145205649</v>
      </c>
      <c r="L231" s="60">
        <v>21363568</v>
      </c>
      <c r="M231" s="28"/>
      <c r="N231" s="5">
        <v>1962089</v>
      </c>
      <c r="O231" s="5">
        <v>34024617</v>
      </c>
      <c r="P231" s="14">
        <v>35978862</v>
      </c>
      <c r="Q231" s="28"/>
      <c r="R231" s="5">
        <v>1916151220</v>
      </c>
      <c r="S231" s="5">
        <v>23346833</v>
      </c>
      <c r="T231" s="9">
        <v>684136213</v>
      </c>
      <c r="U231" s="5">
        <v>1742332</v>
      </c>
      <c r="V231" s="11">
        <v>3808540</v>
      </c>
      <c r="W231" s="5">
        <v>8272730</v>
      </c>
      <c r="X231" s="5">
        <v>4315020</v>
      </c>
      <c r="Y231" s="9">
        <v>429698519</v>
      </c>
      <c r="Z231" s="28"/>
      <c r="AA231" s="28"/>
      <c r="AB231" s="5">
        <v>21117079</v>
      </c>
      <c r="AC231" s="5">
        <v>1355360</v>
      </c>
      <c r="AD231" s="28"/>
      <c r="AE231" s="28"/>
      <c r="AF231" s="5">
        <v>821566</v>
      </c>
      <c r="AG231" s="9">
        <v>22173603</v>
      </c>
      <c r="AH231" s="5">
        <v>446767</v>
      </c>
      <c r="AI231" s="28"/>
      <c r="AJ231" s="5">
        <v>92617327</v>
      </c>
      <c r="AK231" s="28"/>
      <c r="AL231" s="9">
        <v>588234</v>
      </c>
      <c r="AM231" s="5">
        <v>588234</v>
      </c>
      <c r="AN231" s="5"/>
      <c r="AO231" s="49">
        <v>3489111627</v>
      </c>
    </row>
    <row r="232" spans="1:41" ht="10.5" customHeight="1">
      <c r="A232" s="6">
        <f t="shared" si="3"/>
        <v>2001</v>
      </c>
      <c r="B232" s="6" t="s">
        <v>34</v>
      </c>
      <c r="C232" s="4">
        <v>36892</v>
      </c>
      <c r="D232" s="28"/>
      <c r="E232" s="5">
        <v>20141002</v>
      </c>
      <c r="F232" s="28"/>
      <c r="G232" s="28"/>
      <c r="H232" s="28"/>
      <c r="I232" s="28"/>
      <c r="J232" s="9">
        <v>11887259</v>
      </c>
      <c r="K232" s="60">
        <v>140664337</v>
      </c>
      <c r="L232" s="60">
        <v>5257143</v>
      </c>
      <c r="M232" s="28"/>
      <c r="N232" s="5">
        <v>5307859</v>
      </c>
      <c r="O232" s="5">
        <v>21162545</v>
      </c>
      <c r="P232" s="14">
        <v>34813899</v>
      </c>
      <c r="Q232" s="28"/>
      <c r="R232" s="5">
        <v>1962863419</v>
      </c>
      <c r="S232" s="5">
        <v>24059339</v>
      </c>
      <c r="T232" s="9">
        <v>806767091</v>
      </c>
      <c r="U232" s="5">
        <v>2315185</v>
      </c>
      <c r="V232" s="11">
        <v>5519277</v>
      </c>
      <c r="W232" s="5">
        <v>6345851</v>
      </c>
      <c r="X232" s="5">
        <v>3267055</v>
      </c>
      <c r="Y232" s="9">
        <v>404142109</v>
      </c>
      <c r="Z232" s="28"/>
      <c r="AA232" s="28"/>
      <c r="AB232" s="5">
        <v>6345851</v>
      </c>
      <c r="AC232" s="5">
        <v>271778</v>
      </c>
      <c r="AD232" s="28"/>
      <c r="AE232" s="28"/>
      <c r="AF232" s="5">
        <v>746558</v>
      </c>
      <c r="AG232" s="5">
        <v>16593183</v>
      </c>
      <c r="AH232" s="5">
        <v>456351</v>
      </c>
      <c r="AI232" s="28"/>
      <c r="AJ232" s="5">
        <v>83006939</v>
      </c>
      <c r="AK232" s="28"/>
      <c r="AL232" s="9">
        <v>283249</v>
      </c>
      <c r="AM232" s="5">
        <v>1538</v>
      </c>
      <c r="AN232" s="5"/>
      <c r="AO232" s="49">
        <v>3592525897</v>
      </c>
    </row>
    <row r="233" spans="1:41" ht="10.5" customHeight="1">
      <c r="A233" s="6">
        <f t="shared" si="3"/>
        <v>2001</v>
      </c>
      <c r="B233" s="6" t="s">
        <v>35</v>
      </c>
      <c r="C233" s="4">
        <v>36923</v>
      </c>
      <c r="D233" s="28"/>
      <c r="E233" s="5">
        <v>21158186</v>
      </c>
      <c r="F233" s="28"/>
      <c r="G233" s="28"/>
      <c r="H233" s="28"/>
      <c r="I233" s="28"/>
      <c r="J233" s="9">
        <v>9853920</v>
      </c>
      <c r="K233" s="60">
        <v>125060226</v>
      </c>
      <c r="L233" s="60">
        <v>2678584</v>
      </c>
      <c r="M233" s="28"/>
      <c r="N233" s="5">
        <v>1252548</v>
      </c>
      <c r="O233" s="5">
        <v>1901040</v>
      </c>
      <c r="P233" s="14">
        <v>22103693</v>
      </c>
      <c r="Q233" s="28"/>
      <c r="R233" s="5">
        <v>1583486339</v>
      </c>
      <c r="S233" s="5">
        <v>24348686</v>
      </c>
      <c r="T233" s="9">
        <v>790874882</v>
      </c>
      <c r="U233" s="5">
        <v>2187314</v>
      </c>
      <c r="V233" s="11">
        <v>5125496</v>
      </c>
      <c r="W233" s="5">
        <v>6032989</v>
      </c>
      <c r="X233" s="5">
        <v>2784579</v>
      </c>
      <c r="Y233" s="9">
        <v>405646525</v>
      </c>
      <c r="Z233" s="28"/>
      <c r="AA233" s="28"/>
      <c r="AB233" s="5">
        <v>6032989</v>
      </c>
      <c r="AC233" s="5">
        <v>54485</v>
      </c>
      <c r="AD233" s="28"/>
      <c r="AE233" s="28"/>
      <c r="AF233" s="5">
        <v>739295</v>
      </c>
      <c r="AG233" s="5">
        <v>16546493</v>
      </c>
      <c r="AH233" s="5">
        <v>288587</v>
      </c>
      <c r="AI233" s="28"/>
      <c r="AJ233" s="5">
        <v>89641188</v>
      </c>
      <c r="AK233" s="28"/>
      <c r="AL233" s="9">
        <v>116216</v>
      </c>
      <c r="AM233" s="5">
        <v>1570</v>
      </c>
      <c r="AN233" s="5"/>
      <c r="AO233" s="49">
        <v>3143269979</v>
      </c>
    </row>
    <row r="234" spans="1:41" ht="10.5" customHeight="1">
      <c r="A234" s="6">
        <f t="shared" si="3"/>
        <v>2001</v>
      </c>
      <c r="B234" s="6" t="s">
        <v>36</v>
      </c>
      <c r="C234" s="4">
        <v>36951</v>
      </c>
      <c r="D234" s="28"/>
      <c r="E234" s="5">
        <v>19197905</v>
      </c>
      <c r="F234" s="28"/>
      <c r="G234" s="28"/>
      <c r="H234" s="28"/>
      <c r="I234" s="28"/>
      <c r="J234" s="9">
        <v>9200404</v>
      </c>
      <c r="K234" s="60">
        <v>130355419</v>
      </c>
      <c r="L234" s="60">
        <v>19071616</v>
      </c>
      <c r="M234" s="28"/>
      <c r="N234" s="5">
        <v>897994</v>
      </c>
      <c r="O234" s="5">
        <v>639456</v>
      </c>
      <c r="P234" s="14">
        <v>26883007</v>
      </c>
      <c r="Q234" s="28"/>
      <c r="R234" s="5">
        <v>1854161875</v>
      </c>
      <c r="S234" s="5">
        <v>24984062</v>
      </c>
      <c r="T234" s="9">
        <v>805112194</v>
      </c>
      <c r="U234" s="5">
        <v>1722354</v>
      </c>
      <c r="V234" s="11">
        <v>4487577</v>
      </c>
      <c r="W234" s="5">
        <v>6182096</v>
      </c>
      <c r="X234" s="5">
        <v>2132044</v>
      </c>
      <c r="Y234" s="9">
        <v>380542539</v>
      </c>
      <c r="Z234" s="28"/>
      <c r="AA234" s="28"/>
      <c r="AB234" s="5">
        <v>6182096</v>
      </c>
      <c r="AC234" s="5">
        <v>398261</v>
      </c>
      <c r="AD234" s="28"/>
      <c r="AE234" s="28"/>
      <c r="AF234" s="5">
        <v>555782</v>
      </c>
      <c r="AG234" s="5">
        <v>18564998</v>
      </c>
      <c r="AH234" s="5">
        <v>462527</v>
      </c>
      <c r="AI234" s="28"/>
      <c r="AJ234" s="5">
        <v>87506239</v>
      </c>
      <c r="AK234" s="28"/>
      <c r="AL234" s="9">
        <v>183998</v>
      </c>
      <c r="AM234" s="5">
        <v>1693</v>
      </c>
      <c r="AN234" s="5"/>
      <c r="AO234" s="49">
        <v>3430822927</v>
      </c>
    </row>
    <row r="235" spans="1:41" ht="10.5" customHeight="1">
      <c r="A235" s="6">
        <f t="shared" si="3"/>
        <v>2001</v>
      </c>
      <c r="B235" s="6" t="s">
        <v>37</v>
      </c>
      <c r="C235" s="4">
        <v>36982</v>
      </c>
      <c r="D235" s="28"/>
      <c r="E235" s="5">
        <v>20423050</v>
      </c>
      <c r="F235" s="28"/>
      <c r="G235" s="28"/>
      <c r="H235" s="28"/>
      <c r="I235" s="28"/>
      <c r="J235" s="9">
        <v>76561107</v>
      </c>
      <c r="K235" s="60">
        <v>80704193</v>
      </c>
      <c r="L235" s="60">
        <v>5825147</v>
      </c>
      <c r="M235" s="28"/>
      <c r="N235" s="5">
        <v>772379</v>
      </c>
      <c r="O235" s="5">
        <v>475443</v>
      </c>
      <c r="P235" s="14">
        <v>28364376</v>
      </c>
      <c r="Q235" s="28"/>
      <c r="R235" s="5">
        <v>1718689909</v>
      </c>
      <c r="S235" s="5">
        <v>23953884</v>
      </c>
      <c r="T235" s="9">
        <v>682941896</v>
      </c>
      <c r="U235" s="5">
        <v>2262245</v>
      </c>
      <c r="V235" s="11">
        <v>4842951</v>
      </c>
      <c r="W235" s="5">
        <v>6979167</v>
      </c>
      <c r="X235" s="5">
        <v>2676922</v>
      </c>
      <c r="Y235" s="9">
        <v>602558485</v>
      </c>
      <c r="Z235" s="28"/>
      <c r="AA235" s="28"/>
      <c r="AB235" s="5">
        <v>6979167</v>
      </c>
      <c r="AC235" s="5">
        <v>785496</v>
      </c>
      <c r="AD235" s="28"/>
      <c r="AE235" s="28"/>
      <c r="AF235" s="5">
        <v>412229</v>
      </c>
      <c r="AG235" s="5">
        <v>26344377</v>
      </c>
      <c r="AH235" s="5">
        <v>560816</v>
      </c>
      <c r="AI235" s="28"/>
      <c r="AJ235" s="5">
        <v>102208360</v>
      </c>
      <c r="AK235" s="28"/>
      <c r="AL235" s="9">
        <v>8282</v>
      </c>
      <c r="AM235" s="5">
        <v>0</v>
      </c>
      <c r="AN235" s="5"/>
      <c r="AO235" s="49">
        <v>3425121214</v>
      </c>
    </row>
    <row r="236" spans="1:41" ht="10.5" customHeight="1">
      <c r="A236" s="6">
        <f t="shared" si="3"/>
        <v>2001</v>
      </c>
      <c r="B236" s="6" t="s">
        <v>73</v>
      </c>
      <c r="C236" s="4">
        <v>37012</v>
      </c>
      <c r="D236" s="28"/>
      <c r="E236" s="5">
        <v>16586451</v>
      </c>
      <c r="F236" s="28"/>
      <c r="G236" s="28"/>
      <c r="H236" s="28"/>
      <c r="I236" s="28"/>
      <c r="J236" s="9">
        <v>7830219</v>
      </c>
      <c r="K236" s="60">
        <v>161998958</v>
      </c>
      <c r="L236" s="60">
        <v>3672417</v>
      </c>
      <c r="M236" s="28"/>
      <c r="N236" s="5">
        <v>1112171</v>
      </c>
      <c r="O236" s="5">
        <v>13360362</v>
      </c>
      <c r="P236" s="14">
        <v>35571474</v>
      </c>
      <c r="Q236" s="28"/>
      <c r="R236" s="5">
        <v>1722936530</v>
      </c>
      <c r="S236" s="5">
        <v>24365265</v>
      </c>
      <c r="T236" s="9">
        <v>651510978</v>
      </c>
      <c r="U236" s="5">
        <v>1788777</v>
      </c>
      <c r="V236" s="11">
        <v>4012229</v>
      </c>
      <c r="W236" s="5">
        <v>6300205</v>
      </c>
      <c r="X236" s="5">
        <v>2354008</v>
      </c>
      <c r="Y236" s="9">
        <v>376088217</v>
      </c>
      <c r="Z236" s="49">
        <v>243375</v>
      </c>
      <c r="AA236" s="5">
        <v>37780</v>
      </c>
      <c r="AB236" s="5">
        <v>6300205</v>
      </c>
      <c r="AC236" s="5">
        <v>678826</v>
      </c>
      <c r="AD236" s="28"/>
      <c r="AE236" s="28"/>
      <c r="AF236" s="5">
        <v>336143</v>
      </c>
      <c r="AG236" s="5">
        <v>17683617</v>
      </c>
      <c r="AH236" s="5">
        <v>415276</v>
      </c>
      <c r="AI236" s="28"/>
      <c r="AJ236" s="5">
        <v>106222006</v>
      </c>
      <c r="AK236" s="5">
        <v>10330821</v>
      </c>
      <c r="AL236" s="9">
        <v>52922</v>
      </c>
      <c r="AM236" s="5">
        <v>3045</v>
      </c>
      <c r="AN236" s="5"/>
      <c r="AO236" s="49">
        <v>3198960479</v>
      </c>
    </row>
    <row r="237" spans="1:41" ht="10.5" customHeight="1">
      <c r="A237" s="6">
        <f t="shared" si="3"/>
        <v>2001</v>
      </c>
      <c r="B237" s="6" t="s">
        <v>39</v>
      </c>
      <c r="C237" s="4">
        <v>37043</v>
      </c>
      <c r="D237" s="28"/>
      <c r="E237" s="5">
        <v>9395554</v>
      </c>
      <c r="F237" s="28"/>
      <c r="G237" s="28"/>
      <c r="H237" s="28"/>
      <c r="I237" s="28"/>
      <c r="J237" s="9">
        <v>5943113</v>
      </c>
      <c r="K237" s="60">
        <v>118515382</v>
      </c>
      <c r="L237" s="60">
        <v>961656</v>
      </c>
      <c r="M237" s="28"/>
      <c r="N237" s="5">
        <v>1428672</v>
      </c>
      <c r="O237" s="5">
        <v>1385174</v>
      </c>
      <c r="P237" s="14">
        <v>31084231</v>
      </c>
      <c r="Q237" s="28"/>
      <c r="R237" s="5">
        <v>1492834633</v>
      </c>
      <c r="S237" s="5">
        <v>23417661</v>
      </c>
      <c r="T237" s="9">
        <v>605634302</v>
      </c>
      <c r="U237" s="5">
        <v>828685</v>
      </c>
      <c r="V237" s="11">
        <v>2453781</v>
      </c>
      <c r="W237" s="5">
        <v>8776574</v>
      </c>
      <c r="X237" s="5">
        <v>2667856</v>
      </c>
      <c r="Y237" s="9">
        <v>368839633</v>
      </c>
      <c r="Z237" s="49">
        <v>89219832</v>
      </c>
      <c r="AA237" s="5">
        <v>35792114</v>
      </c>
      <c r="AB237" s="5">
        <v>8776574</v>
      </c>
      <c r="AC237" s="5">
        <v>1545183</v>
      </c>
      <c r="AD237" s="28"/>
      <c r="AE237" s="28"/>
      <c r="AF237" s="5">
        <v>411576</v>
      </c>
      <c r="AG237" s="5">
        <v>27067325</v>
      </c>
      <c r="AH237" s="5">
        <v>43364</v>
      </c>
      <c r="AI237" s="28"/>
      <c r="AJ237" s="5">
        <v>107267371</v>
      </c>
      <c r="AK237" s="5">
        <v>10349606</v>
      </c>
      <c r="AL237" s="9">
        <v>331513</v>
      </c>
      <c r="AM237" s="5">
        <v>0</v>
      </c>
      <c r="AN237" s="5"/>
      <c r="AO237" s="49">
        <v>2978757973</v>
      </c>
    </row>
    <row r="238" spans="1:41" ht="10.5" customHeight="1">
      <c r="A238" s="6">
        <f t="shared" si="3"/>
        <v>2001</v>
      </c>
      <c r="B238" s="6" t="s">
        <v>40</v>
      </c>
      <c r="C238" s="4">
        <v>37073</v>
      </c>
      <c r="D238" s="28"/>
      <c r="E238" s="5">
        <v>10242572</v>
      </c>
      <c r="F238" s="28"/>
      <c r="G238" s="28"/>
      <c r="H238" s="28"/>
      <c r="I238" s="28"/>
      <c r="J238" s="9">
        <v>9583635</v>
      </c>
      <c r="K238" s="60">
        <v>117173318</v>
      </c>
      <c r="L238" s="60">
        <v>2766887</v>
      </c>
      <c r="M238" s="28"/>
      <c r="N238" s="5">
        <v>1108319</v>
      </c>
      <c r="O238" s="5">
        <v>1928622</v>
      </c>
      <c r="P238" s="14">
        <v>30701547</v>
      </c>
      <c r="Q238" s="28"/>
      <c r="R238" s="5">
        <v>1644052631</v>
      </c>
      <c r="S238" s="5">
        <v>23508382</v>
      </c>
      <c r="T238" s="9">
        <v>534660043</v>
      </c>
      <c r="U238" s="5">
        <v>1009964</v>
      </c>
      <c r="V238" s="11">
        <v>2750710</v>
      </c>
      <c r="W238" s="5">
        <v>8880499</v>
      </c>
      <c r="X238" s="5">
        <v>2185900</v>
      </c>
      <c r="Y238" s="9">
        <v>368247406</v>
      </c>
      <c r="Z238" s="49">
        <v>143618511</v>
      </c>
      <c r="AA238" s="5">
        <v>36407188</v>
      </c>
      <c r="AB238" s="5">
        <v>8880499</v>
      </c>
      <c r="AC238" s="5">
        <v>652799</v>
      </c>
      <c r="AD238" s="28"/>
      <c r="AE238" s="28"/>
      <c r="AF238" s="5">
        <v>460535</v>
      </c>
      <c r="AG238" s="5">
        <v>20592639</v>
      </c>
      <c r="AH238" s="5">
        <v>36459</v>
      </c>
      <c r="AI238" s="28"/>
      <c r="AJ238" s="5">
        <v>110754946</v>
      </c>
      <c r="AK238" s="5">
        <v>11107671</v>
      </c>
      <c r="AL238" s="9">
        <v>14961</v>
      </c>
      <c r="AM238" s="5">
        <v>1507</v>
      </c>
      <c r="AN238" s="5"/>
      <c r="AO238" s="49">
        <v>3117005015</v>
      </c>
    </row>
    <row r="239" spans="1:41" ht="10.5" customHeight="1">
      <c r="A239" s="6">
        <f t="shared" si="3"/>
        <v>2001</v>
      </c>
      <c r="B239" s="6" t="s">
        <v>41</v>
      </c>
      <c r="C239" s="4">
        <v>37104</v>
      </c>
      <c r="D239" s="28"/>
      <c r="E239" s="5">
        <v>11957282</v>
      </c>
      <c r="F239" s="28"/>
      <c r="G239" s="28"/>
      <c r="H239" s="28"/>
      <c r="I239" s="28"/>
      <c r="J239" s="9">
        <v>4762780</v>
      </c>
      <c r="K239" s="60">
        <v>72161095</v>
      </c>
      <c r="L239" s="60">
        <v>1369482</v>
      </c>
      <c r="M239" s="28"/>
      <c r="N239" s="5">
        <v>1225419</v>
      </c>
      <c r="O239" s="5">
        <v>1179071</v>
      </c>
      <c r="P239" s="14">
        <v>34345559</v>
      </c>
      <c r="Q239" s="28"/>
      <c r="R239" s="5">
        <v>1724647373</v>
      </c>
      <c r="S239" s="5">
        <v>23496505</v>
      </c>
      <c r="T239" s="9">
        <v>570399986</v>
      </c>
      <c r="U239" s="5">
        <v>1171480</v>
      </c>
      <c r="V239" s="11">
        <v>3192013</v>
      </c>
      <c r="W239" s="5">
        <v>9265357</v>
      </c>
      <c r="X239" s="5">
        <v>2318980</v>
      </c>
      <c r="Y239" s="9">
        <v>357170961</v>
      </c>
      <c r="Z239" s="49">
        <v>139767493</v>
      </c>
      <c r="AA239" s="5">
        <v>21573818</v>
      </c>
      <c r="AB239" s="5">
        <v>9265357</v>
      </c>
      <c r="AC239" s="5">
        <v>496134</v>
      </c>
      <c r="AD239" s="28"/>
      <c r="AE239" s="28"/>
      <c r="AF239" s="5">
        <v>655256</v>
      </c>
      <c r="AG239" s="5">
        <v>19779889</v>
      </c>
      <c r="AH239" s="5">
        <v>567724</v>
      </c>
      <c r="AI239" s="15">
        <v>12294686</v>
      </c>
      <c r="AJ239" s="5">
        <v>104669150</v>
      </c>
      <c r="AK239" s="5">
        <v>11373030</v>
      </c>
      <c r="AL239" s="9">
        <v>152808</v>
      </c>
      <c r="AM239" s="5">
        <v>1443</v>
      </c>
      <c r="AN239" s="5"/>
      <c r="AO239" s="49">
        <v>3166070791</v>
      </c>
    </row>
    <row r="240" spans="1:41" ht="10.5" customHeight="1">
      <c r="A240" s="6">
        <f t="shared" si="3"/>
        <v>2001</v>
      </c>
      <c r="B240" s="6" t="s">
        <v>42</v>
      </c>
      <c r="C240" s="4">
        <v>37135</v>
      </c>
      <c r="D240" s="28"/>
      <c r="E240" s="5">
        <v>12229318</v>
      </c>
      <c r="F240" s="28"/>
      <c r="G240" s="28"/>
      <c r="H240" s="28"/>
      <c r="I240" s="28"/>
      <c r="J240" s="9">
        <v>8933998</v>
      </c>
      <c r="K240" s="60">
        <v>101154284</v>
      </c>
      <c r="L240" s="60">
        <v>690459</v>
      </c>
      <c r="M240" s="28"/>
      <c r="N240" s="5">
        <v>1333483</v>
      </c>
      <c r="O240" s="5">
        <v>18088912</v>
      </c>
      <c r="P240" s="14">
        <v>31003414</v>
      </c>
      <c r="Q240" s="28"/>
      <c r="R240" s="5">
        <v>1647216937</v>
      </c>
      <c r="S240" s="5">
        <v>22884997</v>
      </c>
      <c r="T240" s="9">
        <v>593282644</v>
      </c>
      <c r="U240" s="5">
        <v>1771794</v>
      </c>
      <c r="V240" s="11">
        <v>2893040</v>
      </c>
      <c r="W240" s="5">
        <v>9999285</v>
      </c>
      <c r="X240" s="5">
        <v>2247842</v>
      </c>
      <c r="Y240" s="9">
        <v>357976044</v>
      </c>
      <c r="Z240" s="49">
        <v>127474120</v>
      </c>
      <c r="AA240" s="5">
        <v>26359751</v>
      </c>
      <c r="AB240" s="5">
        <v>9999285</v>
      </c>
      <c r="AC240" s="5">
        <v>735792</v>
      </c>
      <c r="AD240" s="28"/>
      <c r="AE240" s="28"/>
      <c r="AF240" s="5">
        <v>724615</v>
      </c>
      <c r="AG240" s="5">
        <v>27119319</v>
      </c>
      <c r="AH240" s="5">
        <v>680233</v>
      </c>
      <c r="AI240" s="15">
        <v>2172296</v>
      </c>
      <c r="AJ240" s="5">
        <v>107372232</v>
      </c>
      <c r="AK240" s="5">
        <v>11714046</v>
      </c>
      <c r="AL240" s="9">
        <v>86342</v>
      </c>
      <c r="AM240" s="5">
        <v>1699</v>
      </c>
      <c r="AN240" s="5"/>
      <c r="AO240" s="49">
        <v>3161119850</v>
      </c>
    </row>
    <row r="241" spans="1:42" ht="10.5" customHeight="1">
      <c r="A241" s="6">
        <f t="shared" si="3"/>
        <v>2001</v>
      </c>
      <c r="B241" s="6" t="s">
        <v>43</v>
      </c>
      <c r="C241" s="4">
        <v>37165</v>
      </c>
      <c r="D241" s="28"/>
      <c r="E241" s="5">
        <v>12053263</v>
      </c>
      <c r="F241" s="28"/>
      <c r="G241" s="28"/>
      <c r="H241" s="28"/>
      <c r="I241" s="28"/>
      <c r="J241" s="9">
        <v>8919258</v>
      </c>
      <c r="K241" s="60">
        <v>119536576</v>
      </c>
      <c r="L241" s="60">
        <v>909813</v>
      </c>
      <c r="M241" s="28"/>
      <c r="N241" s="5">
        <v>1091742</v>
      </c>
      <c r="O241" s="5">
        <v>29806951</v>
      </c>
      <c r="P241" s="14">
        <v>33250685</v>
      </c>
      <c r="Q241" s="28"/>
      <c r="R241" s="5">
        <v>1750581177</v>
      </c>
      <c r="S241" s="5">
        <v>23096696</v>
      </c>
      <c r="T241" s="9">
        <v>634851723</v>
      </c>
      <c r="U241" s="5">
        <v>953127</v>
      </c>
      <c r="V241" s="11">
        <v>3238724</v>
      </c>
      <c r="W241" s="5">
        <v>9621510</v>
      </c>
      <c r="X241" s="5">
        <v>2211548</v>
      </c>
      <c r="Y241" s="9">
        <v>366646129</v>
      </c>
      <c r="Z241" s="49">
        <v>148112465</v>
      </c>
      <c r="AA241" s="5">
        <v>21588425</v>
      </c>
      <c r="AB241" s="5">
        <v>9621510</v>
      </c>
      <c r="AC241" s="5">
        <v>923383</v>
      </c>
      <c r="AD241" s="28"/>
      <c r="AE241" s="28"/>
      <c r="AF241" s="5">
        <v>742470</v>
      </c>
      <c r="AG241" s="5">
        <v>23895637</v>
      </c>
      <c r="AH241" s="5">
        <v>398662</v>
      </c>
      <c r="AI241" s="15">
        <v>9056252</v>
      </c>
      <c r="AJ241" s="5">
        <v>105596313</v>
      </c>
      <c r="AK241" s="5">
        <v>11900586</v>
      </c>
      <c r="AL241" s="9">
        <v>2117</v>
      </c>
      <c r="AM241" s="5">
        <v>3189</v>
      </c>
      <c r="AN241" s="5"/>
      <c r="AO241" s="49">
        <v>3359075727</v>
      </c>
    </row>
    <row r="242" spans="1:42" ht="10.5" customHeight="1">
      <c r="A242" s="6">
        <f t="shared" si="3"/>
        <v>2001</v>
      </c>
      <c r="B242" s="6" t="s">
        <v>44</v>
      </c>
      <c r="C242" s="4">
        <v>37196</v>
      </c>
      <c r="D242" s="28"/>
      <c r="E242" s="5">
        <v>27098230</v>
      </c>
      <c r="F242" s="28"/>
      <c r="G242" s="28"/>
      <c r="H242" s="28"/>
      <c r="I242" s="28"/>
      <c r="J242" s="9">
        <v>6155527</v>
      </c>
      <c r="K242" s="60">
        <v>121292420</v>
      </c>
      <c r="L242" s="60">
        <v>410948</v>
      </c>
      <c r="M242" s="28"/>
      <c r="N242" s="5">
        <v>940155</v>
      </c>
      <c r="O242" s="5">
        <v>1711714</v>
      </c>
      <c r="P242" s="14">
        <v>35496499</v>
      </c>
      <c r="Q242" s="28"/>
      <c r="R242" s="5">
        <v>1802316135</v>
      </c>
      <c r="S242" s="5">
        <v>23076094</v>
      </c>
      <c r="T242" s="9">
        <v>599130459</v>
      </c>
      <c r="U242" s="5">
        <v>2781992</v>
      </c>
      <c r="V242" s="11">
        <v>6919610</v>
      </c>
      <c r="W242" s="5">
        <v>10426722</v>
      </c>
      <c r="X242" s="5">
        <v>2441167</v>
      </c>
      <c r="Y242" s="9">
        <v>400781869</v>
      </c>
      <c r="Z242" s="49">
        <v>151696696</v>
      </c>
      <c r="AA242" s="5">
        <v>26694991</v>
      </c>
      <c r="AB242" s="5">
        <v>10426722</v>
      </c>
      <c r="AC242" s="5">
        <v>1547893</v>
      </c>
      <c r="AD242" s="28"/>
      <c r="AE242" s="28"/>
      <c r="AF242" s="5">
        <v>635686</v>
      </c>
      <c r="AG242" s="5">
        <v>20284092</v>
      </c>
      <c r="AH242" s="5">
        <v>873360</v>
      </c>
      <c r="AI242" s="15">
        <v>3715710</v>
      </c>
      <c r="AJ242" s="5">
        <v>108893131</v>
      </c>
      <c r="AK242" s="5">
        <v>11529234</v>
      </c>
      <c r="AL242" s="9">
        <v>44419</v>
      </c>
      <c r="AM242" s="5">
        <v>1663</v>
      </c>
      <c r="AN242" s="5"/>
      <c r="AO242" s="49">
        <v>3404095665</v>
      </c>
    </row>
    <row r="243" spans="1:42" ht="10.5" customHeight="1">
      <c r="A243" s="6">
        <f t="shared" si="3"/>
        <v>2001</v>
      </c>
      <c r="B243" s="6" t="s">
        <v>45</v>
      </c>
      <c r="C243" s="4">
        <v>37226</v>
      </c>
      <c r="D243" s="28"/>
      <c r="E243" s="5">
        <v>18878863</v>
      </c>
      <c r="F243" s="28"/>
      <c r="G243" s="28"/>
      <c r="H243" s="28"/>
      <c r="I243" s="28"/>
      <c r="J243" s="9">
        <v>6712950</v>
      </c>
      <c r="K243" s="60">
        <v>117677914</v>
      </c>
      <c r="L243" s="60">
        <v>752898</v>
      </c>
      <c r="M243" s="28"/>
      <c r="N243" s="5">
        <v>876267</v>
      </c>
      <c r="O243" s="5">
        <v>47552903</v>
      </c>
      <c r="P243" s="14">
        <v>43620736</v>
      </c>
      <c r="Q243" s="28"/>
      <c r="R243" s="5">
        <v>1651558389</v>
      </c>
      <c r="S243" s="5">
        <v>22491211</v>
      </c>
      <c r="T243" s="9">
        <v>613088950</v>
      </c>
      <c r="U243" s="5">
        <v>1609451</v>
      </c>
      <c r="V243" s="11">
        <v>4653411</v>
      </c>
      <c r="W243" s="5">
        <v>10526044</v>
      </c>
      <c r="X243" s="5">
        <v>2071466</v>
      </c>
      <c r="Y243" s="9">
        <v>377236760</v>
      </c>
      <c r="Z243" s="49">
        <v>140978504</v>
      </c>
      <c r="AA243" s="5">
        <v>23897179</v>
      </c>
      <c r="AB243" s="5">
        <v>10526044</v>
      </c>
      <c r="AC243" s="5">
        <v>1627164</v>
      </c>
      <c r="AD243" s="28"/>
      <c r="AE243" s="28"/>
      <c r="AF243" s="5">
        <v>630249</v>
      </c>
      <c r="AG243" s="5">
        <v>21121319</v>
      </c>
      <c r="AH243" s="5">
        <v>324474</v>
      </c>
      <c r="AI243" s="11">
        <v>0</v>
      </c>
      <c r="AJ243" s="5">
        <v>94236050</v>
      </c>
      <c r="AK243" s="5">
        <v>8931100</v>
      </c>
      <c r="AL243" s="9">
        <v>607385</v>
      </c>
      <c r="AM243" s="5">
        <v>1213</v>
      </c>
      <c r="AN243" s="5"/>
      <c r="AO243" s="49">
        <v>3244555289</v>
      </c>
    </row>
    <row r="244" spans="1:42" ht="10.5" customHeight="1">
      <c r="A244" s="6">
        <f t="shared" si="3"/>
        <v>2002</v>
      </c>
      <c r="B244" s="6" t="s">
        <v>34</v>
      </c>
      <c r="C244" s="4">
        <v>37257</v>
      </c>
      <c r="D244" s="28"/>
      <c r="E244" s="5">
        <v>19619137</v>
      </c>
      <c r="F244" s="28"/>
      <c r="G244" s="28"/>
      <c r="H244" s="28"/>
      <c r="I244" s="28"/>
      <c r="J244" s="9">
        <v>13450018</v>
      </c>
      <c r="K244" s="60">
        <v>120636520</v>
      </c>
      <c r="L244" s="60">
        <v>278107</v>
      </c>
      <c r="M244" s="28"/>
      <c r="N244" s="5">
        <v>4022454</v>
      </c>
      <c r="O244" s="5">
        <v>2831971</v>
      </c>
      <c r="P244" s="14">
        <v>35100166</v>
      </c>
      <c r="Q244" s="28"/>
      <c r="R244" s="5">
        <v>1804420311</v>
      </c>
      <c r="S244" s="5">
        <v>22827383</v>
      </c>
      <c r="T244" s="9">
        <v>820182800</v>
      </c>
      <c r="U244" s="5">
        <v>1568590</v>
      </c>
      <c r="V244" s="11">
        <v>5288634</v>
      </c>
      <c r="W244" s="5">
        <v>10821493</v>
      </c>
      <c r="X244" s="5">
        <v>2726172</v>
      </c>
      <c r="Y244" s="9">
        <v>423000697</v>
      </c>
      <c r="Z244" s="49">
        <v>155134643</v>
      </c>
      <c r="AA244" s="5">
        <v>26358659</v>
      </c>
      <c r="AB244" s="5">
        <v>12800955</v>
      </c>
      <c r="AC244" s="5">
        <v>491226</v>
      </c>
      <c r="AD244" s="28"/>
      <c r="AE244" s="28"/>
      <c r="AF244" s="5">
        <v>739962</v>
      </c>
      <c r="AG244" s="5">
        <v>26559672</v>
      </c>
      <c r="AH244" s="5">
        <v>290883</v>
      </c>
      <c r="AI244" s="15">
        <v>375284</v>
      </c>
      <c r="AJ244" s="5">
        <v>98359522</v>
      </c>
      <c r="AK244" s="5">
        <v>10910946</v>
      </c>
      <c r="AL244" s="9">
        <v>500017</v>
      </c>
      <c r="AM244" s="5">
        <v>0</v>
      </c>
      <c r="AN244" s="5"/>
      <c r="AO244" s="49">
        <v>3641899874</v>
      </c>
    </row>
    <row r="245" spans="1:42" ht="10.5" customHeight="1">
      <c r="A245" s="6">
        <f t="shared" si="3"/>
        <v>2002</v>
      </c>
      <c r="B245" s="6" t="s">
        <v>35</v>
      </c>
      <c r="C245" s="4">
        <v>37288</v>
      </c>
      <c r="D245" s="28"/>
      <c r="E245" s="5">
        <v>18201827</v>
      </c>
      <c r="F245" s="28"/>
      <c r="G245" s="28"/>
      <c r="H245" s="28"/>
      <c r="I245" s="28"/>
      <c r="J245" s="9">
        <v>8602110</v>
      </c>
      <c r="K245" s="60">
        <v>118113604</v>
      </c>
      <c r="L245" s="60">
        <v>387746</v>
      </c>
      <c r="M245" s="28"/>
      <c r="N245" s="5">
        <v>1440903</v>
      </c>
      <c r="O245" s="5">
        <v>1247313</v>
      </c>
      <c r="P245" s="14">
        <v>20788222</v>
      </c>
      <c r="Q245" s="28"/>
      <c r="R245" s="5">
        <v>1471118940</v>
      </c>
      <c r="S245" s="5">
        <v>22922202</v>
      </c>
      <c r="T245" s="9">
        <v>682295600</v>
      </c>
      <c r="U245" s="5">
        <v>1576063</v>
      </c>
      <c r="V245" s="11">
        <v>4439629</v>
      </c>
      <c r="W245" s="5">
        <v>14672431</v>
      </c>
      <c r="X245" s="5">
        <v>2639477</v>
      </c>
      <c r="Y245" s="9">
        <v>390095691</v>
      </c>
      <c r="Z245" s="49">
        <v>113368515</v>
      </c>
      <c r="AA245" s="5">
        <v>24106714</v>
      </c>
      <c r="AB245" s="5">
        <v>10556165</v>
      </c>
      <c r="AC245" s="5">
        <v>215290</v>
      </c>
      <c r="AD245" s="28"/>
      <c r="AE245" s="28"/>
      <c r="AF245" s="5">
        <v>737636</v>
      </c>
      <c r="AG245" s="5">
        <v>23226859</v>
      </c>
      <c r="AH245" s="5">
        <v>647301</v>
      </c>
      <c r="AI245" s="15">
        <v>189365</v>
      </c>
      <c r="AJ245" s="5">
        <v>90767320</v>
      </c>
      <c r="AK245" s="5">
        <v>10876799</v>
      </c>
      <c r="AL245" s="9">
        <v>153944</v>
      </c>
      <c r="AM245" s="5">
        <v>1032</v>
      </c>
      <c r="AN245" s="5"/>
      <c r="AO245" s="49">
        <v>3057996116</v>
      </c>
    </row>
    <row r="246" spans="1:42" ht="10.5" customHeight="1">
      <c r="A246" s="6">
        <f t="shared" si="3"/>
        <v>2002</v>
      </c>
      <c r="B246" s="6" t="s">
        <v>36</v>
      </c>
      <c r="C246" s="4">
        <v>37316</v>
      </c>
      <c r="D246" s="28"/>
      <c r="E246" s="5">
        <v>16284984</v>
      </c>
      <c r="F246" s="28"/>
      <c r="G246" s="28"/>
      <c r="H246" s="28"/>
      <c r="I246" s="28"/>
      <c r="J246" s="9">
        <v>6309440</v>
      </c>
      <c r="K246" s="60">
        <v>118582907</v>
      </c>
      <c r="L246" s="60">
        <v>264208</v>
      </c>
      <c r="M246" s="28"/>
      <c r="N246" s="5">
        <v>509852</v>
      </c>
      <c r="O246" s="5">
        <v>680064</v>
      </c>
      <c r="P246" s="14">
        <v>28763072</v>
      </c>
      <c r="Q246" s="28"/>
      <c r="R246" s="5">
        <v>1614972748</v>
      </c>
      <c r="S246" s="5">
        <v>21706916</v>
      </c>
      <c r="T246" s="9">
        <v>671529425</v>
      </c>
      <c r="U246" s="5">
        <v>1846342</v>
      </c>
      <c r="V246" s="11">
        <v>4329148</v>
      </c>
      <c r="W246" s="5">
        <v>16273632</v>
      </c>
      <c r="X246" s="5">
        <v>2268879</v>
      </c>
      <c r="Y246" s="9">
        <v>354252718</v>
      </c>
      <c r="Z246" s="49">
        <v>121545455</v>
      </c>
      <c r="AA246" s="5">
        <v>24908830</v>
      </c>
      <c r="AB246" s="5">
        <v>9596500</v>
      </c>
      <c r="AC246" s="5">
        <v>723575</v>
      </c>
      <c r="AD246" s="28"/>
      <c r="AE246" s="28"/>
      <c r="AF246" s="5">
        <v>657343</v>
      </c>
      <c r="AG246" s="5">
        <v>16352960</v>
      </c>
      <c r="AH246" s="5">
        <v>174865</v>
      </c>
      <c r="AI246" s="15">
        <v>333615</v>
      </c>
      <c r="AJ246" s="5">
        <v>94142831</v>
      </c>
      <c r="AK246" s="5">
        <v>10865314</v>
      </c>
      <c r="AL246" s="9">
        <v>125447</v>
      </c>
      <c r="AM246" s="5">
        <v>3802</v>
      </c>
      <c r="AN246" s="5"/>
      <c r="AO246" s="49">
        <v>3163966967</v>
      </c>
    </row>
    <row r="247" spans="1:42" ht="10.5" customHeight="1">
      <c r="A247" s="6">
        <f t="shared" si="3"/>
        <v>2002</v>
      </c>
      <c r="B247" s="6" t="s">
        <v>37</v>
      </c>
      <c r="C247" s="4">
        <v>37347</v>
      </c>
      <c r="D247" s="28"/>
      <c r="E247" s="5">
        <v>16101433</v>
      </c>
      <c r="F247" s="28"/>
      <c r="G247" s="28"/>
      <c r="H247" s="28"/>
      <c r="I247" s="28"/>
      <c r="J247" s="9">
        <v>54373135</v>
      </c>
      <c r="K247" s="60">
        <v>164885981</v>
      </c>
      <c r="L247" s="60">
        <v>243648</v>
      </c>
      <c r="M247" s="28"/>
      <c r="N247" s="5">
        <v>669259</v>
      </c>
      <c r="O247" s="5">
        <v>429956</v>
      </c>
      <c r="P247" s="14">
        <v>29362392</v>
      </c>
      <c r="Q247" s="28"/>
      <c r="R247" s="5">
        <v>1785720738</v>
      </c>
      <c r="S247" s="5">
        <v>20524615</v>
      </c>
      <c r="T247" s="9">
        <v>572139559</v>
      </c>
      <c r="U247" s="5">
        <v>1906533</v>
      </c>
      <c r="V247" s="11">
        <v>3701467</v>
      </c>
      <c r="W247" s="5">
        <v>17062914</v>
      </c>
      <c r="X247" s="5">
        <v>2480918</v>
      </c>
      <c r="Y247" s="9">
        <v>322016878</v>
      </c>
      <c r="Z247" s="49">
        <v>136542514</v>
      </c>
      <c r="AA247" s="5">
        <v>23791862</v>
      </c>
      <c r="AB247" s="5">
        <v>12331440</v>
      </c>
      <c r="AC247" s="5">
        <v>808155</v>
      </c>
      <c r="AD247" s="5">
        <v>6275</v>
      </c>
      <c r="AE247" s="5">
        <v>15961194</v>
      </c>
      <c r="AF247" s="5">
        <v>575098</v>
      </c>
      <c r="AG247" s="5">
        <v>36254559</v>
      </c>
      <c r="AH247" s="5">
        <v>1159700</v>
      </c>
      <c r="AI247" s="15">
        <v>1397926</v>
      </c>
      <c r="AJ247" s="5">
        <v>85807973</v>
      </c>
      <c r="AK247" s="5">
        <v>12615735</v>
      </c>
      <c r="AL247" s="9">
        <v>261660</v>
      </c>
      <c r="AM247" s="5">
        <v>1644</v>
      </c>
      <c r="AN247" s="5"/>
      <c r="AO247" s="49">
        <v>3350280444</v>
      </c>
    </row>
    <row r="248" spans="1:42" ht="10.5" customHeight="1">
      <c r="A248" s="6">
        <f t="shared" si="3"/>
        <v>2002</v>
      </c>
      <c r="B248" s="6" t="s">
        <v>73</v>
      </c>
      <c r="C248" s="4">
        <v>37377</v>
      </c>
      <c r="D248" s="28"/>
      <c r="E248" s="5">
        <v>32035414</v>
      </c>
      <c r="F248" s="28"/>
      <c r="G248" s="28"/>
      <c r="H248" s="28"/>
      <c r="I248" s="28"/>
      <c r="J248" s="9">
        <v>7488228</v>
      </c>
      <c r="K248" s="60">
        <v>241093961</v>
      </c>
      <c r="L248" s="60">
        <v>385436</v>
      </c>
      <c r="M248" s="28"/>
      <c r="N248" s="5">
        <v>1199602</v>
      </c>
      <c r="O248" s="5">
        <v>10993900</v>
      </c>
      <c r="P248" s="14">
        <v>35984305</v>
      </c>
      <c r="Q248" s="28"/>
      <c r="R248" s="5">
        <v>1722246651</v>
      </c>
      <c r="S248" s="5">
        <v>19693007</v>
      </c>
      <c r="T248" s="9">
        <v>554488175</v>
      </c>
      <c r="U248" s="5">
        <v>3577981</v>
      </c>
      <c r="V248" s="11">
        <v>7912226</v>
      </c>
      <c r="W248" s="5">
        <v>17524309</v>
      </c>
      <c r="X248" s="5">
        <v>2282106</v>
      </c>
      <c r="Y248" s="9">
        <v>382543768</v>
      </c>
      <c r="Z248" s="49">
        <v>126955046</v>
      </c>
      <c r="AA248" s="5">
        <v>24980144</v>
      </c>
      <c r="AB248" s="5">
        <v>13610599</v>
      </c>
      <c r="AC248" s="5">
        <v>1590538</v>
      </c>
      <c r="AD248" s="5">
        <v>1610884</v>
      </c>
      <c r="AE248" s="5">
        <v>30396848</v>
      </c>
      <c r="AF248" s="5">
        <v>570966</v>
      </c>
      <c r="AG248" s="5">
        <v>16571365</v>
      </c>
      <c r="AH248" s="5">
        <v>3108588</v>
      </c>
      <c r="AI248" s="15">
        <v>24400</v>
      </c>
      <c r="AJ248" s="5">
        <v>133069383</v>
      </c>
      <c r="AK248" s="5">
        <v>7856439</v>
      </c>
      <c r="AL248" s="9">
        <v>258935</v>
      </c>
      <c r="AM248" s="5">
        <v>1547</v>
      </c>
      <c r="AN248" s="5"/>
      <c r="AO248" s="49">
        <v>3425499108</v>
      </c>
    </row>
    <row r="249" spans="1:42" ht="10.5" customHeight="1">
      <c r="A249" s="6">
        <f t="shared" si="3"/>
        <v>2002</v>
      </c>
      <c r="B249" s="6" t="s">
        <v>39</v>
      </c>
      <c r="C249" s="4">
        <v>37408</v>
      </c>
      <c r="D249" s="28"/>
      <c r="E249" s="5">
        <v>19134473</v>
      </c>
      <c r="F249" s="28"/>
      <c r="G249" s="28"/>
      <c r="H249" s="28"/>
      <c r="I249" s="28"/>
      <c r="J249" s="9">
        <v>5813802</v>
      </c>
      <c r="K249" s="60">
        <v>204132401</v>
      </c>
      <c r="L249" s="60">
        <v>223015</v>
      </c>
      <c r="M249" s="28"/>
      <c r="N249" s="5">
        <v>1512743</v>
      </c>
      <c r="O249" s="5">
        <v>1375959</v>
      </c>
      <c r="P249" s="14">
        <v>32634388</v>
      </c>
      <c r="Q249" s="28"/>
      <c r="R249" s="5">
        <v>1453547567</v>
      </c>
      <c r="S249" s="5">
        <v>18589440</v>
      </c>
      <c r="T249" s="9">
        <v>640070457</v>
      </c>
      <c r="U249" s="5">
        <v>1803119</v>
      </c>
      <c r="V249" s="11">
        <v>4501740</v>
      </c>
      <c r="W249" s="5">
        <v>16270069</v>
      </c>
      <c r="X249" s="5">
        <v>2255553</v>
      </c>
      <c r="Y249" s="9">
        <v>380077413</v>
      </c>
      <c r="Z249" s="49">
        <v>104671248</v>
      </c>
      <c r="AA249" s="5">
        <v>24345624</v>
      </c>
      <c r="AB249" s="5">
        <v>14292168</v>
      </c>
      <c r="AC249" s="5">
        <v>1615552</v>
      </c>
      <c r="AD249" s="5">
        <v>3938455</v>
      </c>
      <c r="AE249" s="5">
        <v>28783833</v>
      </c>
      <c r="AF249" s="5">
        <v>576169</v>
      </c>
      <c r="AG249" s="5">
        <v>29705153</v>
      </c>
      <c r="AH249" s="5">
        <v>866347</v>
      </c>
      <c r="AI249" s="15">
        <v>426350</v>
      </c>
      <c r="AJ249" s="5">
        <v>131928980</v>
      </c>
      <c r="AK249" s="5">
        <v>8321191</v>
      </c>
      <c r="AL249" s="9">
        <v>42220</v>
      </c>
      <c r="AM249" s="5">
        <v>0</v>
      </c>
      <c r="AN249" s="5"/>
      <c r="AO249" s="49">
        <v>3151847409</v>
      </c>
    </row>
    <row r="250" spans="1:42" ht="10.5" customHeight="1">
      <c r="A250" s="6">
        <f t="shared" si="3"/>
        <v>2002</v>
      </c>
      <c r="B250" s="6" t="s">
        <v>40</v>
      </c>
      <c r="C250" s="4">
        <v>37438</v>
      </c>
      <c r="D250" s="28"/>
      <c r="E250" s="5">
        <v>21710025</v>
      </c>
      <c r="F250" s="28"/>
      <c r="G250" s="28"/>
      <c r="H250" s="28"/>
      <c r="I250" s="28"/>
      <c r="J250" s="9">
        <v>5449998</v>
      </c>
      <c r="K250" s="60">
        <v>195169564</v>
      </c>
      <c r="L250" s="60">
        <v>233815</v>
      </c>
      <c r="M250" s="28"/>
      <c r="N250" s="5">
        <v>2849696</v>
      </c>
      <c r="O250" s="5">
        <v>699063</v>
      </c>
      <c r="P250" s="14">
        <v>32364302</v>
      </c>
      <c r="Q250" s="28"/>
      <c r="R250" s="5">
        <v>1630121713</v>
      </c>
      <c r="S250" s="5">
        <v>18448446</v>
      </c>
      <c r="T250" s="9">
        <v>461866242</v>
      </c>
      <c r="U250" s="5">
        <v>2464040</v>
      </c>
      <c r="V250" s="11">
        <v>5893588</v>
      </c>
      <c r="W250" s="5">
        <v>21076363</v>
      </c>
      <c r="X250" s="5">
        <v>2149209</v>
      </c>
      <c r="Y250" s="9">
        <v>352743885</v>
      </c>
      <c r="Z250" s="49">
        <v>119627264</v>
      </c>
      <c r="AA250" s="5">
        <v>20059475</v>
      </c>
      <c r="AB250" s="5">
        <v>12870752</v>
      </c>
      <c r="AC250" s="5">
        <v>1431332</v>
      </c>
      <c r="AD250" s="5">
        <v>5166199</v>
      </c>
      <c r="AE250" s="5">
        <v>26846496</v>
      </c>
      <c r="AF250" s="5">
        <v>613614</v>
      </c>
      <c r="AG250" s="5">
        <v>18760156</v>
      </c>
      <c r="AH250" s="5">
        <v>572332</v>
      </c>
      <c r="AI250" s="15">
        <v>5677687</v>
      </c>
      <c r="AJ250" s="5">
        <v>121915738</v>
      </c>
      <c r="AK250" s="5">
        <v>24210712</v>
      </c>
      <c r="AL250" s="9">
        <v>48651</v>
      </c>
      <c r="AM250" s="5">
        <v>1608</v>
      </c>
      <c r="AN250" s="5"/>
      <c r="AO250" s="49">
        <v>3131722830</v>
      </c>
    </row>
    <row r="251" spans="1:42" ht="10.5" customHeight="1">
      <c r="A251" s="6">
        <f t="shared" si="3"/>
        <v>2002</v>
      </c>
      <c r="B251" s="6" t="s">
        <v>41</v>
      </c>
      <c r="C251" s="4">
        <v>37469</v>
      </c>
      <c r="D251" s="28"/>
      <c r="E251" s="5">
        <v>20039604</v>
      </c>
      <c r="F251" s="28"/>
      <c r="G251" s="28"/>
      <c r="H251" s="28"/>
      <c r="I251" s="28"/>
      <c r="J251" s="9">
        <v>5709273</v>
      </c>
      <c r="K251" s="60">
        <v>194318637</v>
      </c>
      <c r="L251" s="60">
        <v>178533</v>
      </c>
      <c r="M251" s="28"/>
      <c r="N251" s="5">
        <v>4885512</v>
      </c>
      <c r="O251" s="5">
        <v>1430587</v>
      </c>
      <c r="P251" s="14">
        <v>34458334</v>
      </c>
      <c r="Q251" s="28"/>
      <c r="R251" s="5">
        <v>1719709037</v>
      </c>
      <c r="S251" s="5">
        <v>17698238</v>
      </c>
      <c r="T251" s="9">
        <v>459342986</v>
      </c>
      <c r="U251" s="5">
        <v>1847995</v>
      </c>
      <c r="V251" s="11">
        <v>4707671</v>
      </c>
      <c r="W251" s="5">
        <v>17411349</v>
      </c>
      <c r="X251" s="5">
        <v>1953695</v>
      </c>
      <c r="Y251" s="9">
        <v>316724619</v>
      </c>
      <c r="Z251" s="49">
        <v>167126989</v>
      </c>
      <c r="AA251" s="5">
        <v>27152979</v>
      </c>
      <c r="AB251" s="5">
        <v>15353923</v>
      </c>
      <c r="AC251" s="5">
        <v>1664315</v>
      </c>
      <c r="AD251" s="5">
        <v>5119298</v>
      </c>
      <c r="AE251" s="5">
        <v>26407216</v>
      </c>
      <c r="AF251" s="5">
        <v>602573</v>
      </c>
      <c r="AG251" s="5">
        <v>9598923</v>
      </c>
      <c r="AH251" s="5">
        <v>248772</v>
      </c>
      <c r="AI251" s="15">
        <v>235055</v>
      </c>
      <c r="AJ251" s="5">
        <v>156456111</v>
      </c>
      <c r="AK251" s="5">
        <v>32639616</v>
      </c>
      <c r="AL251" s="9">
        <v>140935</v>
      </c>
      <c r="AM251" s="5">
        <v>1363</v>
      </c>
      <c r="AN251" s="5"/>
      <c r="AO251" s="49">
        <v>3262504932</v>
      </c>
    </row>
    <row r="252" spans="1:42" ht="10.5" customHeight="1">
      <c r="A252" s="6">
        <f t="shared" si="3"/>
        <v>2002</v>
      </c>
      <c r="B252" s="6" t="s">
        <v>42</v>
      </c>
      <c r="C252" s="4">
        <v>37500</v>
      </c>
      <c r="D252" s="28"/>
      <c r="E252" s="5">
        <v>23045566</v>
      </c>
      <c r="F252" s="28"/>
      <c r="G252" s="28"/>
      <c r="H252" s="28"/>
      <c r="I252" s="28"/>
      <c r="J252" s="9">
        <v>8031794</v>
      </c>
      <c r="K252" s="60">
        <v>200940436</v>
      </c>
      <c r="L252" s="60">
        <v>33768</v>
      </c>
      <c r="M252" s="28"/>
      <c r="N252" s="5">
        <v>2885713</v>
      </c>
      <c r="O252" s="5">
        <v>18006803</v>
      </c>
      <c r="P252" s="14">
        <v>34416520</v>
      </c>
      <c r="Q252" s="28"/>
      <c r="R252" s="5">
        <v>1983851156</v>
      </c>
      <c r="S252" s="5">
        <v>17198158</v>
      </c>
      <c r="T252" s="9">
        <v>560455756</v>
      </c>
      <c r="U252" s="5">
        <v>2094965</v>
      </c>
      <c r="V252" s="11">
        <v>5814324</v>
      </c>
      <c r="W252" s="5">
        <v>18268125</v>
      </c>
      <c r="X252" s="5">
        <v>3028349</v>
      </c>
      <c r="Y252" s="9">
        <v>343657363</v>
      </c>
      <c r="Z252" s="49">
        <v>174601130</v>
      </c>
      <c r="AA252" s="5">
        <v>23409446</v>
      </c>
      <c r="AB252" s="5">
        <v>16564116</v>
      </c>
      <c r="AC252" s="5">
        <v>1787646</v>
      </c>
      <c r="AD252" s="5">
        <v>4239647</v>
      </c>
      <c r="AE252" s="5">
        <v>26041487</v>
      </c>
      <c r="AF252" s="5">
        <v>589981</v>
      </c>
      <c r="AG252" s="5">
        <v>26201604</v>
      </c>
      <c r="AH252" s="5">
        <v>184749</v>
      </c>
      <c r="AI252" s="15">
        <v>18571800</v>
      </c>
      <c r="AJ252" s="5">
        <v>172565006</v>
      </c>
      <c r="AK252" s="5">
        <v>19385791</v>
      </c>
      <c r="AL252" s="9">
        <v>78710</v>
      </c>
      <c r="AM252" s="5">
        <v>0</v>
      </c>
      <c r="AN252" s="5"/>
      <c r="AO252" s="49">
        <v>3730326541</v>
      </c>
    </row>
    <row r="253" spans="1:42" ht="10.5" customHeight="1">
      <c r="A253" s="6">
        <f t="shared" si="3"/>
        <v>2002</v>
      </c>
      <c r="B253" s="6" t="s">
        <v>43</v>
      </c>
      <c r="C253" s="4">
        <v>37530</v>
      </c>
      <c r="D253" s="28"/>
      <c r="E253" s="5">
        <v>17121573</v>
      </c>
      <c r="F253" s="28"/>
      <c r="G253" s="28"/>
      <c r="H253" s="28"/>
      <c r="I253" s="28"/>
      <c r="J253" s="9">
        <v>11027253</v>
      </c>
      <c r="K253" s="60">
        <v>203245764</v>
      </c>
      <c r="L253" s="60">
        <v>65299</v>
      </c>
      <c r="M253" s="28"/>
      <c r="N253" s="5">
        <v>9881545</v>
      </c>
      <c r="O253" s="5">
        <v>26830270</v>
      </c>
      <c r="P253" s="14">
        <v>42219781</v>
      </c>
      <c r="Q253" s="28"/>
      <c r="R253" s="5">
        <v>1837779669</v>
      </c>
      <c r="S253" s="5">
        <v>17294913</v>
      </c>
      <c r="T253" s="9">
        <v>543551199</v>
      </c>
      <c r="U253" s="5">
        <v>1581365</v>
      </c>
      <c r="V253" s="11">
        <v>3722446</v>
      </c>
      <c r="W253" s="5">
        <v>19615130</v>
      </c>
      <c r="X253" s="5">
        <v>2894075</v>
      </c>
      <c r="Y253" s="9">
        <v>520917646</v>
      </c>
      <c r="Z253" s="49">
        <v>171150477</v>
      </c>
      <c r="AA253" s="5">
        <v>22779508</v>
      </c>
      <c r="AB253" s="5">
        <v>15500878</v>
      </c>
      <c r="AC253" s="5">
        <v>2390623</v>
      </c>
      <c r="AD253" s="5">
        <v>4871286</v>
      </c>
      <c r="AE253" s="5">
        <v>24698670</v>
      </c>
      <c r="AF253" s="5">
        <v>619293</v>
      </c>
      <c r="AG253" s="5">
        <v>17167965</v>
      </c>
      <c r="AH253" s="5">
        <v>861005</v>
      </c>
      <c r="AI253" s="15">
        <v>356212</v>
      </c>
      <c r="AJ253" s="5">
        <v>143215015</v>
      </c>
      <c r="AK253" s="5">
        <v>28161276</v>
      </c>
      <c r="AL253" s="9">
        <v>31783</v>
      </c>
      <c r="AM253" s="5">
        <v>0</v>
      </c>
      <c r="AN253" s="5"/>
      <c r="AO253" s="49">
        <v>3710871818</v>
      </c>
    </row>
    <row r="254" spans="1:42" ht="10.5" customHeight="1">
      <c r="A254" s="6">
        <f t="shared" si="3"/>
        <v>2002</v>
      </c>
      <c r="B254" s="6" t="s">
        <v>44</v>
      </c>
      <c r="C254" s="4">
        <v>37561</v>
      </c>
      <c r="D254" s="28"/>
      <c r="E254" s="5">
        <v>42413567</v>
      </c>
      <c r="F254" s="28"/>
      <c r="G254" s="28"/>
      <c r="H254" s="28"/>
      <c r="I254" s="28"/>
      <c r="J254" s="9">
        <v>8322902</v>
      </c>
      <c r="K254" s="60">
        <v>199578511</v>
      </c>
      <c r="L254" s="60">
        <v>67587</v>
      </c>
      <c r="M254" s="28"/>
      <c r="N254" s="5">
        <v>7528303</v>
      </c>
      <c r="O254" s="5">
        <v>1081915</v>
      </c>
      <c r="P254" s="14">
        <v>40530720</v>
      </c>
      <c r="Q254" s="28"/>
      <c r="R254" s="5">
        <v>1885362163</v>
      </c>
      <c r="S254" s="5">
        <v>23085755</v>
      </c>
      <c r="T254" s="9">
        <v>514869977</v>
      </c>
      <c r="U254" s="5">
        <v>4895737</v>
      </c>
      <c r="V254" s="11">
        <v>10897299</v>
      </c>
      <c r="W254" s="5">
        <v>20296155</v>
      </c>
      <c r="X254" s="5">
        <v>2897274</v>
      </c>
      <c r="Y254" s="9">
        <v>291660386</v>
      </c>
      <c r="Z254" s="49">
        <v>170947596</v>
      </c>
      <c r="AA254" s="5">
        <v>24002944</v>
      </c>
      <c r="AB254" s="5">
        <v>24298733</v>
      </c>
      <c r="AC254" s="5">
        <v>1481872</v>
      </c>
      <c r="AD254" s="5">
        <v>4135617</v>
      </c>
      <c r="AE254" s="5">
        <v>25860693</v>
      </c>
      <c r="AF254" s="5">
        <v>497384</v>
      </c>
      <c r="AG254" s="5">
        <v>31697107</v>
      </c>
      <c r="AH254" s="5">
        <v>-1320284</v>
      </c>
      <c r="AI254" s="15">
        <v>268882</v>
      </c>
      <c r="AJ254" s="5">
        <v>180533524</v>
      </c>
      <c r="AK254" s="5">
        <v>32121675</v>
      </c>
      <c r="AL254" s="9">
        <v>202196</v>
      </c>
      <c r="AM254" s="5">
        <v>0</v>
      </c>
      <c r="AN254" s="5"/>
      <c r="AO254" s="49">
        <v>3576150944</v>
      </c>
    </row>
    <row r="255" spans="1:42" ht="10.5" customHeight="1">
      <c r="A255" s="6">
        <f t="shared" si="3"/>
        <v>2002</v>
      </c>
      <c r="B255" s="6" t="s">
        <v>45</v>
      </c>
      <c r="C255" s="4">
        <v>37591</v>
      </c>
      <c r="D255" s="28"/>
      <c r="E255" s="5">
        <v>30936160</v>
      </c>
      <c r="F255" s="28"/>
      <c r="G255" s="28"/>
      <c r="H255" s="28"/>
      <c r="I255" s="28"/>
      <c r="J255" s="9">
        <v>9010479</v>
      </c>
      <c r="K255" s="60">
        <v>204073366</v>
      </c>
      <c r="L255" s="60">
        <v>130570</v>
      </c>
      <c r="M255" s="28"/>
      <c r="N255" s="5">
        <v>3274787</v>
      </c>
      <c r="O255" s="5">
        <v>48053723</v>
      </c>
      <c r="P255" s="14">
        <v>50140581</v>
      </c>
      <c r="Q255" s="28"/>
      <c r="R255" s="5">
        <v>1943006144</v>
      </c>
      <c r="S255" s="5">
        <v>18554848</v>
      </c>
      <c r="T255" s="9">
        <v>554509250</v>
      </c>
      <c r="U255" s="5">
        <v>2599970</v>
      </c>
      <c r="V255" s="11">
        <v>7106849</v>
      </c>
      <c r="W255" s="5">
        <v>20298276</v>
      </c>
      <c r="X255" s="5">
        <v>2842235</v>
      </c>
      <c r="Y255" s="9">
        <v>529934882</v>
      </c>
      <c r="Z255" s="49">
        <v>189053684</v>
      </c>
      <c r="AA255" s="5">
        <v>28609929</v>
      </c>
      <c r="AB255" s="5">
        <v>23713708</v>
      </c>
      <c r="AC255" s="5">
        <v>3172271</v>
      </c>
      <c r="AD255" s="5">
        <v>5723787</v>
      </c>
      <c r="AE255" s="5">
        <v>26091870</v>
      </c>
      <c r="AF255" s="5">
        <v>651860</v>
      </c>
      <c r="AG255" s="5">
        <v>25531556</v>
      </c>
      <c r="AH255" s="5">
        <v>595847</v>
      </c>
      <c r="AI255" s="15">
        <v>249953</v>
      </c>
      <c r="AJ255" s="5">
        <v>210379162</v>
      </c>
      <c r="AK255" s="5">
        <v>39401156</v>
      </c>
      <c r="AL255" s="9">
        <v>264003</v>
      </c>
      <c r="AM255" s="5">
        <v>0</v>
      </c>
      <c r="AN255" s="5"/>
      <c r="AO255" s="49">
        <v>4011036308</v>
      </c>
    </row>
    <row r="256" spans="1:42" ht="10.5" customHeight="1">
      <c r="A256" s="6">
        <f t="shared" si="3"/>
        <v>2003</v>
      </c>
      <c r="B256" s="6" t="s">
        <v>34</v>
      </c>
      <c r="C256" s="4">
        <v>37622</v>
      </c>
      <c r="D256" s="28"/>
      <c r="E256" s="5">
        <v>36134982</v>
      </c>
      <c r="F256" s="28"/>
      <c r="G256" s="28"/>
      <c r="H256" s="28"/>
      <c r="I256" s="28"/>
      <c r="J256" s="9">
        <v>35171260</v>
      </c>
      <c r="K256" s="60">
        <v>212449170</v>
      </c>
      <c r="L256" s="60">
        <v>2460</v>
      </c>
      <c r="M256" s="28"/>
      <c r="N256" s="5">
        <v>8152895</v>
      </c>
      <c r="O256" s="5">
        <v>1194643</v>
      </c>
      <c r="P256" s="14">
        <v>36283803</v>
      </c>
      <c r="Q256" s="28"/>
      <c r="R256" s="5">
        <v>2064797096</v>
      </c>
      <c r="S256" s="5">
        <v>18385945</v>
      </c>
      <c r="T256" s="9">
        <v>752855130</v>
      </c>
      <c r="U256" s="5">
        <v>2947381</v>
      </c>
      <c r="V256" s="11">
        <v>8219115</v>
      </c>
      <c r="W256" s="5">
        <v>19671702</v>
      </c>
      <c r="X256" s="5">
        <v>3676061</v>
      </c>
      <c r="Y256" s="9">
        <v>388828880</v>
      </c>
      <c r="Z256" s="49">
        <v>192667434</v>
      </c>
      <c r="AA256" s="5">
        <v>40626824</v>
      </c>
      <c r="AB256" s="5">
        <v>25330300</v>
      </c>
      <c r="AC256" s="5">
        <v>707400</v>
      </c>
      <c r="AD256" s="5">
        <v>5856063</v>
      </c>
      <c r="AE256" s="5">
        <v>28777067</v>
      </c>
      <c r="AF256" s="5">
        <v>513111</v>
      </c>
      <c r="AG256" s="5">
        <v>20734614</v>
      </c>
      <c r="AH256" s="5">
        <v>401179</v>
      </c>
      <c r="AI256" s="15">
        <v>700540</v>
      </c>
      <c r="AJ256" s="5">
        <v>178646530</v>
      </c>
      <c r="AK256" s="5">
        <v>32173378</v>
      </c>
      <c r="AL256" s="9">
        <v>195193</v>
      </c>
      <c r="AM256" s="5">
        <v>0</v>
      </c>
      <c r="AN256" s="5"/>
      <c r="AO256" s="49">
        <v>4147382469</v>
      </c>
      <c r="AP256" s="27"/>
    </row>
    <row r="257" spans="1:42" ht="10.5" customHeight="1">
      <c r="A257" s="6">
        <f t="shared" si="3"/>
        <v>2003</v>
      </c>
      <c r="B257" s="6" t="s">
        <v>35</v>
      </c>
      <c r="C257" s="4">
        <v>37653</v>
      </c>
      <c r="D257" s="28"/>
      <c r="E257" s="5">
        <v>36220079</v>
      </c>
      <c r="F257" s="28"/>
      <c r="G257" s="28"/>
      <c r="H257" s="28"/>
      <c r="I257" s="28"/>
      <c r="J257" s="9">
        <v>19548874</v>
      </c>
      <c r="K257" s="60">
        <v>208355924</v>
      </c>
      <c r="L257" s="60">
        <v>147999</v>
      </c>
      <c r="M257" s="28"/>
      <c r="N257" s="5">
        <v>9547155</v>
      </c>
      <c r="O257" s="5">
        <v>2578564</v>
      </c>
      <c r="P257" s="14">
        <v>36658517</v>
      </c>
      <c r="Q257" s="28"/>
      <c r="R257" s="5">
        <v>1937693003</v>
      </c>
      <c r="S257" s="5">
        <v>22850617</v>
      </c>
      <c r="T257" s="9">
        <v>726102903</v>
      </c>
      <c r="U257" s="5">
        <v>3284101</v>
      </c>
      <c r="V257" s="11">
        <v>8636235</v>
      </c>
      <c r="W257" s="5">
        <v>24544637</v>
      </c>
      <c r="X257" s="5">
        <v>3507553</v>
      </c>
      <c r="Y257" s="9">
        <v>443250833</v>
      </c>
      <c r="Z257" s="49">
        <v>170532415</v>
      </c>
      <c r="AA257" s="5">
        <v>38068915</v>
      </c>
      <c r="AB257" s="5">
        <v>22526769</v>
      </c>
      <c r="AC257" s="5">
        <v>328089</v>
      </c>
      <c r="AD257" s="5">
        <v>3808590</v>
      </c>
      <c r="AE257" s="5">
        <v>33045955</v>
      </c>
      <c r="AF257" s="5">
        <v>538088</v>
      </c>
      <c r="AG257" s="5">
        <v>30969266</v>
      </c>
      <c r="AH257" s="5">
        <v>314975</v>
      </c>
      <c r="AI257" s="15">
        <v>10112314</v>
      </c>
      <c r="AJ257" s="5">
        <v>148173776</v>
      </c>
      <c r="AK257" s="5">
        <v>18846166</v>
      </c>
      <c r="AL257" s="9">
        <v>575217</v>
      </c>
      <c r="AM257" s="5">
        <v>0</v>
      </c>
      <c r="AN257" s="5"/>
      <c r="AO257" s="49">
        <v>3997813414</v>
      </c>
      <c r="AP257" s="27"/>
    </row>
    <row r="258" spans="1:42" ht="10.5" customHeight="1">
      <c r="A258" s="6">
        <f t="shared" si="3"/>
        <v>2003</v>
      </c>
      <c r="B258" s="6" t="s">
        <v>36</v>
      </c>
      <c r="C258" s="4">
        <v>37681</v>
      </c>
      <c r="D258" s="28"/>
      <c r="E258" s="5">
        <v>33537722</v>
      </c>
      <c r="F258" s="28"/>
      <c r="G258" s="28"/>
      <c r="H258" s="28"/>
      <c r="I258" s="28"/>
      <c r="J258" s="9">
        <v>13486684</v>
      </c>
      <c r="K258" s="60">
        <v>205210894</v>
      </c>
      <c r="L258" s="60">
        <v>31878</v>
      </c>
      <c r="M258" s="28"/>
      <c r="N258" s="5">
        <v>10448901</v>
      </c>
      <c r="O258" s="5">
        <v>353700</v>
      </c>
      <c r="P258" s="14">
        <v>41853351</v>
      </c>
      <c r="Q258" s="28"/>
      <c r="R258" s="5">
        <v>2168674836</v>
      </c>
      <c r="S258" s="5">
        <v>22786297</v>
      </c>
      <c r="T258" s="9">
        <v>682316585</v>
      </c>
      <c r="U258" s="5">
        <v>3133988</v>
      </c>
      <c r="V258" s="11">
        <v>7322184</v>
      </c>
      <c r="W258" s="5">
        <v>28859788</v>
      </c>
      <c r="X258" s="5">
        <v>10084514</v>
      </c>
      <c r="Y258" s="9">
        <v>413789264</v>
      </c>
      <c r="Z258" s="49">
        <v>193427858</v>
      </c>
      <c r="AA258" s="5">
        <v>40735295</v>
      </c>
      <c r="AB258" s="5">
        <v>24996639</v>
      </c>
      <c r="AC258" s="5">
        <v>1181727</v>
      </c>
      <c r="AD258" s="5">
        <v>4503557</v>
      </c>
      <c r="AE258" s="5">
        <v>31186821</v>
      </c>
      <c r="AF258" s="5">
        <v>347741</v>
      </c>
      <c r="AG258" s="5">
        <v>24573906</v>
      </c>
      <c r="AH258" s="5">
        <v>310987</v>
      </c>
      <c r="AI258" s="15">
        <v>72148</v>
      </c>
      <c r="AJ258" s="5">
        <v>139067486</v>
      </c>
      <c r="AK258" s="5">
        <v>24139242</v>
      </c>
      <c r="AL258" s="9">
        <v>36171</v>
      </c>
      <c r="AM258" s="5">
        <v>881</v>
      </c>
      <c r="AN258" s="5"/>
      <c r="AO258" s="49">
        <v>4154473708</v>
      </c>
      <c r="AP258" s="27"/>
    </row>
    <row r="259" spans="1:42" ht="10.5" customHeight="1">
      <c r="A259" s="6">
        <f t="shared" si="3"/>
        <v>2003</v>
      </c>
      <c r="B259" s="6" t="s">
        <v>37</v>
      </c>
      <c r="C259" s="4">
        <v>37712</v>
      </c>
      <c r="D259" s="28"/>
      <c r="E259" s="5">
        <v>47977755</v>
      </c>
      <c r="F259" s="28"/>
      <c r="G259" s="28"/>
      <c r="H259" s="28"/>
      <c r="I259" s="28"/>
      <c r="J259" s="9">
        <v>60932945</v>
      </c>
      <c r="K259" s="60">
        <v>316369912</v>
      </c>
      <c r="L259" s="60">
        <v>115234</v>
      </c>
      <c r="M259" s="28"/>
      <c r="N259" s="5">
        <v>14254275</v>
      </c>
      <c r="O259" s="5">
        <v>240915</v>
      </c>
      <c r="P259" s="14">
        <v>43927318</v>
      </c>
      <c r="Q259" s="28"/>
      <c r="R259" s="5">
        <v>1948867949</v>
      </c>
      <c r="S259" s="5">
        <v>21195459</v>
      </c>
      <c r="T259" s="9">
        <v>520575806</v>
      </c>
      <c r="U259" s="5">
        <v>3760650</v>
      </c>
      <c r="V259" s="11">
        <v>9441492</v>
      </c>
      <c r="W259" s="5">
        <v>26901559</v>
      </c>
      <c r="X259" s="5">
        <v>10980861</v>
      </c>
      <c r="Y259" s="9">
        <v>485562825</v>
      </c>
      <c r="Z259" s="49">
        <v>178570832</v>
      </c>
      <c r="AA259" s="5">
        <v>40540947</v>
      </c>
      <c r="AB259" s="5">
        <v>24689713</v>
      </c>
      <c r="AC259" s="5">
        <v>1670217</v>
      </c>
      <c r="AD259" s="5">
        <v>4424218</v>
      </c>
      <c r="AE259" s="5">
        <v>24923029</v>
      </c>
      <c r="AF259" s="5">
        <v>408090</v>
      </c>
      <c r="AG259" s="5">
        <v>26177370</v>
      </c>
      <c r="AH259" s="5">
        <v>575840</v>
      </c>
      <c r="AI259" s="15">
        <v>339131</v>
      </c>
      <c r="AJ259" s="5">
        <v>227266884</v>
      </c>
      <c r="AK259" s="5">
        <v>23815213</v>
      </c>
      <c r="AL259" s="9">
        <v>-4288</v>
      </c>
      <c r="AM259" s="5">
        <v>-1343</v>
      </c>
      <c r="AN259" s="5"/>
      <c r="AO259" s="49">
        <v>4066187377</v>
      </c>
      <c r="AP259" s="27"/>
    </row>
    <row r="260" spans="1:42" ht="10.5" customHeight="1">
      <c r="A260" s="6">
        <f t="shared" si="3"/>
        <v>2003</v>
      </c>
      <c r="B260" s="6" t="s">
        <v>73</v>
      </c>
      <c r="C260" s="4">
        <v>37742</v>
      </c>
      <c r="D260" s="28"/>
      <c r="E260" s="5">
        <v>29011074</v>
      </c>
      <c r="F260" s="28"/>
      <c r="G260" s="28"/>
      <c r="H260" s="28"/>
      <c r="I260" s="28"/>
      <c r="J260" s="9">
        <v>11806102</v>
      </c>
      <c r="K260" s="60">
        <v>327184061</v>
      </c>
      <c r="L260" s="60">
        <v>64064</v>
      </c>
      <c r="M260" s="28"/>
      <c r="N260" s="5">
        <v>10828252</v>
      </c>
      <c r="O260" s="5">
        <v>34605481</v>
      </c>
      <c r="P260" s="14">
        <v>55618014</v>
      </c>
      <c r="Q260" s="28"/>
      <c r="R260" s="5">
        <v>2329516470</v>
      </c>
      <c r="S260" s="5">
        <v>22023468</v>
      </c>
      <c r="T260" s="9">
        <v>571905556</v>
      </c>
      <c r="U260" s="5">
        <v>4672181</v>
      </c>
      <c r="V260" s="11">
        <v>6737976</v>
      </c>
      <c r="W260" s="5">
        <v>26946928</v>
      </c>
      <c r="X260" s="5">
        <v>9794796</v>
      </c>
      <c r="Y260" s="9">
        <v>319484622</v>
      </c>
      <c r="Z260" s="49">
        <v>202546791</v>
      </c>
      <c r="AA260" s="5">
        <v>41515426</v>
      </c>
      <c r="AB260" s="5">
        <v>23623213</v>
      </c>
      <c r="AC260" s="5">
        <v>1732636</v>
      </c>
      <c r="AD260" s="5">
        <v>4435963</v>
      </c>
      <c r="AE260" s="5">
        <v>25658830</v>
      </c>
      <c r="AF260" s="5">
        <v>312005</v>
      </c>
      <c r="AG260" s="5">
        <v>28640915</v>
      </c>
      <c r="AH260" s="5">
        <v>333563</v>
      </c>
      <c r="AI260" s="15">
        <v>878</v>
      </c>
      <c r="AJ260" s="5">
        <v>193363499</v>
      </c>
      <c r="AK260" s="5">
        <v>26755065</v>
      </c>
      <c r="AL260" s="9">
        <v>61109</v>
      </c>
      <c r="AM260" s="5">
        <v>27008</v>
      </c>
      <c r="AN260" s="5"/>
      <c r="AO260" s="49">
        <v>4335749833</v>
      </c>
      <c r="AP260" s="27"/>
    </row>
    <row r="261" spans="1:42" ht="10.5" customHeight="1">
      <c r="A261" s="6">
        <f t="shared" ref="A261:A324" si="4">YEAR(C261)</f>
        <v>2003</v>
      </c>
      <c r="B261" s="6" t="s">
        <v>39</v>
      </c>
      <c r="C261" s="4">
        <v>37773</v>
      </c>
      <c r="D261" s="28"/>
      <c r="E261" s="5">
        <v>36586215</v>
      </c>
      <c r="F261" s="28"/>
      <c r="G261" s="28"/>
      <c r="H261" s="28"/>
      <c r="I261" s="28"/>
      <c r="J261" s="9">
        <v>8374964</v>
      </c>
      <c r="K261" s="60">
        <v>276074263</v>
      </c>
      <c r="L261" s="60">
        <v>52849</v>
      </c>
      <c r="M261" s="28"/>
      <c r="N261" s="5">
        <v>11695297</v>
      </c>
      <c r="O261" s="5">
        <v>1669581</v>
      </c>
      <c r="P261" s="14">
        <v>52716833</v>
      </c>
      <c r="Q261" s="28"/>
      <c r="R261" s="5">
        <v>1954286417</v>
      </c>
      <c r="S261" s="5">
        <v>22758286</v>
      </c>
      <c r="T261" s="9">
        <v>605323167</v>
      </c>
      <c r="U261" s="5">
        <v>4204005</v>
      </c>
      <c r="V261" s="11">
        <v>11673614</v>
      </c>
      <c r="W261" s="5">
        <v>25342187</v>
      </c>
      <c r="X261" s="5">
        <v>10033414</v>
      </c>
      <c r="Y261" s="9">
        <v>258859628</v>
      </c>
      <c r="Z261" s="49">
        <v>175214834</v>
      </c>
      <c r="AA261" s="5">
        <v>39441682</v>
      </c>
      <c r="AB261" s="5">
        <v>21579999</v>
      </c>
      <c r="AC261" s="5">
        <v>2143152</v>
      </c>
      <c r="AD261" s="5">
        <v>5001834</v>
      </c>
      <c r="AE261" s="5">
        <v>25384927</v>
      </c>
      <c r="AF261" s="5">
        <v>381501</v>
      </c>
      <c r="AG261" s="5">
        <v>41407180</v>
      </c>
      <c r="AH261" s="5">
        <v>351171</v>
      </c>
      <c r="AI261" s="15">
        <v>3752</v>
      </c>
      <c r="AJ261" s="5">
        <v>202805121</v>
      </c>
      <c r="AK261" s="5">
        <v>26784668</v>
      </c>
      <c r="AL261" s="9">
        <v>321803</v>
      </c>
      <c r="AM261" s="5">
        <v>3896</v>
      </c>
      <c r="AN261" s="5"/>
      <c r="AO261" s="49">
        <v>3851835866</v>
      </c>
      <c r="AP261" s="27"/>
    </row>
    <row r="262" spans="1:42" ht="10.5" customHeight="1">
      <c r="A262" s="6">
        <f t="shared" si="4"/>
        <v>2003</v>
      </c>
      <c r="B262" s="6" t="s">
        <v>40</v>
      </c>
      <c r="C262" s="4">
        <v>37803</v>
      </c>
      <c r="D262" s="28"/>
      <c r="E262" s="5">
        <v>45082961</v>
      </c>
      <c r="F262" s="28"/>
      <c r="G262" s="28"/>
      <c r="H262" s="28"/>
      <c r="I262" s="28"/>
      <c r="J262" s="9">
        <v>9881717</v>
      </c>
      <c r="K262" s="60">
        <v>282591263</v>
      </c>
      <c r="L262" s="60">
        <v>123085</v>
      </c>
      <c r="M262" s="28"/>
      <c r="N262" s="5">
        <v>10139339</v>
      </c>
      <c r="O262" s="5">
        <v>1238818</v>
      </c>
      <c r="P262" s="14">
        <v>58650105</v>
      </c>
      <c r="Q262" s="28"/>
      <c r="R262" s="5">
        <v>2310923588</v>
      </c>
      <c r="S262" s="5">
        <v>24735040</v>
      </c>
      <c r="T262" s="9">
        <v>531426681</v>
      </c>
      <c r="U262" s="5">
        <v>4032793</v>
      </c>
      <c r="V262" s="11">
        <v>9842503</v>
      </c>
      <c r="W262" s="5">
        <v>31600126</v>
      </c>
      <c r="X262" s="5">
        <v>11724936</v>
      </c>
      <c r="Y262" s="9">
        <v>387572403</v>
      </c>
      <c r="Z262" s="49">
        <v>212910252</v>
      </c>
      <c r="AA262" s="5">
        <v>45649634</v>
      </c>
      <c r="AB262" s="5">
        <v>25544430</v>
      </c>
      <c r="AC262" s="5">
        <v>2245615</v>
      </c>
      <c r="AD262" s="5">
        <v>4864033</v>
      </c>
      <c r="AE262" s="5">
        <v>25892865</v>
      </c>
      <c r="AF262" s="5">
        <v>501521</v>
      </c>
      <c r="AG262" s="5">
        <v>28670596</v>
      </c>
      <c r="AH262" s="5">
        <v>328158</v>
      </c>
      <c r="AI262" s="15">
        <v>63145</v>
      </c>
      <c r="AJ262" s="5">
        <v>166490038</v>
      </c>
      <c r="AK262" s="5">
        <v>24543860</v>
      </c>
      <c r="AL262" s="9">
        <v>271105</v>
      </c>
      <c r="AM262" s="5">
        <v>7114</v>
      </c>
      <c r="AN262" s="5"/>
      <c r="AO262" s="49">
        <v>4323979089</v>
      </c>
      <c r="AP262" s="27"/>
    </row>
    <row r="263" spans="1:42" ht="10.5" customHeight="1">
      <c r="A263" s="6">
        <f t="shared" si="4"/>
        <v>2003</v>
      </c>
      <c r="B263" s="6" t="s">
        <v>41</v>
      </c>
      <c r="C263" s="4">
        <v>37834</v>
      </c>
      <c r="D263" s="28"/>
      <c r="E263" s="5">
        <v>33426540</v>
      </c>
      <c r="F263" s="28"/>
      <c r="G263" s="28"/>
      <c r="H263" s="28"/>
      <c r="I263" s="28"/>
      <c r="J263" s="9">
        <v>7477761</v>
      </c>
      <c r="K263" s="60">
        <v>257586235</v>
      </c>
      <c r="L263" s="60">
        <v>103758</v>
      </c>
      <c r="M263" s="28"/>
      <c r="N263" s="5">
        <v>11580020</v>
      </c>
      <c r="O263" s="5">
        <v>993005</v>
      </c>
      <c r="P263" s="14">
        <v>52690905</v>
      </c>
      <c r="Q263" s="28"/>
      <c r="R263" s="5">
        <v>2169936246</v>
      </c>
      <c r="S263" s="5">
        <v>23844397</v>
      </c>
      <c r="T263" s="9">
        <v>588165812</v>
      </c>
      <c r="U263" s="5">
        <v>2849496</v>
      </c>
      <c r="V263" s="11">
        <v>7450549</v>
      </c>
      <c r="W263" s="5">
        <v>26098993</v>
      </c>
      <c r="X263" s="5">
        <v>12509201</v>
      </c>
      <c r="Y263" s="9">
        <v>304669715</v>
      </c>
      <c r="Z263" s="49">
        <v>200503747</v>
      </c>
      <c r="AA263" s="5">
        <v>40984787</v>
      </c>
      <c r="AB263" s="5">
        <v>24656268</v>
      </c>
      <c r="AC263" s="5">
        <v>1739007</v>
      </c>
      <c r="AD263" s="5">
        <v>4816313</v>
      </c>
      <c r="AE263" s="5">
        <v>24854766</v>
      </c>
      <c r="AF263" s="5">
        <v>316288</v>
      </c>
      <c r="AG263" s="5">
        <v>37423109</v>
      </c>
      <c r="AH263" s="5">
        <v>787436</v>
      </c>
      <c r="AI263" s="15">
        <v>17806124</v>
      </c>
      <c r="AJ263" s="5">
        <v>155661158</v>
      </c>
      <c r="AK263" s="5">
        <v>22011248</v>
      </c>
      <c r="AL263" s="9">
        <v>28413</v>
      </c>
      <c r="AM263" s="5">
        <v>4907</v>
      </c>
      <c r="AN263" s="5"/>
      <c r="AO263" s="49">
        <v>4065508599</v>
      </c>
      <c r="AP263" s="27"/>
    </row>
    <row r="264" spans="1:42" ht="10.5" customHeight="1">
      <c r="A264" s="6">
        <f t="shared" si="4"/>
        <v>2003</v>
      </c>
      <c r="B264" s="6" t="s">
        <v>42</v>
      </c>
      <c r="C264" s="4">
        <v>37865</v>
      </c>
      <c r="D264" s="28"/>
      <c r="E264" s="5">
        <v>71499282</v>
      </c>
      <c r="F264" s="28"/>
      <c r="G264" s="28"/>
      <c r="H264" s="28"/>
      <c r="I264" s="28"/>
      <c r="J264" s="9">
        <v>15582040</v>
      </c>
      <c r="K264" s="60">
        <v>278935629</v>
      </c>
      <c r="L264" s="60">
        <v>138087</v>
      </c>
      <c r="M264" s="28"/>
      <c r="N264" s="5">
        <v>12954427</v>
      </c>
      <c r="O264" s="5">
        <v>22579111</v>
      </c>
      <c r="P264" s="14">
        <v>57623373</v>
      </c>
      <c r="Q264" s="28"/>
      <c r="R264" s="5">
        <v>2443907990</v>
      </c>
      <c r="S264" s="5">
        <v>24529954</v>
      </c>
      <c r="T264" s="9">
        <v>636305891</v>
      </c>
      <c r="U264" s="5">
        <v>9015646</v>
      </c>
      <c r="V264" s="11">
        <v>17701615</v>
      </c>
      <c r="W264" s="5">
        <v>25001027</v>
      </c>
      <c r="X264" s="5">
        <v>13019424</v>
      </c>
      <c r="Y264" s="9">
        <v>333761174</v>
      </c>
      <c r="Z264" s="49">
        <v>222073428</v>
      </c>
      <c r="AA264" s="5">
        <v>44396274</v>
      </c>
      <c r="AB264" s="5">
        <v>25705246</v>
      </c>
      <c r="AC264" s="5">
        <v>2674990</v>
      </c>
      <c r="AD264" s="5">
        <v>4895199</v>
      </c>
      <c r="AE264" s="5">
        <v>25728441</v>
      </c>
      <c r="AF264" s="5">
        <v>372745</v>
      </c>
      <c r="AG264" s="5">
        <v>27377786</v>
      </c>
      <c r="AH264" s="5">
        <v>394553</v>
      </c>
      <c r="AI264" s="15">
        <v>45782653</v>
      </c>
      <c r="AJ264" s="5">
        <v>143711190</v>
      </c>
      <c r="AK264" s="5">
        <v>24078460</v>
      </c>
      <c r="AL264" s="9">
        <v>26739</v>
      </c>
      <c r="AM264" s="5">
        <v>3371</v>
      </c>
      <c r="AN264" s="5"/>
      <c r="AO264" s="49">
        <v>4566022665</v>
      </c>
      <c r="AP264" s="27"/>
    </row>
    <row r="265" spans="1:42" ht="10.5" customHeight="1">
      <c r="A265" s="6">
        <f t="shared" si="4"/>
        <v>2003</v>
      </c>
      <c r="B265" s="6" t="s">
        <v>43</v>
      </c>
      <c r="C265" s="4">
        <v>37895</v>
      </c>
      <c r="D265" s="28"/>
      <c r="E265" s="5">
        <v>50407039</v>
      </c>
      <c r="F265" s="28"/>
      <c r="G265" s="28"/>
      <c r="H265" s="28"/>
      <c r="I265" s="28"/>
      <c r="J265" s="9">
        <v>16623700</v>
      </c>
      <c r="K265" s="60">
        <v>310207451</v>
      </c>
      <c r="L265" s="60">
        <v>6643</v>
      </c>
      <c r="M265" s="28"/>
      <c r="N265" s="5">
        <v>14866271</v>
      </c>
      <c r="O265" s="5">
        <v>33774499</v>
      </c>
      <c r="P265" s="14">
        <v>77357034</v>
      </c>
      <c r="Q265" s="28"/>
      <c r="R265" s="5">
        <v>2387521473</v>
      </c>
      <c r="S265" s="5">
        <v>24098883</v>
      </c>
      <c r="T265" s="9">
        <v>698460767</v>
      </c>
      <c r="U265" s="5">
        <v>3623195</v>
      </c>
      <c r="V265" s="11">
        <v>8895332</v>
      </c>
      <c r="W265" s="5">
        <v>25946749</v>
      </c>
      <c r="X265" s="5">
        <v>14758342</v>
      </c>
      <c r="Y265" s="9">
        <v>445065773</v>
      </c>
      <c r="Z265" s="49">
        <v>225066404</v>
      </c>
      <c r="AA265" s="5">
        <v>40782182</v>
      </c>
      <c r="AB265" s="5">
        <v>26644779</v>
      </c>
      <c r="AC265" s="5">
        <v>2456896</v>
      </c>
      <c r="AD265" s="5">
        <v>5170151</v>
      </c>
      <c r="AE265" s="5">
        <v>25976997</v>
      </c>
      <c r="AF265" s="5">
        <v>465787</v>
      </c>
      <c r="AG265" s="5">
        <v>35166188</v>
      </c>
      <c r="AH265" s="5">
        <v>921758</v>
      </c>
      <c r="AI265" s="15">
        <v>2143</v>
      </c>
      <c r="AJ265" s="5">
        <v>127771453</v>
      </c>
      <c r="AK265" s="5">
        <v>24519776</v>
      </c>
      <c r="AL265" s="9">
        <v>270041</v>
      </c>
      <c r="AM265" s="5">
        <v>936</v>
      </c>
      <c r="AN265" s="5"/>
      <c r="AO265" s="49">
        <v>4689465753</v>
      </c>
      <c r="AP265" s="27"/>
    </row>
    <row r="266" spans="1:42" ht="10.5" customHeight="1">
      <c r="A266" s="6">
        <f t="shared" si="4"/>
        <v>2003</v>
      </c>
      <c r="B266" s="6" t="s">
        <v>44</v>
      </c>
      <c r="C266" s="4">
        <v>37926</v>
      </c>
      <c r="D266" s="28"/>
      <c r="E266" s="5">
        <v>43513087</v>
      </c>
      <c r="F266" s="28"/>
      <c r="G266" s="28"/>
      <c r="H266" s="28"/>
      <c r="I266" s="28"/>
      <c r="J266" s="9">
        <v>9164659</v>
      </c>
      <c r="K266" s="61">
        <v>259366215</v>
      </c>
      <c r="L266" s="60">
        <v>261248</v>
      </c>
      <c r="M266" s="28"/>
      <c r="N266" s="9">
        <v>12060629</v>
      </c>
      <c r="O266" s="9">
        <v>1222769</v>
      </c>
      <c r="P266" s="16">
        <v>69932302</v>
      </c>
      <c r="Q266" s="28"/>
      <c r="R266" s="5">
        <v>2590114150</v>
      </c>
      <c r="S266" s="5">
        <v>24102043</v>
      </c>
      <c r="T266" s="9">
        <v>637980129</v>
      </c>
      <c r="U266" s="9">
        <v>4225688</v>
      </c>
      <c r="V266" s="11">
        <v>10639427</v>
      </c>
      <c r="W266" s="5">
        <v>27079554</v>
      </c>
      <c r="X266" s="5">
        <v>14876342</v>
      </c>
      <c r="Y266" s="9">
        <v>372737823</v>
      </c>
      <c r="Z266" s="49">
        <v>231585104</v>
      </c>
      <c r="AA266" s="5">
        <v>43973650</v>
      </c>
      <c r="AB266" s="5">
        <v>28995049</v>
      </c>
      <c r="AC266" s="5">
        <v>3306817</v>
      </c>
      <c r="AD266" s="9">
        <v>4425887</v>
      </c>
      <c r="AE266" s="5">
        <v>26880600</v>
      </c>
      <c r="AF266" s="5">
        <v>400406</v>
      </c>
      <c r="AG266" s="5">
        <v>38605494</v>
      </c>
      <c r="AH266" s="5">
        <v>673277</v>
      </c>
      <c r="AI266" s="15">
        <v>327100</v>
      </c>
      <c r="AJ266" s="9">
        <v>127857028</v>
      </c>
      <c r="AK266" s="5">
        <v>18584355</v>
      </c>
      <c r="AL266" s="9">
        <v>7130648</v>
      </c>
      <c r="AM266" s="5">
        <v>2770</v>
      </c>
      <c r="AN266" s="5"/>
      <c r="AO266" s="49">
        <v>4641326765</v>
      </c>
      <c r="AP266" s="27"/>
    </row>
    <row r="267" spans="1:42" ht="10.5" customHeight="1">
      <c r="A267" s="6">
        <f t="shared" si="4"/>
        <v>2003</v>
      </c>
      <c r="B267" s="6" t="s">
        <v>45</v>
      </c>
      <c r="C267" s="4">
        <v>37956</v>
      </c>
      <c r="D267" s="28"/>
      <c r="E267" s="5">
        <v>38058450</v>
      </c>
      <c r="F267" s="28"/>
      <c r="G267" s="28"/>
      <c r="H267" s="28"/>
      <c r="I267" s="28"/>
      <c r="J267" s="9">
        <v>8187239</v>
      </c>
      <c r="K267" s="61">
        <v>255243560</v>
      </c>
      <c r="L267" s="60">
        <v>453448</v>
      </c>
      <c r="M267" s="28"/>
      <c r="N267" s="9">
        <v>10050827</v>
      </c>
      <c r="O267" s="9">
        <v>56945169</v>
      </c>
      <c r="P267" s="16">
        <v>78843492</v>
      </c>
      <c r="Q267" s="28"/>
      <c r="R267" s="5">
        <v>2556218114</v>
      </c>
      <c r="S267" s="5">
        <v>24341173</v>
      </c>
      <c r="T267" s="9">
        <v>788560465</v>
      </c>
      <c r="U267" s="9">
        <v>3365621</v>
      </c>
      <c r="V267" s="11">
        <v>9143782</v>
      </c>
      <c r="W267" s="5">
        <v>24450144</v>
      </c>
      <c r="X267" s="5">
        <v>17350025</v>
      </c>
      <c r="Y267" s="9">
        <v>411716174</v>
      </c>
      <c r="Z267" s="49">
        <v>247706103</v>
      </c>
      <c r="AA267" s="5">
        <v>43813053</v>
      </c>
      <c r="AB267" s="5">
        <v>36465637</v>
      </c>
      <c r="AC267" s="5">
        <v>7581654</v>
      </c>
      <c r="AD267" s="9">
        <v>4920836</v>
      </c>
      <c r="AE267" s="5">
        <v>27955429</v>
      </c>
      <c r="AF267" s="5">
        <v>474055</v>
      </c>
      <c r="AG267" s="5">
        <v>28234605</v>
      </c>
      <c r="AH267" s="5">
        <v>862255</v>
      </c>
      <c r="AI267" s="15">
        <v>1951</v>
      </c>
      <c r="AJ267" s="9">
        <v>136046918</v>
      </c>
      <c r="AK267" s="5">
        <v>22741271</v>
      </c>
      <c r="AL267" s="9">
        <v>2089628</v>
      </c>
      <c r="AM267" s="5">
        <v>11833</v>
      </c>
      <c r="AN267" s="5"/>
      <c r="AO267" s="49">
        <v>4885755770</v>
      </c>
      <c r="AP267" s="27"/>
    </row>
    <row r="268" spans="1:42" ht="10.5" customHeight="1">
      <c r="A268" s="6">
        <f t="shared" si="4"/>
        <v>2004</v>
      </c>
      <c r="B268" s="6" t="s">
        <v>34</v>
      </c>
      <c r="C268" s="4">
        <v>37987</v>
      </c>
      <c r="D268" s="28"/>
      <c r="E268" s="5">
        <v>61234984</v>
      </c>
      <c r="F268" s="28"/>
      <c r="G268" s="28"/>
      <c r="H268" s="28"/>
      <c r="I268" s="28"/>
      <c r="J268" s="9">
        <v>10460248</v>
      </c>
      <c r="K268" s="61">
        <v>253788535</v>
      </c>
      <c r="L268" s="60">
        <v>14619</v>
      </c>
      <c r="M268" s="28"/>
      <c r="N268" s="9">
        <v>12102772</v>
      </c>
      <c r="O268" s="9">
        <v>974797</v>
      </c>
      <c r="P268" s="16">
        <v>58520837</v>
      </c>
      <c r="Q268" s="28"/>
      <c r="R268" s="5">
        <v>2719034738</v>
      </c>
      <c r="S268" s="5">
        <v>24293724</v>
      </c>
      <c r="T268" s="9">
        <v>780384964</v>
      </c>
      <c r="U268" s="9">
        <v>5009285</v>
      </c>
      <c r="V268" s="11">
        <v>15568320</v>
      </c>
      <c r="W268" s="5">
        <v>27147277</v>
      </c>
      <c r="X268" s="5">
        <v>16527091</v>
      </c>
      <c r="Y268" s="9">
        <v>394066846</v>
      </c>
      <c r="Z268" s="49">
        <v>249296973</v>
      </c>
      <c r="AA268" s="5">
        <v>43073570</v>
      </c>
      <c r="AB268" s="5">
        <v>36882998</v>
      </c>
      <c r="AC268" s="5">
        <v>1175309</v>
      </c>
      <c r="AD268" s="9">
        <v>5213942</v>
      </c>
      <c r="AE268" s="5">
        <v>30813671</v>
      </c>
      <c r="AF268" s="5">
        <v>567816</v>
      </c>
      <c r="AG268" s="5">
        <v>39804846</v>
      </c>
      <c r="AH268" s="5">
        <v>899077</v>
      </c>
      <c r="AI268" s="15">
        <v>493255</v>
      </c>
      <c r="AJ268" s="9">
        <v>134519642</v>
      </c>
      <c r="AK268" s="5">
        <v>20513964</v>
      </c>
      <c r="AL268" s="9">
        <v>537414</v>
      </c>
      <c r="AM268" s="5">
        <v>1623</v>
      </c>
      <c r="AN268" s="5"/>
      <c r="AO268" s="49">
        <v>4973102261</v>
      </c>
      <c r="AP268" s="27"/>
    </row>
    <row r="269" spans="1:42" ht="10.5" customHeight="1">
      <c r="A269" s="6">
        <f t="shared" si="4"/>
        <v>2004</v>
      </c>
      <c r="B269" s="6" t="s">
        <v>35</v>
      </c>
      <c r="C269" s="4">
        <v>38018</v>
      </c>
      <c r="D269" s="28"/>
      <c r="E269" s="5">
        <v>57557482</v>
      </c>
      <c r="F269" s="28"/>
      <c r="G269" s="28"/>
      <c r="H269" s="28"/>
      <c r="I269" s="28"/>
      <c r="J269" s="9">
        <v>24178371</v>
      </c>
      <c r="K269" s="61">
        <v>259019700</v>
      </c>
      <c r="L269" s="60">
        <v>22348</v>
      </c>
      <c r="M269" s="28"/>
      <c r="N269" s="9">
        <v>12375897</v>
      </c>
      <c r="O269" s="9">
        <v>2816014</v>
      </c>
      <c r="P269" s="16">
        <v>47212815</v>
      </c>
      <c r="Q269" s="28"/>
      <c r="R269" s="5">
        <v>2559879169</v>
      </c>
      <c r="S269" s="5">
        <v>29324275</v>
      </c>
      <c r="T269" s="9">
        <v>868721806</v>
      </c>
      <c r="U269" s="9">
        <v>6136168</v>
      </c>
      <c r="V269" s="11">
        <v>10968565</v>
      </c>
      <c r="W269" s="5">
        <v>26462588</v>
      </c>
      <c r="X269" s="5">
        <v>18269169</v>
      </c>
      <c r="Y269" s="9">
        <v>361346639</v>
      </c>
      <c r="Z269" s="49">
        <v>233572281</v>
      </c>
      <c r="AA269" s="5">
        <v>44742445</v>
      </c>
      <c r="AB269" s="5">
        <v>31495073</v>
      </c>
      <c r="AC269" s="5">
        <v>832988</v>
      </c>
      <c r="AD269" s="9">
        <v>5076888</v>
      </c>
      <c r="AE269" s="5">
        <v>38017538</v>
      </c>
      <c r="AF269" s="5">
        <v>523367</v>
      </c>
      <c r="AG269" s="5">
        <v>40566913</v>
      </c>
      <c r="AH269" s="5">
        <v>511256</v>
      </c>
      <c r="AI269" s="15">
        <v>933</v>
      </c>
      <c r="AJ269" s="9">
        <v>127497531</v>
      </c>
      <c r="AK269" s="5">
        <v>19315326</v>
      </c>
      <c r="AL269" s="9">
        <v>512663</v>
      </c>
      <c r="AM269" s="5">
        <v>2528</v>
      </c>
      <c r="AN269" s="5"/>
      <c r="AO269" s="49">
        <v>4866262969</v>
      </c>
      <c r="AP269" s="27"/>
    </row>
    <row r="270" spans="1:42" ht="10.5" customHeight="1">
      <c r="A270" s="6">
        <f t="shared" si="4"/>
        <v>2004</v>
      </c>
      <c r="B270" s="6" t="s">
        <v>36</v>
      </c>
      <c r="C270" s="4">
        <v>38047</v>
      </c>
      <c r="D270" s="28"/>
      <c r="E270" s="5">
        <v>79049298</v>
      </c>
      <c r="F270" s="28"/>
      <c r="G270" s="28"/>
      <c r="H270" s="28"/>
      <c r="I270" s="28"/>
      <c r="J270" s="9">
        <v>18216628</v>
      </c>
      <c r="K270" s="61">
        <v>272244638</v>
      </c>
      <c r="L270" s="60">
        <v>90232</v>
      </c>
      <c r="M270" s="28"/>
      <c r="N270" s="9">
        <v>16253303</v>
      </c>
      <c r="O270" s="9">
        <v>1742048</v>
      </c>
      <c r="P270" s="16">
        <v>73033365</v>
      </c>
      <c r="Q270" s="28"/>
      <c r="R270" s="5">
        <v>2871155147</v>
      </c>
      <c r="S270" s="5">
        <v>31280850</v>
      </c>
      <c r="T270" s="9">
        <v>820206063</v>
      </c>
      <c r="U270" s="9">
        <v>6750260</v>
      </c>
      <c r="V270" s="11">
        <v>16647512</v>
      </c>
      <c r="W270" s="5">
        <v>26693870</v>
      </c>
      <c r="X270" s="5">
        <v>19267307</v>
      </c>
      <c r="Y270" s="9">
        <v>401257755</v>
      </c>
      <c r="Z270" s="49">
        <v>261247690</v>
      </c>
      <c r="AA270" s="5">
        <v>46481930</v>
      </c>
      <c r="AB270" s="5">
        <v>40514351</v>
      </c>
      <c r="AC270" s="5">
        <v>2466716</v>
      </c>
      <c r="AD270" s="9">
        <v>5231230</v>
      </c>
      <c r="AE270" s="5">
        <v>36404793</v>
      </c>
      <c r="AF270" s="5">
        <v>598190</v>
      </c>
      <c r="AG270" s="5">
        <v>25444279</v>
      </c>
      <c r="AH270" s="5">
        <v>589608</v>
      </c>
      <c r="AI270" s="15">
        <v>1292</v>
      </c>
      <c r="AJ270" s="9">
        <v>159529926</v>
      </c>
      <c r="AK270" s="5">
        <v>23373461</v>
      </c>
      <c r="AL270" s="9">
        <v>511443</v>
      </c>
      <c r="AM270" s="5">
        <v>5428</v>
      </c>
      <c r="AN270" s="5"/>
      <c r="AO270" s="49">
        <v>5300449985</v>
      </c>
      <c r="AP270" s="27"/>
    </row>
    <row r="271" spans="1:42" ht="10.5" customHeight="1">
      <c r="A271" s="6">
        <f t="shared" si="4"/>
        <v>2004</v>
      </c>
      <c r="B271" s="6" t="s">
        <v>37</v>
      </c>
      <c r="C271" s="4">
        <v>38078</v>
      </c>
      <c r="D271" s="28"/>
      <c r="E271" s="5">
        <v>75866451</v>
      </c>
      <c r="F271" s="28"/>
      <c r="G271" s="28"/>
      <c r="H271" s="28"/>
      <c r="I271" s="28"/>
      <c r="J271" s="9">
        <v>73780561</v>
      </c>
      <c r="K271" s="61">
        <v>337784716</v>
      </c>
      <c r="L271" s="60">
        <v>24763</v>
      </c>
      <c r="M271" s="28"/>
      <c r="N271" s="9">
        <v>12299037</v>
      </c>
      <c r="O271" s="9">
        <v>1869028</v>
      </c>
      <c r="P271" s="16">
        <v>63023339</v>
      </c>
      <c r="Q271" s="28"/>
      <c r="R271" s="5">
        <v>2630230681</v>
      </c>
      <c r="S271" s="5">
        <v>29350155</v>
      </c>
      <c r="T271" s="9">
        <v>692510190</v>
      </c>
      <c r="U271" s="9">
        <v>5616205</v>
      </c>
      <c r="V271" s="11">
        <v>12464616</v>
      </c>
      <c r="W271" s="5">
        <v>31653753</v>
      </c>
      <c r="X271" s="5">
        <v>19863658</v>
      </c>
      <c r="Y271" s="9">
        <v>2650937883</v>
      </c>
      <c r="Z271" s="49">
        <v>241682500</v>
      </c>
      <c r="AA271" s="5">
        <v>45471301</v>
      </c>
      <c r="AB271" s="5">
        <v>30584149</v>
      </c>
      <c r="AC271" s="5">
        <v>2747648</v>
      </c>
      <c r="AD271" s="9">
        <v>5067528</v>
      </c>
      <c r="AE271" s="5">
        <v>32634704</v>
      </c>
      <c r="AF271" s="5">
        <v>12452</v>
      </c>
      <c r="AG271" s="5">
        <v>29645051</v>
      </c>
      <c r="AH271" s="5">
        <v>665502</v>
      </c>
      <c r="AI271" s="15">
        <v>1005</v>
      </c>
      <c r="AJ271" s="9">
        <v>121629206</v>
      </c>
      <c r="AK271" s="5">
        <v>19421467</v>
      </c>
      <c r="AL271" s="9">
        <v>422735</v>
      </c>
      <c r="AM271" s="5">
        <v>2715</v>
      </c>
      <c r="AN271" s="5"/>
      <c r="AO271" s="49">
        <v>7202058119</v>
      </c>
      <c r="AP271" s="27"/>
    </row>
    <row r="272" spans="1:42" ht="10.5" customHeight="1">
      <c r="A272" s="6">
        <f t="shared" si="4"/>
        <v>2004</v>
      </c>
      <c r="B272" s="6" t="s">
        <v>73</v>
      </c>
      <c r="C272" s="4">
        <v>38108</v>
      </c>
      <c r="D272" s="28"/>
      <c r="E272" s="5">
        <v>68013979</v>
      </c>
      <c r="F272" s="28"/>
      <c r="G272" s="28"/>
      <c r="H272" s="28"/>
      <c r="I272" s="28"/>
      <c r="J272" s="9">
        <v>12667051</v>
      </c>
      <c r="K272" s="61">
        <v>393122524</v>
      </c>
      <c r="L272" s="60">
        <v>155062</v>
      </c>
      <c r="M272" s="28"/>
      <c r="N272" s="9">
        <v>11528656</v>
      </c>
      <c r="O272" s="9">
        <v>29034640</v>
      </c>
      <c r="P272" s="16">
        <v>67314558</v>
      </c>
      <c r="Q272" s="28"/>
      <c r="R272" s="5">
        <v>2876835629</v>
      </c>
      <c r="S272" s="5">
        <v>29841242</v>
      </c>
      <c r="T272" s="9">
        <v>676391790</v>
      </c>
      <c r="U272" s="9">
        <v>5361342</v>
      </c>
      <c r="V272" s="11">
        <v>14209911</v>
      </c>
      <c r="W272" s="5">
        <v>23860747</v>
      </c>
      <c r="X272" s="5">
        <v>17934155</v>
      </c>
      <c r="Y272" s="9">
        <v>590524376</v>
      </c>
      <c r="Z272" s="49">
        <v>251759908</v>
      </c>
      <c r="AA272" s="5">
        <v>56492695</v>
      </c>
      <c r="AB272" s="5">
        <v>34545155</v>
      </c>
      <c r="AC272" s="5">
        <v>4147997</v>
      </c>
      <c r="AD272" s="9">
        <v>5682036</v>
      </c>
      <c r="AE272" s="5">
        <v>30151385</v>
      </c>
      <c r="AF272" s="5">
        <v>194563</v>
      </c>
      <c r="AG272" s="5">
        <v>41867468</v>
      </c>
      <c r="AH272" s="5">
        <v>893634</v>
      </c>
      <c r="AI272" s="15">
        <v>726</v>
      </c>
      <c r="AJ272" s="9">
        <v>150597837</v>
      </c>
      <c r="AK272" s="5">
        <v>17604003</v>
      </c>
      <c r="AL272" s="9">
        <v>510415</v>
      </c>
      <c r="AM272" s="5">
        <v>8341</v>
      </c>
      <c r="AN272" s="5"/>
      <c r="AO272" s="49">
        <v>5493257071</v>
      </c>
      <c r="AP272" s="27"/>
    </row>
    <row r="273" spans="1:42" ht="10.5" customHeight="1">
      <c r="A273" s="6">
        <f t="shared" si="4"/>
        <v>2004</v>
      </c>
      <c r="B273" s="6" t="s">
        <v>39</v>
      </c>
      <c r="C273" s="4">
        <v>38139</v>
      </c>
      <c r="D273" s="28"/>
      <c r="E273" s="5">
        <v>82984818</v>
      </c>
      <c r="F273" s="28"/>
      <c r="G273" s="28"/>
      <c r="H273" s="28"/>
      <c r="I273" s="28"/>
      <c r="J273" s="9">
        <v>10587431</v>
      </c>
      <c r="K273" s="61">
        <v>291961243</v>
      </c>
      <c r="L273" s="60">
        <v>13063</v>
      </c>
      <c r="M273" s="28"/>
      <c r="N273" s="9">
        <v>12253947</v>
      </c>
      <c r="O273" s="9">
        <v>33368199</v>
      </c>
      <c r="P273" s="16">
        <v>79439121</v>
      </c>
      <c r="Q273" s="28"/>
      <c r="R273" s="5">
        <v>2823776210</v>
      </c>
      <c r="S273" s="5">
        <v>29868020</v>
      </c>
      <c r="T273" s="9">
        <v>713601085</v>
      </c>
      <c r="U273" s="9">
        <v>5978447</v>
      </c>
      <c r="V273" s="11">
        <v>15865633</v>
      </c>
      <c r="W273" s="5">
        <v>26748379</v>
      </c>
      <c r="X273" s="5">
        <v>20032526</v>
      </c>
      <c r="Y273" s="9">
        <v>588840111</v>
      </c>
      <c r="Z273" s="49">
        <v>254391934</v>
      </c>
      <c r="AA273" s="5">
        <v>46857672</v>
      </c>
      <c r="AB273" s="5">
        <v>32930866</v>
      </c>
      <c r="AC273" s="5">
        <v>4240350</v>
      </c>
      <c r="AD273" s="9">
        <v>4733817</v>
      </c>
      <c r="AE273" s="5">
        <v>26532754</v>
      </c>
      <c r="AF273" s="5">
        <v>243095</v>
      </c>
      <c r="AG273" s="5">
        <v>28669484</v>
      </c>
      <c r="AH273" s="5">
        <v>865014</v>
      </c>
      <c r="AI273" s="15">
        <v>991</v>
      </c>
      <c r="AJ273" s="9">
        <v>131902492</v>
      </c>
      <c r="AK273" s="5">
        <v>8164193</v>
      </c>
      <c r="AL273" s="9">
        <v>502922</v>
      </c>
      <c r="AM273" s="5">
        <v>2997</v>
      </c>
      <c r="AN273" s="5"/>
      <c r="AO273" s="49">
        <v>5328136972</v>
      </c>
      <c r="AP273" s="27"/>
    </row>
    <row r="274" spans="1:42" ht="10.5" customHeight="1">
      <c r="A274" s="6">
        <f t="shared" si="4"/>
        <v>2004</v>
      </c>
      <c r="B274" s="6" t="s">
        <v>40</v>
      </c>
      <c r="C274" s="4">
        <v>38169</v>
      </c>
      <c r="D274" s="28"/>
      <c r="E274" s="5">
        <v>84192952</v>
      </c>
      <c r="F274" s="28"/>
      <c r="G274" s="28"/>
      <c r="H274" s="28"/>
      <c r="I274" s="28"/>
      <c r="J274" s="9">
        <v>10712236</v>
      </c>
      <c r="K274" s="61">
        <v>293606527</v>
      </c>
      <c r="L274" s="60">
        <v>11887</v>
      </c>
      <c r="M274" s="28"/>
      <c r="N274" s="9">
        <v>11549688</v>
      </c>
      <c r="O274" s="9">
        <v>1482209</v>
      </c>
      <c r="P274" s="16">
        <v>79883772</v>
      </c>
      <c r="Q274" s="28"/>
      <c r="R274" s="5">
        <v>2836613029</v>
      </c>
      <c r="S274" s="5">
        <v>29030044</v>
      </c>
      <c r="T274" s="9">
        <v>746036662</v>
      </c>
      <c r="U274" s="9">
        <v>7835344</v>
      </c>
      <c r="V274" s="11">
        <v>15683577</v>
      </c>
      <c r="W274" s="5">
        <v>26904401</v>
      </c>
      <c r="X274" s="5">
        <v>21071518</v>
      </c>
      <c r="Y274" s="9">
        <v>528932967</v>
      </c>
      <c r="Z274" s="49">
        <v>253522490</v>
      </c>
      <c r="AA274" s="5">
        <v>49915781</v>
      </c>
      <c r="AB274" s="5">
        <v>36268949</v>
      </c>
      <c r="AC274" s="5">
        <v>1795963</v>
      </c>
      <c r="AD274" s="9">
        <v>5215774</v>
      </c>
      <c r="AE274" s="5">
        <v>28862394</v>
      </c>
      <c r="AF274" s="5">
        <v>278378</v>
      </c>
      <c r="AG274" s="5">
        <v>47204453</v>
      </c>
      <c r="AH274" s="5">
        <v>557727</v>
      </c>
      <c r="AI274" s="15">
        <v>897</v>
      </c>
      <c r="AJ274" s="9">
        <v>144743379</v>
      </c>
      <c r="AK274" s="5">
        <v>18766032</v>
      </c>
      <c r="AL274" s="9">
        <v>224207</v>
      </c>
      <c r="AM274" s="5">
        <v>2905</v>
      </c>
      <c r="AN274" s="5"/>
      <c r="AO274" s="49">
        <v>5338622338</v>
      </c>
      <c r="AP274" s="27"/>
    </row>
    <row r="275" spans="1:42" ht="10.5" customHeight="1">
      <c r="A275" s="6">
        <f t="shared" si="4"/>
        <v>2004</v>
      </c>
      <c r="B275" s="6" t="s">
        <v>41</v>
      </c>
      <c r="C275" s="4">
        <v>38200</v>
      </c>
      <c r="D275" s="28"/>
      <c r="E275" s="5">
        <v>64961367</v>
      </c>
      <c r="F275" s="28"/>
      <c r="G275" s="28"/>
      <c r="H275" s="28"/>
      <c r="I275" s="28"/>
      <c r="J275" s="9">
        <v>9267395</v>
      </c>
      <c r="K275" s="61">
        <v>301411514</v>
      </c>
      <c r="L275" s="60">
        <v>99726</v>
      </c>
      <c r="M275" s="28"/>
      <c r="N275" s="9">
        <v>12244934</v>
      </c>
      <c r="O275" s="9">
        <v>1175470</v>
      </c>
      <c r="P275" s="16">
        <v>69656204</v>
      </c>
      <c r="Q275" s="28"/>
      <c r="R275" s="5">
        <v>2922488025</v>
      </c>
      <c r="S275" s="5">
        <v>29446492</v>
      </c>
      <c r="T275" s="9">
        <v>692880405</v>
      </c>
      <c r="U275" s="9">
        <v>5455129</v>
      </c>
      <c r="V275" s="11">
        <v>13843379</v>
      </c>
      <c r="W275" s="5">
        <v>32491336</v>
      </c>
      <c r="X275" s="5">
        <v>18941852</v>
      </c>
      <c r="Y275" s="9">
        <v>605246940</v>
      </c>
      <c r="Z275" s="49">
        <v>263939929</v>
      </c>
      <c r="AA275" s="5">
        <v>50414381</v>
      </c>
      <c r="AB275" s="5">
        <v>34978936</v>
      </c>
      <c r="AC275" s="5">
        <v>2140833</v>
      </c>
      <c r="AD275" s="9">
        <v>5121166</v>
      </c>
      <c r="AE275" s="5">
        <v>30857348</v>
      </c>
      <c r="AF275" s="5">
        <v>355338</v>
      </c>
      <c r="AG275" s="5">
        <v>45573434</v>
      </c>
      <c r="AH275" s="5">
        <v>464141</v>
      </c>
      <c r="AI275" s="15">
        <v>8798099</v>
      </c>
      <c r="AJ275" s="9">
        <v>141529267</v>
      </c>
      <c r="AK275" s="5">
        <v>20097581</v>
      </c>
      <c r="AL275" s="9">
        <v>842912</v>
      </c>
      <c r="AM275" s="5">
        <v>2537</v>
      </c>
      <c r="AN275" s="5"/>
      <c r="AO275" s="49">
        <v>5433297221</v>
      </c>
      <c r="AP275" s="27"/>
    </row>
    <row r="276" spans="1:42" ht="10.5" customHeight="1">
      <c r="A276" s="6">
        <f t="shared" si="4"/>
        <v>2004</v>
      </c>
      <c r="B276" s="6" t="s">
        <v>42</v>
      </c>
      <c r="C276" s="4">
        <v>38231</v>
      </c>
      <c r="D276" s="28"/>
      <c r="E276" s="5">
        <v>36447335</v>
      </c>
      <c r="F276" s="28"/>
      <c r="G276" s="28"/>
      <c r="H276" s="28"/>
      <c r="I276" s="28"/>
      <c r="J276" s="9">
        <v>13885632</v>
      </c>
      <c r="K276" s="61">
        <v>97971469</v>
      </c>
      <c r="L276" s="60">
        <v>8895</v>
      </c>
      <c r="M276" s="28"/>
      <c r="N276" s="9">
        <v>10417972</v>
      </c>
      <c r="O276" s="9">
        <v>30136866</v>
      </c>
      <c r="P276" s="16">
        <v>68397418</v>
      </c>
      <c r="Q276" s="28"/>
      <c r="R276" s="5">
        <v>1815943473</v>
      </c>
      <c r="S276" s="5">
        <v>28467762</v>
      </c>
      <c r="T276" s="9">
        <v>466205702</v>
      </c>
      <c r="U276" s="9">
        <v>3453983</v>
      </c>
      <c r="V276" s="11">
        <v>7071292</v>
      </c>
      <c r="W276" s="5">
        <v>6150306</v>
      </c>
      <c r="X276" s="5">
        <v>14731415</v>
      </c>
      <c r="Y276" s="9">
        <v>141492823</v>
      </c>
      <c r="Z276" s="49">
        <v>165541361</v>
      </c>
      <c r="AA276" s="5">
        <v>28302819</v>
      </c>
      <c r="AB276" s="5">
        <v>21841566</v>
      </c>
      <c r="AC276" s="5">
        <v>2701078</v>
      </c>
      <c r="AD276" s="9">
        <v>580485</v>
      </c>
      <c r="AE276" s="5">
        <v>3919174</v>
      </c>
      <c r="AF276" s="5">
        <v>429187</v>
      </c>
      <c r="AG276" s="5">
        <v>80912</v>
      </c>
      <c r="AH276" s="5">
        <v>611319</v>
      </c>
      <c r="AI276" s="15">
        <v>1530355</v>
      </c>
      <c r="AJ276" s="9">
        <v>48668829</v>
      </c>
      <c r="AK276" s="5">
        <v>6616999</v>
      </c>
      <c r="AL276" s="9">
        <v>91485</v>
      </c>
      <c r="AM276" s="5">
        <v>3755</v>
      </c>
      <c r="AN276" s="5"/>
      <c r="AO276" s="49">
        <v>3052739695</v>
      </c>
      <c r="AP276" s="27"/>
    </row>
    <row r="277" spans="1:42" ht="10.5" customHeight="1">
      <c r="A277" s="6">
        <f t="shared" si="4"/>
        <v>2004</v>
      </c>
      <c r="B277" s="6" t="s">
        <v>43</v>
      </c>
      <c r="C277" s="4">
        <v>38261</v>
      </c>
      <c r="D277" s="28"/>
      <c r="E277" s="5">
        <v>137621703</v>
      </c>
      <c r="F277" s="28"/>
      <c r="G277" s="28"/>
      <c r="H277" s="28"/>
      <c r="I277" s="28"/>
      <c r="J277" s="9">
        <v>16432804</v>
      </c>
      <c r="K277" s="61">
        <v>362515515</v>
      </c>
      <c r="L277" s="60">
        <v>14039</v>
      </c>
      <c r="M277" s="28"/>
      <c r="N277" s="9">
        <v>10448890</v>
      </c>
      <c r="O277" s="9">
        <v>44969658</v>
      </c>
      <c r="P277" s="16">
        <v>37214025</v>
      </c>
      <c r="Q277" s="28"/>
      <c r="R277" s="5">
        <v>3076626914</v>
      </c>
      <c r="S277" s="5">
        <v>28506655</v>
      </c>
      <c r="T277" s="9">
        <v>785470709</v>
      </c>
      <c r="U277" s="9">
        <v>12235473</v>
      </c>
      <c r="V277" s="11">
        <v>27137213</v>
      </c>
      <c r="W277" s="5">
        <v>42764337</v>
      </c>
      <c r="X277" s="5">
        <v>17507976</v>
      </c>
      <c r="Y277" s="9">
        <v>448820836</v>
      </c>
      <c r="Z277" s="49">
        <v>227045819</v>
      </c>
      <c r="AA277" s="5">
        <v>53150511</v>
      </c>
      <c r="AB277" s="5">
        <v>26917323</v>
      </c>
      <c r="AC277" s="5">
        <v>4422020</v>
      </c>
      <c r="AD277" s="9">
        <v>3291106</v>
      </c>
      <c r="AE277" s="5">
        <v>5686178</v>
      </c>
      <c r="AF277" s="5">
        <v>417825</v>
      </c>
      <c r="AG277" s="5">
        <v>77608644</v>
      </c>
      <c r="AH277" s="5">
        <v>666320</v>
      </c>
      <c r="AI277" s="15">
        <v>2531</v>
      </c>
      <c r="AJ277" s="9">
        <v>147801142</v>
      </c>
      <c r="AK277" s="5">
        <v>26512170</v>
      </c>
      <c r="AL277" s="9">
        <v>89366</v>
      </c>
      <c r="AM277" s="5">
        <v>2187</v>
      </c>
      <c r="AN277" s="5"/>
      <c r="AO277" s="49">
        <v>5694310966</v>
      </c>
      <c r="AP277" s="27"/>
    </row>
    <row r="278" spans="1:42" ht="10.5" customHeight="1">
      <c r="A278" s="6">
        <f t="shared" si="4"/>
        <v>2004</v>
      </c>
      <c r="B278" s="6" t="s">
        <v>44</v>
      </c>
      <c r="C278" s="4">
        <v>38292</v>
      </c>
      <c r="D278" s="28"/>
      <c r="E278" s="5">
        <v>106179353</v>
      </c>
      <c r="F278" s="28"/>
      <c r="G278" s="28"/>
      <c r="H278" s="28"/>
      <c r="I278" s="28"/>
      <c r="J278" s="9">
        <v>11078005</v>
      </c>
      <c r="K278" s="61">
        <v>416793322</v>
      </c>
      <c r="L278" s="60">
        <v>991191</v>
      </c>
      <c r="M278" s="28"/>
      <c r="N278" s="9">
        <v>14213500</v>
      </c>
      <c r="O278" s="9">
        <v>1651624</v>
      </c>
      <c r="P278" s="16">
        <v>74195081</v>
      </c>
      <c r="Q278" s="28"/>
      <c r="R278" s="5">
        <v>4148084154</v>
      </c>
      <c r="S278" s="5">
        <v>29208334</v>
      </c>
      <c r="T278" s="9">
        <v>999752595</v>
      </c>
      <c r="U278" s="9">
        <v>9043263</v>
      </c>
      <c r="V278" s="9">
        <v>20061206</v>
      </c>
      <c r="W278" s="5">
        <v>34320994</v>
      </c>
      <c r="X278" s="5">
        <v>24042153</v>
      </c>
      <c r="Y278" s="9">
        <v>960643305</v>
      </c>
      <c r="Z278" s="49">
        <v>277249446</v>
      </c>
      <c r="AA278" s="5">
        <v>75717489</v>
      </c>
      <c r="AB278" s="5">
        <v>43822760</v>
      </c>
      <c r="AC278" s="5">
        <v>3511794</v>
      </c>
      <c r="AD278" s="9">
        <v>12712270</v>
      </c>
      <c r="AE278" s="5">
        <v>79370070</v>
      </c>
      <c r="AF278" s="5">
        <v>407559</v>
      </c>
      <c r="AG278" s="5">
        <v>44998242</v>
      </c>
      <c r="AH278" s="5">
        <v>697102</v>
      </c>
      <c r="AI278" s="15">
        <v>6469379</v>
      </c>
      <c r="AJ278" s="9">
        <v>141902868</v>
      </c>
      <c r="AK278" s="5">
        <v>23540930</v>
      </c>
      <c r="AL278" s="9">
        <v>16797343</v>
      </c>
      <c r="AM278" s="5">
        <v>2107</v>
      </c>
      <c r="AN278" s="5"/>
      <c r="AO278" s="49">
        <v>7635543822</v>
      </c>
      <c r="AP278" s="27"/>
    </row>
    <row r="279" spans="1:42" ht="10.5" customHeight="1">
      <c r="A279" s="6">
        <f t="shared" si="4"/>
        <v>2004</v>
      </c>
      <c r="B279" s="6" t="s">
        <v>45</v>
      </c>
      <c r="C279" s="4">
        <v>38322</v>
      </c>
      <c r="D279" s="28"/>
      <c r="E279" s="5">
        <v>73823141</v>
      </c>
      <c r="F279" s="28"/>
      <c r="G279" s="28"/>
      <c r="H279" s="28"/>
      <c r="I279" s="28"/>
      <c r="J279" s="9">
        <v>14592387</v>
      </c>
      <c r="K279" s="61">
        <v>285681612</v>
      </c>
      <c r="L279" s="60">
        <v>63557</v>
      </c>
      <c r="M279" s="28"/>
      <c r="N279" s="9">
        <v>13820991</v>
      </c>
      <c r="O279" s="9">
        <v>77938001</v>
      </c>
      <c r="P279" s="16">
        <v>88318789</v>
      </c>
      <c r="Q279" s="28"/>
      <c r="R279" s="5">
        <v>3214204848</v>
      </c>
      <c r="S279" s="9">
        <v>28957741</v>
      </c>
      <c r="T279" s="9">
        <v>989326622</v>
      </c>
      <c r="U279" s="9">
        <v>7115894</v>
      </c>
      <c r="V279" s="9">
        <v>17728888</v>
      </c>
      <c r="W279" s="5">
        <v>29877708</v>
      </c>
      <c r="X279" s="5">
        <v>24102212</v>
      </c>
      <c r="Y279" s="9">
        <v>612060348</v>
      </c>
      <c r="Z279" s="49">
        <v>250148274</v>
      </c>
      <c r="AA279" s="5">
        <v>49162209</v>
      </c>
      <c r="AB279" s="9">
        <v>35824925</v>
      </c>
      <c r="AC279" s="5">
        <v>5344657</v>
      </c>
      <c r="AD279" s="9">
        <v>4658618</v>
      </c>
      <c r="AE279" s="5">
        <v>25325361</v>
      </c>
      <c r="AF279" s="5">
        <v>372987</v>
      </c>
      <c r="AG279" s="5">
        <v>45149584</v>
      </c>
      <c r="AH279" s="5">
        <v>879175</v>
      </c>
      <c r="AI279" s="15">
        <v>3062904</v>
      </c>
      <c r="AJ279" s="9">
        <v>101684182</v>
      </c>
      <c r="AK279" s="5">
        <v>14446231</v>
      </c>
      <c r="AL279" s="9">
        <v>3619474</v>
      </c>
      <c r="AM279" s="5">
        <v>1642</v>
      </c>
      <c r="AN279" s="5"/>
      <c r="AO279" s="49">
        <v>6067450197</v>
      </c>
      <c r="AP279" s="27"/>
    </row>
    <row r="280" spans="1:42" ht="10.5" customHeight="1">
      <c r="A280" s="6">
        <f t="shared" si="4"/>
        <v>2005</v>
      </c>
      <c r="B280" s="6" t="s">
        <v>34</v>
      </c>
      <c r="C280" s="4">
        <v>38353</v>
      </c>
      <c r="D280" s="28"/>
      <c r="E280" s="5">
        <v>78290318</v>
      </c>
      <c r="F280" s="28"/>
      <c r="G280" s="28"/>
      <c r="H280" s="28"/>
      <c r="I280" s="28"/>
      <c r="J280" s="9">
        <v>11679156</v>
      </c>
      <c r="K280" s="61">
        <v>302500468</v>
      </c>
      <c r="L280" s="60">
        <v>6171</v>
      </c>
      <c r="M280" s="28"/>
      <c r="N280" s="9">
        <v>14557967</v>
      </c>
      <c r="O280" s="9">
        <v>795237</v>
      </c>
      <c r="P280" s="16">
        <v>63500507</v>
      </c>
      <c r="Q280" s="28"/>
      <c r="R280" s="5">
        <v>3559731060</v>
      </c>
      <c r="S280" s="9">
        <v>34338586</v>
      </c>
      <c r="T280" s="9">
        <v>940516097</v>
      </c>
      <c r="U280" s="9">
        <v>8950844</v>
      </c>
      <c r="V280" s="9">
        <v>15621801</v>
      </c>
      <c r="W280" s="5">
        <v>25897855</v>
      </c>
      <c r="X280" s="5">
        <v>21675022</v>
      </c>
      <c r="Y280" s="9">
        <v>559403557</v>
      </c>
      <c r="Z280" s="49">
        <v>249963505</v>
      </c>
      <c r="AA280" s="5">
        <v>50518174</v>
      </c>
      <c r="AB280" s="9">
        <v>34548545</v>
      </c>
      <c r="AC280" s="5">
        <v>497894</v>
      </c>
      <c r="AD280" s="9">
        <v>6358030</v>
      </c>
      <c r="AE280" s="5">
        <v>15098506</v>
      </c>
      <c r="AF280" s="5">
        <v>673809</v>
      </c>
      <c r="AG280" s="5">
        <v>45116539</v>
      </c>
      <c r="AH280" s="5">
        <v>803083</v>
      </c>
      <c r="AI280" s="15">
        <v>135574</v>
      </c>
      <c r="AJ280" s="9">
        <v>102393697</v>
      </c>
      <c r="AK280" s="5">
        <v>17658757</v>
      </c>
      <c r="AL280" s="9">
        <v>1608412</v>
      </c>
      <c r="AM280" s="5">
        <v>1064</v>
      </c>
      <c r="AN280" s="5"/>
      <c r="AO280" s="49">
        <v>6192877275</v>
      </c>
      <c r="AP280" s="27"/>
    </row>
    <row r="281" spans="1:42" ht="10.5" customHeight="1">
      <c r="A281" s="6">
        <f t="shared" si="4"/>
        <v>2005</v>
      </c>
      <c r="B281" s="6" t="s">
        <v>35</v>
      </c>
      <c r="C281" s="4">
        <v>38384</v>
      </c>
      <c r="D281" s="28"/>
      <c r="E281" s="5">
        <v>73435326</v>
      </c>
      <c r="F281" s="28"/>
      <c r="G281" s="28"/>
      <c r="H281" s="28"/>
      <c r="I281" s="28"/>
      <c r="J281" s="9">
        <v>20417636</v>
      </c>
      <c r="K281" s="61">
        <v>301135506</v>
      </c>
      <c r="L281" s="60">
        <v>272989</v>
      </c>
      <c r="M281" s="28"/>
      <c r="N281" s="9">
        <v>12318063</v>
      </c>
      <c r="O281" s="9">
        <v>3240031</v>
      </c>
      <c r="P281" s="16">
        <v>45724320</v>
      </c>
      <c r="Q281" s="28"/>
      <c r="R281" s="5">
        <v>3106702125</v>
      </c>
      <c r="S281" s="9">
        <v>40305965</v>
      </c>
      <c r="T281" s="9">
        <v>1000937755</v>
      </c>
      <c r="U281" s="9">
        <v>6429952</v>
      </c>
      <c r="V281" s="9">
        <v>17819022</v>
      </c>
      <c r="W281" s="5">
        <v>26572489</v>
      </c>
      <c r="X281" s="5">
        <v>18860219</v>
      </c>
      <c r="Y281" s="9">
        <v>697553510</v>
      </c>
      <c r="Z281" s="49">
        <v>216718751</v>
      </c>
      <c r="AA281" s="5">
        <v>48105553</v>
      </c>
      <c r="AB281" s="9">
        <v>28558266</v>
      </c>
      <c r="AC281" s="5">
        <v>430223</v>
      </c>
      <c r="AD281" s="9">
        <v>5792050</v>
      </c>
      <c r="AE281" s="5">
        <v>21156234</v>
      </c>
      <c r="AF281" s="5">
        <v>1</v>
      </c>
      <c r="AG281" s="5">
        <v>35625630</v>
      </c>
      <c r="AH281" s="5">
        <v>501712</v>
      </c>
      <c r="AI281" s="15">
        <v>2389885</v>
      </c>
      <c r="AJ281" s="9">
        <v>94246936</v>
      </c>
      <c r="AK281" s="5">
        <v>15613254</v>
      </c>
      <c r="AL281" s="9">
        <v>480325</v>
      </c>
      <c r="AM281" s="5">
        <v>2323</v>
      </c>
      <c r="AN281" s="5"/>
      <c r="AO281" s="49">
        <v>5900527147</v>
      </c>
      <c r="AP281" s="27"/>
    </row>
    <row r="282" spans="1:42" ht="10.5" customHeight="1">
      <c r="A282" s="6">
        <f t="shared" si="4"/>
        <v>2005</v>
      </c>
      <c r="B282" s="6" t="s">
        <v>36</v>
      </c>
      <c r="C282" s="4">
        <v>38412</v>
      </c>
      <c r="D282" s="28"/>
      <c r="E282" s="5">
        <v>48758136</v>
      </c>
      <c r="F282" s="28"/>
      <c r="G282" s="28"/>
      <c r="H282" s="28"/>
      <c r="I282" s="28"/>
      <c r="J282" s="9">
        <v>23245322</v>
      </c>
      <c r="K282" s="61">
        <v>293016552</v>
      </c>
      <c r="L282" s="60">
        <v>9996</v>
      </c>
      <c r="M282" s="28"/>
      <c r="N282" s="9">
        <v>13887908</v>
      </c>
      <c r="O282" s="9">
        <v>465870</v>
      </c>
      <c r="P282" s="16">
        <v>63891856</v>
      </c>
      <c r="Q282" s="28"/>
      <c r="R282" s="5">
        <v>3084953633</v>
      </c>
      <c r="S282" s="9">
        <v>38932215</v>
      </c>
      <c r="T282" s="9">
        <v>890587723</v>
      </c>
      <c r="U282" s="9">
        <v>3825008</v>
      </c>
      <c r="V282" s="9">
        <v>9316956</v>
      </c>
      <c r="W282" s="5">
        <v>25152376</v>
      </c>
      <c r="X282" s="5">
        <v>16226144</v>
      </c>
      <c r="Y282" s="9">
        <v>677729919</v>
      </c>
      <c r="Z282" s="49">
        <v>205751130</v>
      </c>
      <c r="AA282" s="5">
        <v>51360364</v>
      </c>
      <c r="AB282" s="9">
        <v>30312742</v>
      </c>
      <c r="AC282" s="5">
        <v>6289273</v>
      </c>
      <c r="AD282" s="9">
        <v>5830778</v>
      </c>
      <c r="AE282" s="5">
        <v>18150951</v>
      </c>
      <c r="AF282" s="5">
        <v>364713</v>
      </c>
      <c r="AG282" s="5">
        <v>37297246</v>
      </c>
      <c r="AH282" s="5">
        <v>874387</v>
      </c>
      <c r="AI282" s="15">
        <v>509754</v>
      </c>
      <c r="AJ282" s="9">
        <v>103296154</v>
      </c>
      <c r="AK282" s="5">
        <v>17328683</v>
      </c>
      <c r="AL282" s="9">
        <v>570142</v>
      </c>
      <c r="AM282" s="5">
        <v>2166</v>
      </c>
      <c r="AN282" s="5"/>
      <c r="AO282" s="49">
        <v>5719314078</v>
      </c>
      <c r="AP282" s="27"/>
    </row>
    <row r="283" spans="1:42" ht="10.5" customHeight="1">
      <c r="A283" s="6">
        <f t="shared" si="4"/>
        <v>2005</v>
      </c>
      <c r="B283" s="6" t="s">
        <v>37</v>
      </c>
      <c r="C283" s="4">
        <v>38443</v>
      </c>
      <c r="D283" s="28"/>
      <c r="E283" s="5">
        <v>66919480</v>
      </c>
      <c r="F283" s="28"/>
      <c r="G283" s="28"/>
      <c r="H283" s="28"/>
      <c r="I283" s="28"/>
      <c r="J283" s="9">
        <v>74673193</v>
      </c>
      <c r="K283" s="61">
        <v>563936057</v>
      </c>
      <c r="L283" s="60">
        <v>87315</v>
      </c>
      <c r="M283" s="28"/>
      <c r="N283" s="9">
        <v>15673050</v>
      </c>
      <c r="O283" s="9">
        <v>1120381</v>
      </c>
      <c r="P283" s="16">
        <v>64300790</v>
      </c>
      <c r="Q283" s="28"/>
      <c r="R283" s="5">
        <v>3087661477</v>
      </c>
      <c r="S283" s="9">
        <v>39230561</v>
      </c>
      <c r="T283" s="9">
        <v>761484211</v>
      </c>
      <c r="U283" s="9">
        <v>4671027</v>
      </c>
      <c r="V283" s="9">
        <v>10943010</v>
      </c>
      <c r="W283" s="5">
        <v>19919556</v>
      </c>
      <c r="X283" s="5">
        <v>20179348</v>
      </c>
      <c r="Y283" s="9">
        <v>2406861255</v>
      </c>
      <c r="Z283" s="49">
        <v>232778874</v>
      </c>
      <c r="AA283" s="5">
        <v>45647822</v>
      </c>
      <c r="AB283" s="9">
        <v>32403530</v>
      </c>
      <c r="AC283" s="5">
        <v>1566533</v>
      </c>
      <c r="AD283" s="9">
        <v>5118623</v>
      </c>
      <c r="AE283" s="5">
        <v>21761869</v>
      </c>
      <c r="AF283" s="5">
        <v>128975</v>
      </c>
      <c r="AG283" s="5">
        <v>40965216</v>
      </c>
      <c r="AH283" s="5">
        <v>736074</v>
      </c>
      <c r="AI283" s="15">
        <v>168084</v>
      </c>
      <c r="AJ283" s="9">
        <v>119861582</v>
      </c>
      <c r="AK283" s="5">
        <v>13044777</v>
      </c>
      <c r="AL283" s="9">
        <v>533098</v>
      </c>
      <c r="AM283" s="5">
        <v>1468</v>
      </c>
      <c r="AN283" s="5"/>
      <c r="AO283" s="49">
        <v>7702452059</v>
      </c>
      <c r="AP283" s="27"/>
    </row>
    <row r="284" spans="1:42" ht="10.5" customHeight="1">
      <c r="A284" s="6">
        <f t="shared" si="4"/>
        <v>2005</v>
      </c>
      <c r="B284" s="6" t="s">
        <v>73</v>
      </c>
      <c r="C284" s="4">
        <v>38473</v>
      </c>
      <c r="D284" s="28"/>
      <c r="E284" s="5">
        <v>75875744</v>
      </c>
      <c r="F284" s="28"/>
      <c r="G284" s="28"/>
      <c r="H284" s="28"/>
      <c r="I284" s="28"/>
      <c r="J284" s="9">
        <v>13805853</v>
      </c>
      <c r="K284" s="61">
        <v>432631415</v>
      </c>
      <c r="L284" s="60">
        <v>26209</v>
      </c>
      <c r="M284" s="28"/>
      <c r="N284" s="9">
        <v>18268457</v>
      </c>
      <c r="O284" s="9">
        <v>37542891</v>
      </c>
      <c r="P284" s="16">
        <v>74555801</v>
      </c>
      <c r="Q284" s="28"/>
      <c r="R284" s="5">
        <v>3147677301</v>
      </c>
      <c r="S284" s="9">
        <v>37892835</v>
      </c>
      <c r="T284" s="9">
        <v>943936190</v>
      </c>
      <c r="U284" s="9">
        <v>6188000</v>
      </c>
      <c r="V284" s="9">
        <v>13194137</v>
      </c>
      <c r="W284" s="5">
        <v>27341072</v>
      </c>
      <c r="X284" s="5">
        <v>19683456</v>
      </c>
      <c r="Y284" s="9">
        <v>794093530</v>
      </c>
      <c r="Z284" s="49">
        <v>225386408</v>
      </c>
      <c r="AA284" s="5">
        <v>58787831</v>
      </c>
      <c r="AB284" s="9">
        <v>32838541</v>
      </c>
      <c r="AC284" s="5">
        <v>2032525</v>
      </c>
      <c r="AD284" s="9">
        <v>5503187</v>
      </c>
      <c r="AE284" s="5">
        <v>23850686</v>
      </c>
      <c r="AF284" s="5">
        <v>193583</v>
      </c>
      <c r="AG284" s="5">
        <v>35118148</v>
      </c>
      <c r="AH284" s="5">
        <v>1306916</v>
      </c>
      <c r="AI284" s="15">
        <v>703</v>
      </c>
      <c r="AJ284" s="9">
        <v>101157566</v>
      </c>
      <c r="AK284" s="5">
        <v>18157460</v>
      </c>
      <c r="AL284" s="9">
        <v>773296</v>
      </c>
      <c r="AM284" s="5">
        <v>1538</v>
      </c>
      <c r="AN284" s="5"/>
      <c r="AO284" s="49">
        <v>6219581791</v>
      </c>
      <c r="AP284" s="27"/>
    </row>
    <row r="285" spans="1:42" ht="10.5" customHeight="1">
      <c r="A285" s="6">
        <f t="shared" si="4"/>
        <v>2005</v>
      </c>
      <c r="B285" s="6" t="s">
        <v>39</v>
      </c>
      <c r="C285" s="4">
        <v>38504</v>
      </c>
      <c r="D285" s="28"/>
      <c r="E285" s="5">
        <v>68301190</v>
      </c>
      <c r="F285" s="28"/>
      <c r="G285" s="28"/>
      <c r="H285" s="28"/>
      <c r="I285" s="28"/>
      <c r="J285" s="9">
        <v>9039788</v>
      </c>
      <c r="K285" s="61">
        <v>350516837</v>
      </c>
      <c r="L285" s="60">
        <v>49141</v>
      </c>
      <c r="M285" s="28"/>
      <c r="N285" s="9">
        <v>14695520</v>
      </c>
      <c r="O285" s="9">
        <v>68037523</v>
      </c>
      <c r="P285" s="16">
        <v>83469926</v>
      </c>
      <c r="Q285" s="28"/>
      <c r="R285" s="5">
        <v>2897689454</v>
      </c>
      <c r="S285" s="9">
        <v>38565713</v>
      </c>
      <c r="T285" s="9">
        <v>725066114</v>
      </c>
      <c r="U285" s="9">
        <v>6786919</v>
      </c>
      <c r="V285" s="9">
        <v>12919828</v>
      </c>
      <c r="W285" s="5">
        <v>24703875</v>
      </c>
      <c r="X285" s="5">
        <v>18827346</v>
      </c>
      <c r="Y285" s="9">
        <v>700672026</v>
      </c>
      <c r="Z285" s="49">
        <v>220208157</v>
      </c>
      <c r="AA285" s="5">
        <v>49328316</v>
      </c>
      <c r="AB285" s="9">
        <v>33013535</v>
      </c>
      <c r="AC285" s="5">
        <v>2134891</v>
      </c>
      <c r="AD285" s="9">
        <v>6099525</v>
      </c>
      <c r="AE285" s="5">
        <v>21071688</v>
      </c>
      <c r="AF285" s="5">
        <v>190217</v>
      </c>
      <c r="AG285" s="5">
        <v>42060766</v>
      </c>
      <c r="AH285" s="5">
        <v>803723</v>
      </c>
      <c r="AI285" s="15">
        <v>2551</v>
      </c>
      <c r="AJ285" s="9">
        <v>91118633</v>
      </c>
      <c r="AK285" s="5">
        <v>18321738</v>
      </c>
      <c r="AL285" s="9">
        <v>925228</v>
      </c>
      <c r="AM285" s="5">
        <v>1130</v>
      </c>
      <c r="AN285" s="5"/>
      <c r="AO285" s="49">
        <v>5553502637</v>
      </c>
      <c r="AP285" s="27"/>
    </row>
    <row r="286" spans="1:42" ht="10.5" customHeight="1">
      <c r="A286" s="6">
        <f t="shared" si="4"/>
        <v>2005</v>
      </c>
      <c r="B286" s="6" t="s">
        <v>40</v>
      </c>
      <c r="C286" s="4">
        <v>38534</v>
      </c>
      <c r="D286" s="28"/>
      <c r="E286" s="5">
        <v>70689500</v>
      </c>
      <c r="F286" s="28"/>
      <c r="G286" s="28"/>
      <c r="H286" s="28"/>
      <c r="I286" s="28"/>
      <c r="J286" s="9">
        <v>11676231</v>
      </c>
      <c r="K286" s="61">
        <v>364843538</v>
      </c>
      <c r="L286" s="60">
        <v>34618</v>
      </c>
      <c r="M286" s="28"/>
      <c r="N286" s="9">
        <v>13330724</v>
      </c>
      <c r="O286" s="9">
        <v>2087813</v>
      </c>
      <c r="P286" s="16">
        <v>66878780</v>
      </c>
      <c r="Q286" s="28"/>
      <c r="R286" s="5">
        <v>3290309006</v>
      </c>
      <c r="S286" s="9">
        <v>37297476</v>
      </c>
      <c r="T286" s="9">
        <v>640495692</v>
      </c>
      <c r="U286" s="9">
        <v>6450534</v>
      </c>
      <c r="V286" s="9">
        <v>13383631</v>
      </c>
      <c r="W286" s="5">
        <v>25205486</v>
      </c>
      <c r="X286" s="5">
        <v>18356841</v>
      </c>
      <c r="Y286" s="9">
        <v>756089752</v>
      </c>
      <c r="Z286" s="49">
        <v>220076544</v>
      </c>
      <c r="AA286" s="5">
        <v>52015403</v>
      </c>
      <c r="AB286" s="9">
        <v>31792822</v>
      </c>
      <c r="AC286" s="5">
        <v>1542417</v>
      </c>
      <c r="AD286" s="9">
        <v>6143627</v>
      </c>
      <c r="AE286" s="5">
        <v>22796197</v>
      </c>
      <c r="AF286" s="5">
        <v>298755</v>
      </c>
      <c r="AG286" s="5">
        <v>42341073</v>
      </c>
      <c r="AH286" s="5">
        <v>560777</v>
      </c>
      <c r="AI286" s="15">
        <v>10726932</v>
      </c>
      <c r="AJ286" s="9">
        <v>98640939</v>
      </c>
      <c r="AK286" s="5">
        <v>16788192</v>
      </c>
      <c r="AL286" s="9">
        <v>176154</v>
      </c>
      <c r="AM286" s="5">
        <v>1698</v>
      </c>
      <c r="AN286" s="5"/>
      <c r="AO286" s="49">
        <v>5889649616</v>
      </c>
      <c r="AP286" s="27"/>
    </row>
    <row r="287" spans="1:42" ht="10.5" customHeight="1">
      <c r="A287" s="6">
        <f t="shared" si="4"/>
        <v>2005</v>
      </c>
      <c r="B287" s="6" t="s">
        <v>41</v>
      </c>
      <c r="C287" s="4">
        <v>38565</v>
      </c>
      <c r="D287" s="28"/>
      <c r="E287" s="5">
        <v>95547960</v>
      </c>
      <c r="F287" s="28"/>
      <c r="G287" s="28"/>
      <c r="H287" s="28"/>
      <c r="I287" s="28"/>
      <c r="J287" s="9">
        <v>10504593</v>
      </c>
      <c r="K287" s="61">
        <v>348020264</v>
      </c>
      <c r="L287" s="60">
        <v>44601</v>
      </c>
      <c r="M287" s="28"/>
      <c r="N287" s="9">
        <v>14106318</v>
      </c>
      <c r="O287" s="9">
        <v>3455384</v>
      </c>
      <c r="P287" s="16">
        <v>75332321</v>
      </c>
      <c r="Q287" s="28"/>
      <c r="R287" s="5">
        <v>3313265316</v>
      </c>
      <c r="S287" s="9">
        <v>37806632</v>
      </c>
      <c r="T287" s="9">
        <v>899702466</v>
      </c>
      <c r="U287" s="9">
        <v>7347822</v>
      </c>
      <c r="V287" s="9">
        <v>16256626</v>
      </c>
      <c r="W287" s="5">
        <v>24804893</v>
      </c>
      <c r="X287" s="5">
        <v>19954058</v>
      </c>
      <c r="Y287" s="9">
        <v>793720854</v>
      </c>
      <c r="Z287" s="49">
        <v>251252294</v>
      </c>
      <c r="AA287" s="5">
        <v>60285968</v>
      </c>
      <c r="AB287" s="9">
        <v>30493198</v>
      </c>
      <c r="AC287" s="5">
        <v>1783059</v>
      </c>
      <c r="AD287" s="9">
        <v>7515458</v>
      </c>
      <c r="AE287" s="5">
        <v>20841841</v>
      </c>
      <c r="AF287" s="5">
        <v>583560</v>
      </c>
      <c r="AG287" s="5">
        <v>42374688</v>
      </c>
      <c r="AH287" s="5">
        <v>531905</v>
      </c>
      <c r="AI287" s="15">
        <v>17709192</v>
      </c>
      <c r="AJ287" s="9">
        <v>96788728</v>
      </c>
      <c r="AK287" s="5">
        <v>16558672</v>
      </c>
      <c r="AL287" s="9">
        <v>208647</v>
      </c>
      <c r="AM287" s="5">
        <v>954</v>
      </c>
      <c r="AN287" s="5"/>
      <c r="AO287" s="49">
        <v>6275003887</v>
      </c>
      <c r="AP287" s="27"/>
    </row>
    <row r="288" spans="1:42" ht="10.5" customHeight="1">
      <c r="A288" s="6">
        <f t="shared" si="4"/>
        <v>2005</v>
      </c>
      <c r="B288" s="6" t="s">
        <v>42</v>
      </c>
      <c r="C288" s="4">
        <v>38596</v>
      </c>
      <c r="D288" s="28"/>
      <c r="E288" s="5">
        <v>72299218</v>
      </c>
      <c r="F288" s="28"/>
      <c r="G288" s="28"/>
      <c r="H288" s="28"/>
      <c r="I288" s="28"/>
      <c r="J288" s="9">
        <v>11564741</v>
      </c>
      <c r="K288" s="61">
        <v>336855643</v>
      </c>
      <c r="L288" s="60">
        <v>11618</v>
      </c>
      <c r="M288" s="28"/>
      <c r="N288" s="9">
        <v>12824809</v>
      </c>
      <c r="O288" s="9">
        <v>45605612</v>
      </c>
      <c r="P288" s="16">
        <v>81669443</v>
      </c>
      <c r="Q288" s="28"/>
      <c r="R288" s="5">
        <v>3474176750</v>
      </c>
      <c r="S288" s="9">
        <v>38019417</v>
      </c>
      <c r="T288" s="9">
        <v>788110711</v>
      </c>
      <c r="U288" s="9">
        <v>5284971</v>
      </c>
      <c r="V288" s="9">
        <v>16177503</v>
      </c>
      <c r="W288" s="5">
        <v>26548530</v>
      </c>
      <c r="X288" s="5">
        <v>19987939</v>
      </c>
      <c r="Y288" s="9">
        <v>738832804</v>
      </c>
      <c r="Z288" s="49">
        <v>248712619</v>
      </c>
      <c r="AA288" s="5">
        <v>54718788</v>
      </c>
      <c r="AB288" s="9">
        <v>32768017</v>
      </c>
      <c r="AC288" s="5">
        <v>2119646</v>
      </c>
      <c r="AD288" s="9">
        <v>7366787</v>
      </c>
      <c r="AE288" s="5">
        <v>24286511</v>
      </c>
      <c r="AF288" s="5">
        <v>384105</v>
      </c>
      <c r="AG288" s="5">
        <v>46716860</v>
      </c>
      <c r="AH288" s="5">
        <v>563105</v>
      </c>
      <c r="AI288" s="15">
        <v>7819053</v>
      </c>
      <c r="AJ288" s="9">
        <v>92536032</v>
      </c>
      <c r="AK288" s="5">
        <v>20748958</v>
      </c>
      <c r="AL288" s="9">
        <v>265319</v>
      </c>
      <c r="AM288" s="5">
        <v>948</v>
      </c>
      <c r="AN288" s="5"/>
      <c r="AO288" s="49">
        <v>6252605813</v>
      </c>
      <c r="AP288" s="27"/>
    </row>
    <row r="289" spans="1:42" ht="10.5" customHeight="1">
      <c r="A289" s="6">
        <f t="shared" si="4"/>
        <v>2005</v>
      </c>
      <c r="B289" s="6" t="s">
        <v>43</v>
      </c>
      <c r="C289" s="4">
        <v>38626</v>
      </c>
      <c r="D289" s="28"/>
      <c r="E289" s="5">
        <v>123199457</v>
      </c>
      <c r="F289" s="28"/>
      <c r="G289" s="28"/>
      <c r="H289" s="28"/>
      <c r="I289" s="28"/>
      <c r="J289" s="9">
        <v>12307346</v>
      </c>
      <c r="K289" s="61">
        <v>372719491</v>
      </c>
      <c r="L289" s="60">
        <v>535115</v>
      </c>
      <c r="M289" s="28"/>
      <c r="N289" s="9">
        <v>16019498</v>
      </c>
      <c r="O289" s="9">
        <v>63031689</v>
      </c>
      <c r="P289" s="16">
        <v>76983346</v>
      </c>
      <c r="Q289" s="28"/>
      <c r="R289" s="5">
        <v>3502011860</v>
      </c>
      <c r="S289" s="9">
        <v>37927306</v>
      </c>
      <c r="T289" s="9">
        <v>845978105</v>
      </c>
      <c r="U289" s="9">
        <v>11761951</v>
      </c>
      <c r="V289" s="9">
        <v>26741300</v>
      </c>
      <c r="W289" s="5">
        <v>24094562</v>
      </c>
      <c r="X289" s="5">
        <v>21840847</v>
      </c>
      <c r="Y289" s="9">
        <v>954988332</v>
      </c>
      <c r="Z289" s="49">
        <v>277045201</v>
      </c>
      <c r="AA289" s="5">
        <v>47183198</v>
      </c>
      <c r="AB289" s="9">
        <v>32428939</v>
      </c>
      <c r="AC289" s="5">
        <v>3038991</v>
      </c>
      <c r="AD289" s="9">
        <v>7365581</v>
      </c>
      <c r="AE289" s="5">
        <v>24051461</v>
      </c>
      <c r="AF289" s="5">
        <v>376266</v>
      </c>
      <c r="AG289" s="5">
        <v>44183982</v>
      </c>
      <c r="AH289" s="5">
        <v>669345</v>
      </c>
      <c r="AI289" s="15">
        <v>7478350</v>
      </c>
      <c r="AJ289" s="9">
        <v>86951999</v>
      </c>
      <c r="AK289" s="5">
        <v>14265186</v>
      </c>
      <c r="AL289" s="9">
        <v>20990035</v>
      </c>
      <c r="AM289" s="5">
        <v>1873</v>
      </c>
      <c r="AN289" s="5"/>
      <c r="AO289" s="49">
        <v>6717909241</v>
      </c>
      <c r="AP289" s="27"/>
    </row>
    <row r="290" spans="1:42" ht="10.5" customHeight="1">
      <c r="A290" s="6">
        <f t="shared" si="4"/>
        <v>2005</v>
      </c>
      <c r="B290" s="6" t="s">
        <v>44</v>
      </c>
      <c r="C290" s="4">
        <v>38657</v>
      </c>
      <c r="D290" s="28"/>
      <c r="E290" s="5">
        <v>87579819</v>
      </c>
      <c r="F290" s="28"/>
      <c r="G290" s="28"/>
      <c r="H290" s="28"/>
      <c r="I290" s="28"/>
      <c r="J290" s="9">
        <v>17322475</v>
      </c>
      <c r="K290" s="61">
        <v>365809175</v>
      </c>
      <c r="L290" s="60">
        <v>23518</v>
      </c>
      <c r="M290" s="28"/>
      <c r="N290" s="9">
        <v>15226532</v>
      </c>
      <c r="O290" s="9">
        <v>2622100</v>
      </c>
      <c r="P290" s="16">
        <v>79654807</v>
      </c>
      <c r="Q290" s="28"/>
      <c r="R290" s="5">
        <v>3681378079</v>
      </c>
      <c r="S290" s="9">
        <v>38271376</v>
      </c>
      <c r="T290" s="9">
        <v>930663704</v>
      </c>
      <c r="U290" s="9">
        <v>6069186</v>
      </c>
      <c r="V290" s="9">
        <v>17006602</v>
      </c>
      <c r="W290" s="5">
        <v>26215497</v>
      </c>
      <c r="X290" s="5">
        <v>22348868</v>
      </c>
      <c r="Y290" s="9">
        <v>712893208</v>
      </c>
      <c r="Z290" s="49">
        <v>281390518</v>
      </c>
      <c r="AA290" s="5">
        <v>62441898</v>
      </c>
      <c r="AB290" s="9">
        <v>35189400</v>
      </c>
      <c r="AC290" s="5">
        <v>2940897</v>
      </c>
      <c r="AD290" s="9">
        <v>6117425</v>
      </c>
      <c r="AE290" s="5">
        <v>25791052</v>
      </c>
      <c r="AF290" s="5">
        <v>193306</v>
      </c>
      <c r="AG290" s="5">
        <v>39523639</v>
      </c>
      <c r="AH290" s="5">
        <v>890496</v>
      </c>
      <c r="AI290" s="15">
        <v>3446</v>
      </c>
      <c r="AJ290" s="9">
        <v>80199476</v>
      </c>
      <c r="AK290" s="5">
        <v>12074520</v>
      </c>
      <c r="AL290" s="9">
        <v>2401059</v>
      </c>
      <c r="AM290" s="5">
        <v>3770</v>
      </c>
      <c r="AN290" s="5"/>
      <c r="AO290" s="49">
        <v>6598142904</v>
      </c>
      <c r="AP290" s="27"/>
    </row>
    <row r="291" spans="1:42" ht="10.5" customHeight="1">
      <c r="A291" s="6">
        <f t="shared" si="4"/>
        <v>2005</v>
      </c>
      <c r="B291" s="6" t="s">
        <v>45</v>
      </c>
      <c r="C291" s="4">
        <v>38687</v>
      </c>
      <c r="D291" s="28"/>
      <c r="E291" s="5">
        <v>61413778</v>
      </c>
      <c r="F291" s="28"/>
      <c r="G291" s="28"/>
      <c r="H291" s="28"/>
      <c r="I291" s="28"/>
      <c r="J291" s="9">
        <v>7523528</v>
      </c>
      <c r="K291" s="61">
        <v>349661975</v>
      </c>
      <c r="L291" s="60">
        <v>33467</v>
      </c>
      <c r="M291" s="28"/>
      <c r="N291" s="9">
        <v>14830030</v>
      </c>
      <c r="O291" s="9">
        <v>108485439</v>
      </c>
      <c r="P291" s="16">
        <v>110448871</v>
      </c>
      <c r="Q291" s="28"/>
      <c r="R291" s="5">
        <v>3438466567</v>
      </c>
      <c r="S291" s="9">
        <v>38546286</v>
      </c>
      <c r="T291" s="9">
        <v>896981360</v>
      </c>
      <c r="U291" s="9">
        <v>4320062</v>
      </c>
      <c r="V291" s="9">
        <v>12472508</v>
      </c>
      <c r="W291" s="5">
        <v>21619762</v>
      </c>
      <c r="X291" s="5">
        <v>24732486</v>
      </c>
      <c r="Y291" s="9">
        <v>722934915</v>
      </c>
      <c r="Z291" s="49">
        <v>276009976</v>
      </c>
      <c r="AA291" s="5">
        <v>54568234</v>
      </c>
      <c r="AB291" s="9">
        <v>35269407</v>
      </c>
      <c r="AC291" s="5">
        <v>6102221</v>
      </c>
      <c r="AD291" s="9">
        <v>6295516</v>
      </c>
      <c r="AE291" s="5">
        <v>24672064</v>
      </c>
      <c r="AF291" s="5">
        <v>296456</v>
      </c>
      <c r="AG291" s="5">
        <v>37985472</v>
      </c>
      <c r="AH291" s="5">
        <v>835099</v>
      </c>
      <c r="AI291" s="15">
        <v>0</v>
      </c>
      <c r="AJ291" s="9">
        <v>84331241</v>
      </c>
      <c r="AK291" s="5">
        <v>15764113</v>
      </c>
      <c r="AL291" s="9">
        <v>1119493</v>
      </c>
      <c r="AM291" s="5">
        <v>153</v>
      </c>
      <c r="AN291" s="5"/>
      <c r="AO291" s="49">
        <v>6413427721</v>
      </c>
      <c r="AP291" s="27"/>
    </row>
    <row r="292" spans="1:42" ht="10.5" customHeight="1">
      <c r="A292" s="6">
        <f t="shared" si="4"/>
        <v>2006</v>
      </c>
      <c r="B292" s="6" t="s">
        <v>34</v>
      </c>
      <c r="C292" s="4">
        <v>38718</v>
      </c>
      <c r="D292" s="28"/>
      <c r="E292" s="5">
        <v>64995412</v>
      </c>
      <c r="F292" s="28"/>
      <c r="G292" s="28"/>
      <c r="H292" s="28"/>
      <c r="I292" s="28"/>
      <c r="J292" s="9">
        <v>11344397</v>
      </c>
      <c r="K292" s="61">
        <v>312231478</v>
      </c>
      <c r="L292" s="60">
        <v>14972</v>
      </c>
      <c r="M292" s="28"/>
      <c r="N292" s="9">
        <v>17414981</v>
      </c>
      <c r="O292" s="9">
        <v>2639240</v>
      </c>
      <c r="P292" s="16">
        <v>68688330</v>
      </c>
      <c r="Q292" s="28"/>
      <c r="R292" s="5">
        <v>3930954559</v>
      </c>
      <c r="S292" s="9">
        <v>41019064</v>
      </c>
      <c r="T292" s="9">
        <v>1039447368</v>
      </c>
      <c r="U292" s="9">
        <v>5422650</v>
      </c>
      <c r="V292" s="9">
        <v>13737640</v>
      </c>
      <c r="W292" s="5">
        <v>31880321</v>
      </c>
      <c r="X292" s="5">
        <v>24721593</v>
      </c>
      <c r="Y292" s="9">
        <v>1012851158</v>
      </c>
      <c r="Z292" s="49">
        <v>267477836</v>
      </c>
      <c r="AA292" s="5">
        <v>60750484</v>
      </c>
      <c r="AB292" s="9">
        <v>40283572</v>
      </c>
      <c r="AC292" s="5">
        <v>737695</v>
      </c>
      <c r="AD292" s="9">
        <v>7052313</v>
      </c>
      <c r="AE292" s="5">
        <v>26386857</v>
      </c>
      <c r="AF292" s="5">
        <v>316244</v>
      </c>
      <c r="AG292" s="5">
        <v>57248410</v>
      </c>
      <c r="AH292" s="5">
        <v>600053</v>
      </c>
      <c r="AI292" s="15">
        <v>173835</v>
      </c>
      <c r="AJ292" s="9">
        <v>85920979</v>
      </c>
      <c r="AK292" s="5">
        <v>16053592</v>
      </c>
      <c r="AL292" s="9">
        <v>609286</v>
      </c>
      <c r="AM292" s="5">
        <v>181</v>
      </c>
      <c r="AN292" s="5"/>
      <c r="AO292" s="49">
        <v>7261944530</v>
      </c>
      <c r="AP292" s="27"/>
    </row>
    <row r="293" spans="1:42" ht="10.5" customHeight="1">
      <c r="A293" s="6">
        <f t="shared" si="4"/>
        <v>2006</v>
      </c>
      <c r="B293" s="6" t="s">
        <v>35</v>
      </c>
      <c r="C293" s="4">
        <v>38749</v>
      </c>
      <c r="D293" s="28"/>
      <c r="E293" s="5">
        <v>81581890</v>
      </c>
      <c r="F293" s="28"/>
      <c r="G293" s="28"/>
      <c r="H293" s="28"/>
      <c r="I293" s="28"/>
      <c r="J293" s="9">
        <v>17334146</v>
      </c>
      <c r="K293" s="61">
        <v>336630513</v>
      </c>
      <c r="L293" s="60">
        <v>18068</v>
      </c>
      <c r="M293" s="28"/>
      <c r="N293" s="9">
        <v>14946380</v>
      </c>
      <c r="O293" s="9">
        <v>3255912</v>
      </c>
      <c r="P293" s="16">
        <v>52794283</v>
      </c>
      <c r="Q293" s="28"/>
      <c r="R293" s="5">
        <v>3205127275</v>
      </c>
      <c r="S293" s="9">
        <v>39864891</v>
      </c>
      <c r="T293" s="9">
        <v>1012055510</v>
      </c>
      <c r="U293" s="9">
        <v>6067840</v>
      </c>
      <c r="V293" s="9">
        <v>13709369</v>
      </c>
      <c r="W293" s="5">
        <v>34131397</v>
      </c>
      <c r="X293" s="5">
        <v>20609347</v>
      </c>
      <c r="Y293" s="9">
        <v>799474079</v>
      </c>
      <c r="Z293" s="49">
        <v>219631675</v>
      </c>
      <c r="AA293" s="5">
        <v>56137737</v>
      </c>
      <c r="AB293" s="9">
        <v>34286104</v>
      </c>
      <c r="AC293" s="5">
        <v>218177</v>
      </c>
      <c r="AD293" s="9">
        <v>6640683</v>
      </c>
      <c r="AE293" s="5">
        <v>36215895</v>
      </c>
      <c r="AF293" s="5">
        <v>332443</v>
      </c>
      <c r="AG293" s="5">
        <v>45438518</v>
      </c>
      <c r="AH293" s="5">
        <v>460852</v>
      </c>
      <c r="AI293" s="15">
        <v>4082139</v>
      </c>
      <c r="AJ293" s="9">
        <v>84846310</v>
      </c>
      <c r="AK293" s="5">
        <v>13967962</v>
      </c>
      <c r="AL293" s="9">
        <v>185566</v>
      </c>
      <c r="AM293" s="5">
        <v>1416</v>
      </c>
      <c r="AN293" s="5"/>
      <c r="AO293" s="49">
        <v>6188480248</v>
      </c>
      <c r="AP293" s="27"/>
    </row>
    <row r="294" spans="1:42" ht="10.5" customHeight="1">
      <c r="A294" s="6">
        <f t="shared" si="4"/>
        <v>2006</v>
      </c>
      <c r="B294" s="6" t="s">
        <v>36</v>
      </c>
      <c r="C294" s="4">
        <v>38777</v>
      </c>
      <c r="D294" s="28"/>
      <c r="E294" s="5">
        <v>56360176</v>
      </c>
      <c r="F294" s="28"/>
      <c r="G294" s="28"/>
      <c r="H294" s="28"/>
      <c r="I294" s="28"/>
      <c r="J294" s="9">
        <v>15774043</v>
      </c>
      <c r="K294" s="61">
        <v>425551134</v>
      </c>
      <c r="L294" s="60">
        <v>11859</v>
      </c>
      <c r="M294" s="28"/>
      <c r="N294" s="9">
        <v>15768331</v>
      </c>
      <c r="O294" s="9">
        <v>1483932</v>
      </c>
      <c r="P294" s="16">
        <v>76752887</v>
      </c>
      <c r="Q294" s="28"/>
      <c r="R294" s="5">
        <v>3867607484</v>
      </c>
      <c r="S294" s="9">
        <v>41495341</v>
      </c>
      <c r="T294" s="9">
        <v>948271271</v>
      </c>
      <c r="U294" s="9">
        <v>4406166</v>
      </c>
      <c r="V294" s="9">
        <v>10808794</v>
      </c>
      <c r="W294" s="5">
        <v>24504134</v>
      </c>
      <c r="X294" s="5">
        <v>24910462</v>
      </c>
      <c r="Y294" s="9">
        <v>800489213</v>
      </c>
      <c r="Z294" s="49">
        <v>289986092</v>
      </c>
      <c r="AA294" s="5">
        <v>56271367</v>
      </c>
      <c r="AB294" s="9">
        <v>42815107</v>
      </c>
      <c r="AC294" s="5">
        <v>1724800</v>
      </c>
      <c r="AD294" s="9">
        <v>6375586</v>
      </c>
      <c r="AE294" s="5">
        <v>37140207</v>
      </c>
      <c r="AF294" s="5">
        <v>386894</v>
      </c>
      <c r="AG294" s="5">
        <v>32854655</v>
      </c>
      <c r="AH294" s="5">
        <v>1123980</v>
      </c>
      <c r="AI294" s="15">
        <v>1652984</v>
      </c>
      <c r="AJ294" s="9">
        <v>111320685</v>
      </c>
      <c r="AK294" s="5">
        <v>20382918</v>
      </c>
      <c r="AL294" s="9">
        <v>594309</v>
      </c>
      <c r="AM294" s="5">
        <v>928</v>
      </c>
      <c r="AN294" s="5"/>
      <c r="AO294" s="49">
        <v>6970096929</v>
      </c>
      <c r="AP294" s="27"/>
    </row>
    <row r="295" spans="1:42" ht="10.5" customHeight="1">
      <c r="A295" s="6">
        <f t="shared" si="4"/>
        <v>2006</v>
      </c>
      <c r="B295" s="6" t="s">
        <v>37</v>
      </c>
      <c r="C295" s="4">
        <v>38808</v>
      </c>
      <c r="D295" s="28"/>
      <c r="E295" s="5">
        <v>65069925</v>
      </c>
      <c r="F295" s="28"/>
      <c r="G295" s="28"/>
      <c r="H295" s="28"/>
      <c r="I295" s="28"/>
      <c r="J295" s="9">
        <v>70272558</v>
      </c>
      <c r="K295" s="61">
        <v>130300855</v>
      </c>
      <c r="L295" s="60">
        <v>5360</v>
      </c>
      <c r="M295" s="28"/>
      <c r="N295" s="9">
        <v>15519424</v>
      </c>
      <c r="O295" s="9">
        <v>3188564</v>
      </c>
      <c r="P295" s="16">
        <v>65271640</v>
      </c>
      <c r="Q295" s="28"/>
      <c r="R295" s="5">
        <v>3538100153</v>
      </c>
      <c r="S295" s="9">
        <v>38631734</v>
      </c>
      <c r="T295" s="9">
        <v>888509989</v>
      </c>
      <c r="U295" s="9">
        <v>5435481</v>
      </c>
      <c r="V295" s="9">
        <v>15533058</v>
      </c>
      <c r="W295" s="5">
        <v>27063561</v>
      </c>
      <c r="X295" s="5">
        <v>24356665</v>
      </c>
      <c r="Y295" s="9">
        <v>2804226974</v>
      </c>
      <c r="Z295" s="49">
        <v>231647431</v>
      </c>
      <c r="AA295" s="5">
        <v>48393406</v>
      </c>
      <c r="AB295" s="9">
        <v>30967055</v>
      </c>
      <c r="AC295" s="5">
        <v>1324719</v>
      </c>
      <c r="AD295" s="9">
        <v>7699452</v>
      </c>
      <c r="AE295" s="5">
        <v>30829782</v>
      </c>
      <c r="AF295" s="5">
        <v>0</v>
      </c>
      <c r="AG295" s="5">
        <v>53115631</v>
      </c>
      <c r="AH295" s="5">
        <v>750764</v>
      </c>
      <c r="AI295" s="15">
        <v>7280</v>
      </c>
      <c r="AJ295" s="9">
        <v>85781155</v>
      </c>
      <c r="AK295" s="5">
        <v>7377251</v>
      </c>
      <c r="AL295" s="9">
        <v>993058</v>
      </c>
      <c r="AM295" s="5">
        <v>1606</v>
      </c>
      <c r="AN295" s="5"/>
      <c r="AO295" s="49">
        <v>8237479972</v>
      </c>
      <c r="AP295" s="27"/>
    </row>
    <row r="296" spans="1:42" ht="10.5" customHeight="1">
      <c r="A296" s="6">
        <f t="shared" si="4"/>
        <v>2006</v>
      </c>
      <c r="B296" s="6" t="s">
        <v>73</v>
      </c>
      <c r="C296" s="4">
        <v>38838</v>
      </c>
      <c r="D296" s="28"/>
      <c r="E296" s="5">
        <v>85653381</v>
      </c>
      <c r="F296" s="28"/>
      <c r="G296" s="28"/>
      <c r="H296" s="28"/>
      <c r="I296" s="28"/>
      <c r="J296" s="9">
        <v>21096029</v>
      </c>
      <c r="K296" s="61">
        <v>449996831</v>
      </c>
      <c r="L296" s="60">
        <v>22019</v>
      </c>
      <c r="M296" s="28"/>
      <c r="N296" s="9">
        <v>16041959</v>
      </c>
      <c r="O296" s="9">
        <v>59171669</v>
      </c>
      <c r="P296" s="16">
        <v>80215864</v>
      </c>
      <c r="Q296" s="28"/>
      <c r="R296" s="5">
        <v>3900234368</v>
      </c>
      <c r="S296" s="9">
        <v>40047094</v>
      </c>
      <c r="T296" s="9">
        <v>955689310</v>
      </c>
      <c r="U296" s="9">
        <v>6335282</v>
      </c>
      <c r="V296" s="9">
        <v>17469797</v>
      </c>
      <c r="W296" s="5">
        <v>22880273</v>
      </c>
      <c r="X296" s="5">
        <v>26485860</v>
      </c>
      <c r="Y296" s="9">
        <v>912048225</v>
      </c>
      <c r="Z296" s="49">
        <v>283894141</v>
      </c>
      <c r="AA296" s="5">
        <v>59949327</v>
      </c>
      <c r="AB296" s="9">
        <v>33802369</v>
      </c>
      <c r="AC296" s="5">
        <v>2336441</v>
      </c>
      <c r="AD296" s="9">
        <v>8042331</v>
      </c>
      <c r="AE296" s="5">
        <v>41035902</v>
      </c>
      <c r="AF296" s="5">
        <v>136420</v>
      </c>
      <c r="AG296" s="5">
        <v>42148417</v>
      </c>
      <c r="AH296" s="5">
        <v>1017680</v>
      </c>
      <c r="AI296" s="15">
        <v>1720</v>
      </c>
      <c r="AJ296" s="9">
        <v>101384749</v>
      </c>
      <c r="AK296" s="5">
        <v>10456992</v>
      </c>
      <c r="AL296" s="9">
        <v>404293</v>
      </c>
      <c r="AM296" s="5">
        <v>332</v>
      </c>
      <c r="AN296" s="5"/>
      <c r="AO296" s="49">
        <v>7235610870</v>
      </c>
      <c r="AP296" s="27"/>
    </row>
    <row r="297" spans="1:42" ht="10.5" customHeight="1">
      <c r="A297" s="6">
        <f t="shared" si="4"/>
        <v>2006</v>
      </c>
      <c r="B297" s="6" t="s">
        <v>39</v>
      </c>
      <c r="C297" s="4">
        <v>38869</v>
      </c>
      <c r="D297" s="28"/>
      <c r="E297" s="5">
        <v>96083774</v>
      </c>
      <c r="F297" s="28"/>
      <c r="G297" s="28"/>
      <c r="H297" s="28"/>
      <c r="I297" s="28"/>
      <c r="J297" s="9">
        <v>9983972</v>
      </c>
      <c r="K297" s="61">
        <v>391414183</v>
      </c>
      <c r="L297" s="60">
        <v>253269</v>
      </c>
      <c r="M297" s="28"/>
      <c r="N297" s="9">
        <v>18669187</v>
      </c>
      <c r="O297" s="9">
        <v>3216027</v>
      </c>
      <c r="P297" s="16">
        <v>78383288</v>
      </c>
      <c r="Q297" s="28"/>
      <c r="R297" s="5">
        <v>3569034326</v>
      </c>
      <c r="S297" s="9">
        <v>39175906</v>
      </c>
      <c r="T297" s="9">
        <v>901787230</v>
      </c>
      <c r="U297" s="9">
        <v>8390329</v>
      </c>
      <c r="V297" s="9">
        <v>18398397</v>
      </c>
      <c r="W297" s="5">
        <v>27201146</v>
      </c>
      <c r="X297" s="5">
        <v>30161243</v>
      </c>
      <c r="Y297" s="9">
        <v>992264802</v>
      </c>
      <c r="Z297" s="49">
        <v>260334926</v>
      </c>
      <c r="AA297" s="5">
        <v>51733440</v>
      </c>
      <c r="AB297" s="9">
        <v>41023208</v>
      </c>
      <c r="AC297" s="5">
        <v>2648783</v>
      </c>
      <c r="AD297" s="9">
        <v>9176149</v>
      </c>
      <c r="AE297" s="5">
        <v>36346183</v>
      </c>
      <c r="AF297" s="5">
        <v>166655</v>
      </c>
      <c r="AG297" s="5">
        <v>63444568</v>
      </c>
      <c r="AH297" s="5">
        <v>550998</v>
      </c>
      <c r="AI297" s="15">
        <v>36235358</v>
      </c>
      <c r="AJ297" s="9">
        <v>110337169</v>
      </c>
      <c r="AK297" s="5">
        <v>8931282</v>
      </c>
      <c r="AL297" s="9">
        <v>1737191</v>
      </c>
      <c r="AM297" s="5">
        <v>945</v>
      </c>
      <c r="AN297" s="5"/>
      <c r="AO297" s="49">
        <v>6863013846</v>
      </c>
      <c r="AP297" s="27"/>
    </row>
    <row r="298" spans="1:42" ht="10.5" customHeight="1">
      <c r="A298" s="6">
        <f t="shared" si="4"/>
        <v>2006</v>
      </c>
      <c r="B298" s="6" t="s">
        <v>40</v>
      </c>
      <c r="C298" s="4">
        <v>38899</v>
      </c>
      <c r="D298" s="28"/>
      <c r="E298" s="5">
        <v>99735270</v>
      </c>
      <c r="F298" s="28"/>
      <c r="G298" s="28"/>
      <c r="H298" s="28"/>
      <c r="I298" s="28"/>
      <c r="J298" s="9">
        <v>8961194</v>
      </c>
      <c r="K298" s="61">
        <v>375379335</v>
      </c>
      <c r="L298" s="60">
        <v>11491</v>
      </c>
      <c r="M298" s="28"/>
      <c r="N298" s="9">
        <v>17999458</v>
      </c>
      <c r="O298" s="9">
        <v>1204827</v>
      </c>
      <c r="P298" s="16">
        <v>75382168</v>
      </c>
      <c r="Q298" s="28"/>
      <c r="R298" s="5">
        <v>3750273193</v>
      </c>
      <c r="S298" s="9">
        <v>38963978</v>
      </c>
      <c r="T298" s="9">
        <v>815413542</v>
      </c>
      <c r="U298" s="9">
        <v>7847968</v>
      </c>
      <c r="V298" s="9">
        <v>17741152</v>
      </c>
      <c r="W298" s="5">
        <v>26156159</v>
      </c>
      <c r="X298" s="5">
        <v>27505112</v>
      </c>
      <c r="Y298" s="9">
        <v>925717537</v>
      </c>
      <c r="Z298" s="49">
        <v>247701864</v>
      </c>
      <c r="AA298" s="5">
        <v>58950462</v>
      </c>
      <c r="AB298" s="9">
        <v>36127142</v>
      </c>
      <c r="AC298" s="5">
        <v>912442</v>
      </c>
      <c r="AD298" s="9">
        <v>8778281</v>
      </c>
      <c r="AE298" s="5">
        <v>26017114</v>
      </c>
      <c r="AF298" s="5">
        <v>187369</v>
      </c>
      <c r="AG298" s="5">
        <v>51716531</v>
      </c>
      <c r="AH298" s="5">
        <v>662822</v>
      </c>
      <c r="AI298" s="15">
        <v>6307814</v>
      </c>
      <c r="AJ298" s="9">
        <v>86240706</v>
      </c>
      <c r="AK298" s="5">
        <v>9053503</v>
      </c>
      <c r="AL298" s="9">
        <v>86584</v>
      </c>
      <c r="AM298" s="5">
        <v>0</v>
      </c>
      <c r="AN298" s="5"/>
      <c r="AO298" s="49">
        <v>6764114563</v>
      </c>
      <c r="AP298" s="27"/>
    </row>
    <row r="299" spans="1:42" ht="10.5" customHeight="1">
      <c r="A299" s="6">
        <f t="shared" si="4"/>
        <v>2006</v>
      </c>
      <c r="B299" s="6" t="s">
        <v>41</v>
      </c>
      <c r="C299" s="4">
        <v>38930</v>
      </c>
      <c r="D299" s="28"/>
      <c r="E299" s="5">
        <v>69929910</v>
      </c>
      <c r="F299" s="28"/>
      <c r="G299" s="28"/>
      <c r="H299" s="28"/>
      <c r="I299" s="28"/>
      <c r="J299" s="9">
        <v>12657900</v>
      </c>
      <c r="K299" s="61">
        <v>587098652</v>
      </c>
      <c r="L299" s="60">
        <v>67886</v>
      </c>
      <c r="M299" s="28"/>
      <c r="N299" s="9">
        <v>17915052</v>
      </c>
      <c r="O299" s="9">
        <v>1839906</v>
      </c>
      <c r="P299" s="16">
        <v>86158083</v>
      </c>
      <c r="Q299" s="28"/>
      <c r="R299" s="5">
        <v>3788965529</v>
      </c>
      <c r="S299" s="9">
        <v>39383139</v>
      </c>
      <c r="T299" s="9">
        <v>802498597</v>
      </c>
      <c r="U299" s="9">
        <v>5541007</v>
      </c>
      <c r="V299" s="9">
        <v>13619607</v>
      </c>
      <c r="W299" s="5">
        <v>26280537</v>
      </c>
      <c r="X299" s="5">
        <v>21567340</v>
      </c>
      <c r="Y299" s="9">
        <v>940389128</v>
      </c>
      <c r="Z299" s="49">
        <v>275449882</v>
      </c>
      <c r="AA299" s="5">
        <v>53911176</v>
      </c>
      <c r="AB299" s="9">
        <v>35654846</v>
      </c>
      <c r="AC299" s="5">
        <v>1388797</v>
      </c>
      <c r="AD299" s="9">
        <v>9314897</v>
      </c>
      <c r="AE299" s="5">
        <v>36860732</v>
      </c>
      <c r="AF299" s="5">
        <v>226432</v>
      </c>
      <c r="AG299" s="5">
        <v>53058722</v>
      </c>
      <c r="AH299" s="5">
        <v>516595</v>
      </c>
      <c r="AI299" s="15">
        <v>9736953</v>
      </c>
      <c r="AJ299" s="9">
        <v>87878365</v>
      </c>
      <c r="AK299" s="5">
        <v>10057182</v>
      </c>
      <c r="AL299" s="9">
        <v>377735</v>
      </c>
      <c r="AM299" s="5">
        <v>0</v>
      </c>
      <c r="AN299" s="5"/>
      <c r="AO299" s="49">
        <v>7037151614</v>
      </c>
      <c r="AP299" s="27"/>
    </row>
    <row r="300" spans="1:42" ht="10.5" customHeight="1">
      <c r="A300" s="6">
        <f t="shared" si="4"/>
        <v>2006</v>
      </c>
      <c r="B300" s="6" t="s">
        <v>42</v>
      </c>
      <c r="C300" s="4">
        <v>38961</v>
      </c>
      <c r="D300" s="28"/>
      <c r="E300" s="5">
        <v>70989562</v>
      </c>
      <c r="F300" s="28"/>
      <c r="G300" s="28"/>
      <c r="H300" s="28"/>
      <c r="I300" s="28"/>
      <c r="J300" s="9">
        <v>10427608</v>
      </c>
      <c r="K300" s="61">
        <v>372198193</v>
      </c>
      <c r="L300" s="60">
        <v>44745</v>
      </c>
      <c r="M300" s="28"/>
      <c r="N300" s="9">
        <v>17443161</v>
      </c>
      <c r="O300" s="9">
        <v>48057272</v>
      </c>
      <c r="P300" s="16">
        <v>79879319</v>
      </c>
      <c r="Q300" s="28"/>
      <c r="R300" s="5">
        <v>3969384131</v>
      </c>
      <c r="S300" s="9">
        <v>38295301</v>
      </c>
      <c r="T300" s="9">
        <v>887663258</v>
      </c>
      <c r="U300" s="9">
        <v>5962851</v>
      </c>
      <c r="V300" s="9">
        <v>13237749</v>
      </c>
      <c r="W300" s="5">
        <v>26690199</v>
      </c>
      <c r="X300" s="5">
        <v>23895542</v>
      </c>
      <c r="Y300" s="9">
        <v>826905499</v>
      </c>
      <c r="Z300" s="49">
        <v>262011558</v>
      </c>
      <c r="AA300" s="5">
        <v>57083711</v>
      </c>
      <c r="AB300" s="9">
        <v>37816651</v>
      </c>
      <c r="AC300" s="5">
        <v>2313969</v>
      </c>
      <c r="AD300" s="9">
        <v>8960013</v>
      </c>
      <c r="AE300" s="5">
        <v>38715493</v>
      </c>
      <c r="AF300" s="5">
        <v>211346</v>
      </c>
      <c r="AG300" s="5">
        <v>60384139</v>
      </c>
      <c r="AH300" s="5">
        <v>629918</v>
      </c>
      <c r="AI300" s="15">
        <v>9015192</v>
      </c>
      <c r="AJ300" s="9">
        <v>82964735</v>
      </c>
      <c r="AK300" s="5">
        <v>12124685</v>
      </c>
      <c r="AL300" s="9">
        <v>237861</v>
      </c>
      <c r="AM300" s="5">
        <v>0</v>
      </c>
      <c r="AN300" s="5"/>
      <c r="AO300" s="49">
        <v>6999159224</v>
      </c>
      <c r="AP300" s="27"/>
    </row>
    <row r="301" spans="1:42" ht="10.5" customHeight="1">
      <c r="A301" s="6">
        <f t="shared" si="4"/>
        <v>2006</v>
      </c>
      <c r="B301" s="6" t="s">
        <v>43</v>
      </c>
      <c r="C301" s="4">
        <v>38991</v>
      </c>
      <c r="D301" s="28"/>
      <c r="E301" s="5">
        <v>128414925</v>
      </c>
      <c r="F301" s="28"/>
      <c r="G301" s="28"/>
      <c r="H301" s="28"/>
      <c r="I301" s="28"/>
      <c r="J301" s="9">
        <v>11376763</v>
      </c>
      <c r="K301" s="61">
        <v>380930076</v>
      </c>
      <c r="L301" s="60">
        <v>352610</v>
      </c>
      <c r="M301" s="28"/>
      <c r="N301" s="9">
        <v>18436678</v>
      </c>
      <c r="O301" s="9">
        <v>70049237</v>
      </c>
      <c r="P301" s="16">
        <v>86766483</v>
      </c>
      <c r="Q301" s="28"/>
      <c r="R301" s="5">
        <v>4081015965</v>
      </c>
      <c r="S301" s="9">
        <v>39086579</v>
      </c>
      <c r="T301" s="9">
        <v>822648550</v>
      </c>
      <c r="U301" s="9">
        <v>12069592</v>
      </c>
      <c r="V301" s="9">
        <v>25225388</v>
      </c>
      <c r="W301" s="5">
        <v>30962962</v>
      </c>
      <c r="X301" s="5">
        <v>25070011</v>
      </c>
      <c r="Y301" s="9">
        <v>993460543</v>
      </c>
      <c r="Z301" s="49">
        <v>282996766</v>
      </c>
      <c r="AA301" s="5">
        <v>53886003</v>
      </c>
      <c r="AB301" s="9">
        <v>38490588</v>
      </c>
      <c r="AC301" s="5">
        <v>4617245</v>
      </c>
      <c r="AD301" s="9">
        <v>9312429</v>
      </c>
      <c r="AE301" s="5">
        <v>17183397</v>
      </c>
      <c r="AF301" s="5">
        <v>227908</v>
      </c>
      <c r="AG301" s="5">
        <v>48698804</v>
      </c>
      <c r="AH301" s="5">
        <v>690425</v>
      </c>
      <c r="AI301" s="15">
        <v>114995</v>
      </c>
      <c r="AJ301" s="9">
        <v>88130224</v>
      </c>
      <c r="AK301" s="5">
        <v>12806741</v>
      </c>
      <c r="AL301" s="9">
        <v>24915995</v>
      </c>
      <c r="AM301" s="5">
        <v>679</v>
      </c>
      <c r="AN301" s="5"/>
      <c r="AO301" s="49">
        <v>7348469587</v>
      </c>
      <c r="AP301" s="27"/>
    </row>
    <row r="302" spans="1:42" ht="10.5" customHeight="1">
      <c r="A302" s="6">
        <f t="shared" si="4"/>
        <v>2006</v>
      </c>
      <c r="B302" s="6" t="s">
        <v>44</v>
      </c>
      <c r="C302" s="4">
        <v>39022</v>
      </c>
      <c r="D302" s="28"/>
      <c r="E302" s="5">
        <v>78896774</v>
      </c>
      <c r="F302" s="28"/>
      <c r="G302" s="28"/>
      <c r="H302" s="28"/>
      <c r="I302" s="28"/>
      <c r="J302" s="9">
        <v>9101396</v>
      </c>
      <c r="K302" s="61">
        <v>356552998</v>
      </c>
      <c r="L302" s="60">
        <v>63984</v>
      </c>
      <c r="M302" s="28"/>
      <c r="N302" s="9">
        <v>17379397</v>
      </c>
      <c r="O302" s="9">
        <v>2652176</v>
      </c>
      <c r="P302" s="16">
        <v>99639143</v>
      </c>
      <c r="Q302" s="28"/>
      <c r="R302" s="5">
        <v>4530673578</v>
      </c>
      <c r="S302" s="9">
        <v>38933093</v>
      </c>
      <c r="T302" s="9">
        <v>979084143</v>
      </c>
      <c r="U302" s="9">
        <v>6394487</v>
      </c>
      <c r="V302" s="9">
        <v>14835844</v>
      </c>
      <c r="W302" s="5">
        <v>27777978</v>
      </c>
      <c r="X302" s="5">
        <v>23681742</v>
      </c>
      <c r="Y302" s="9">
        <v>827537858</v>
      </c>
      <c r="Z302" s="49">
        <v>334435933</v>
      </c>
      <c r="AA302" s="5">
        <v>60800255</v>
      </c>
      <c r="AB302" s="9">
        <v>40617914</v>
      </c>
      <c r="AC302" s="5">
        <v>2831696</v>
      </c>
      <c r="AD302" s="9">
        <v>9115204</v>
      </c>
      <c r="AE302" s="5">
        <v>52629172</v>
      </c>
      <c r="AF302" s="5">
        <v>253110</v>
      </c>
      <c r="AG302" s="5">
        <v>48860946</v>
      </c>
      <c r="AH302" s="5">
        <v>911391</v>
      </c>
      <c r="AI302" s="15">
        <v>2056</v>
      </c>
      <c r="AJ302" s="9">
        <v>85861318</v>
      </c>
      <c r="AK302" s="5">
        <v>12459881</v>
      </c>
      <c r="AL302" s="9">
        <v>1273538</v>
      </c>
      <c r="AM302" s="5">
        <v>0</v>
      </c>
      <c r="AN302" s="5"/>
      <c r="AO302" s="49">
        <v>7711841879</v>
      </c>
      <c r="AP302" s="27"/>
    </row>
    <row r="303" spans="1:42" ht="10.5" customHeight="1">
      <c r="A303" s="6">
        <f t="shared" si="4"/>
        <v>2006</v>
      </c>
      <c r="B303" s="6" t="s">
        <v>45</v>
      </c>
      <c r="C303" s="4">
        <v>39052</v>
      </c>
      <c r="D303" s="28"/>
      <c r="E303" s="5">
        <v>100926875</v>
      </c>
      <c r="F303" s="28"/>
      <c r="G303" s="28"/>
      <c r="H303" s="28"/>
      <c r="I303" s="28"/>
      <c r="J303" s="9">
        <v>10626442</v>
      </c>
      <c r="K303" s="61">
        <v>357339796</v>
      </c>
      <c r="L303" s="60">
        <v>26078</v>
      </c>
      <c r="M303" s="28"/>
      <c r="N303" s="9">
        <v>18877892</v>
      </c>
      <c r="O303" s="9">
        <v>120621423</v>
      </c>
      <c r="P303" s="16">
        <v>126249595</v>
      </c>
      <c r="Q303" s="14">
        <v>15295426</v>
      </c>
      <c r="R303" s="5">
        <v>4494065256</v>
      </c>
      <c r="S303" s="9">
        <v>39248862</v>
      </c>
      <c r="T303" s="9">
        <v>1131572718</v>
      </c>
      <c r="U303" s="9">
        <v>7391666</v>
      </c>
      <c r="V303" s="9">
        <v>17519716</v>
      </c>
      <c r="W303" s="5">
        <v>25089073</v>
      </c>
      <c r="X303" s="5">
        <v>25055537</v>
      </c>
      <c r="Y303" s="9">
        <v>1052899655</v>
      </c>
      <c r="Z303" s="49">
        <v>311228834</v>
      </c>
      <c r="AA303" s="5">
        <v>51952859</v>
      </c>
      <c r="AB303" s="9">
        <v>42744360</v>
      </c>
      <c r="AC303" s="5">
        <v>6798334</v>
      </c>
      <c r="AD303" s="9">
        <v>8439749</v>
      </c>
      <c r="AE303" s="5">
        <v>36978744</v>
      </c>
      <c r="AF303" s="5">
        <v>242004</v>
      </c>
      <c r="AG303" s="5">
        <v>50629611</v>
      </c>
      <c r="AH303" s="5">
        <v>854390</v>
      </c>
      <c r="AI303" s="15">
        <v>143702</v>
      </c>
      <c r="AJ303" s="9">
        <v>57164323</v>
      </c>
      <c r="AK303" s="5">
        <v>9598970</v>
      </c>
      <c r="AL303" s="9">
        <v>835966</v>
      </c>
      <c r="AM303" s="5">
        <v>0</v>
      </c>
      <c r="AN303" s="5"/>
      <c r="AO303" s="49">
        <v>8188852730</v>
      </c>
      <c r="AP303" s="27"/>
    </row>
    <row r="304" spans="1:42" ht="10.5" customHeight="1">
      <c r="A304" s="6">
        <f t="shared" si="4"/>
        <v>2007</v>
      </c>
      <c r="B304" s="6" t="s">
        <v>34</v>
      </c>
      <c r="C304" s="4">
        <v>39083</v>
      </c>
      <c r="D304" s="28"/>
      <c r="E304" s="5">
        <v>108394410</v>
      </c>
      <c r="F304" s="28"/>
      <c r="G304" s="28"/>
      <c r="H304" s="28"/>
      <c r="I304" s="28"/>
      <c r="J304" s="9">
        <v>12659389</v>
      </c>
      <c r="K304" s="61">
        <v>366779707</v>
      </c>
      <c r="L304" s="60">
        <v>17447</v>
      </c>
      <c r="M304" s="28"/>
      <c r="N304" s="9">
        <v>19739010</v>
      </c>
      <c r="O304" s="9">
        <v>2540840</v>
      </c>
      <c r="P304" s="16">
        <v>94319348</v>
      </c>
      <c r="Q304" s="14">
        <v>12824340</v>
      </c>
      <c r="R304" s="5">
        <v>4988044689</v>
      </c>
      <c r="S304" s="9">
        <v>39383541</v>
      </c>
      <c r="T304" s="9">
        <v>1169868953</v>
      </c>
      <c r="U304" s="9">
        <v>8563035</v>
      </c>
      <c r="V304" s="9">
        <v>18112300</v>
      </c>
      <c r="W304" s="5">
        <v>34231520</v>
      </c>
      <c r="X304" s="5">
        <v>26606746</v>
      </c>
      <c r="Y304" s="9">
        <v>1314201967</v>
      </c>
      <c r="Z304" s="49">
        <v>329360988</v>
      </c>
      <c r="AA304" s="5">
        <v>70080074</v>
      </c>
      <c r="AB304" s="9">
        <v>52273942</v>
      </c>
      <c r="AC304" s="5">
        <v>3592898</v>
      </c>
      <c r="AD304" s="9">
        <v>9322794</v>
      </c>
      <c r="AE304" s="5">
        <v>46596597</v>
      </c>
      <c r="AF304" s="5">
        <v>200417</v>
      </c>
      <c r="AG304" s="5">
        <v>57207141</v>
      </c>
      <c r="AH304" s="5">
        <v>696664</v>
      </c>
      <c r="AI304" s="15">
        <v>2740526</v>
      </c>
      <c r="AJ304" s="9">
        <v>83336167</v>
      </c>
      <c r="AK304" s="5">
        <v>12310612</v>
      </c>
      <c r="AL304" s="9">
        <v>776606</v>
      </c>
      <c r="AM304" s="5">
        <v>1086</v>
      </c>
      <c r="AN304" s="5"/>
      <c r="AO304" s="49">
        <v>8931739755</v>
      </c>
      <c r="AP304" s="27"/>
    </row>
    <row r="305" spans="1:42" ht="10.5" customHeight="1">
      <c r="A305" s="6">
        <f t="shared" si="4"/>
        <v>2007</v>
      </c>
      <c r="B305" s="6" t="s">
        <v>35</v>
      </c>
      <c r="C305" s="4">
        <v>39114</v>
      </c>
      <c r="D305" s="28"/>
      <c r="E305" s="5">
        <v>94077082</v>
      </c>
      <c r="F305" s="28"/>
      <c r="G305" s="28"/>
      <c r="H305" s="28"/>
      <c r="I305" s="28"/>
      <c r="J305" s="9">
        <v>18659049</v>
      </c>
      <c r="K305" s="61">
        <v>368632989</v>
      </c>
      <c r="L305" s="60">
        <v>85479</v>
      </c>
      <c r="M305" s="28"/>
      <c r="N305" s="9">
        <v>18359986</v>
      </c>
      <c r="O305" s="9">
        <v>2885417</v>
      </c>
      <c r="P305" s="16">
        <v>51471718</v>
      </c>
      <c r="Q305" s="14">
        <v>7596720</v>
      </c>
      <c r="R305" s="5">
        <v>3793594719</v>
      </c>
      <c r="S305" s="9">
        <v>47034043</v>
      </c>
      <c r="T305" s="9">
        <v>1172947178</v>
      </c>
      <c r="U305" s="9">
        <v>8249408</v>
      </c>
      <c r="V305" s="9">
        <v>16682797</v>
      </c>
      <c r="W305" s="5">
        <v>24610595</v>
      </c>
      <c r="X305" s="5">
        <v>23075024</v>
      </c>
      <c r="Y305" s="9">
        <v>1250209039</v>
      </c>
      <c r="Z305" s="49">
        <v>261532588</v>
      </c>
      <c r="AA305" s="5">
        <v>66344396</v>
      </c>
      <c r="AB305" s="9">
        <v>36359940</v>
      </c>
      <c r="AC305" s="5">
        <v>128364</v>
      </c>
      <c r="AD305" s="9">
        <v>6734857</v>
      </c>
      <c r="AE305" s="5">
        <v>57156155</v>
      </c>
      <c r="AF305" s="5">
        <v>263568</v>
      </c>
      <c r="AG305" s="5">
        <v>58454973</v>
      </c>
      <c r="AH305" s="5">
        <v>514198</v>
      </c>
      <c r="AI305" s="15">
        <v>15558014</v>
      </c>
      <c r="AJ305" s="9">
        <v>81301330</v>
      </c>
      <c r="AK305" s="5">
        <v>8759436</v>
      </c>
      <c r="AL305" s="9">
        <v>272772</v>
      </c>
      <c r="AM305" s="5">
        <v>915</v>
      </c>
      <c r="AN305" s="5"/>
      <c r="AO305" s="49">
        <v>7532519864</v>
      </c>
      <c r="AP305" s="27"/>
    </row>
    <row r="306" spans="1:42" ht="10.5" customHeight="1">
      <c r="A306" s="6">
        <f t="shared" si="4"/>
        <v>2007</v>
      </c>
      <c r="B306" s="6" t="s">
        <v>36</v>
      </c>
      <c r="C306" s="4">
        <v>39142</v>
      </c>
      <c r="D306" s="28"/>
      <c r="E306" s="5">
        <v>97667299</v>
      </c>
      <c r="F306" s="28"/>
      <c r="G306" s="28"/>
      <c r="H306" s="28"/>
      <c r="I306" s="28"/>
      <c r="J306" s="9">
        <v>24270549</v>
      </c>
      <c r="K306" s="61">
        <v>385936122</v>
      </c>
      <c r="L306" s="60">
        <v>1041</v>
      </c>
      <c r="M306" s="28"/>
      <c r="N306" s="9">
        <v>19117313</v>
      </c>
      <c r="O306" s="9">
        <v>2790037</v>
      </c>
      <c r="P306" s="16">
        <v>80483051</v>
      </c>
      <c r="Q306" s="14">
        <v>11153635</v>
      </c>
      <c r="R306" s="5">
        <v>4525164697</v>
      </c>
      <c r="S306" s="9">
        <v>47517022</v>
      </c>
      <c r="T306" s="9">
        <v>1108749196</v>
      </c>
      <c r="U306" s="9">
        <v>8843509</v>
      </c>
      <c r="V306" s="9">
        <v>20503980</v>
      </c>
      <c r="W306" s="5">
        <v>31715918</v>
      </c>
      <c r="X306" s="5">
        <v>22755249</v>
      </c>
      <c r="Y306" s="9">
        <v>1204190929</v>
      </c>
      <c r="Z306" s="49">
        <v>317191112</v>
      </c>
      <c r="AA306" s="5">
        <v>64240649</v>
      </c>
      <c r="AB306" s="9">
        <v>49673992</v>
      </c>
      <c r="AC306" s="5">
        <v>1395387</v>
      </c>
      <c r="AD306" s="9">
        <v>8220324</v>
      </c>
      <c r="AE306" s="5">
        <v>47767380</v>
      </c>
      <c r="AF306" s="5">
        <v>349013</v>
      </c>
      <c r="AG306" s="5">
        <v>47268057</v>
      </c>
      <c r="AH306" s="5">
        <v>1087519</v>
      </c>
      <c r="AI306" s="15">
        <v>434764</v>
      </c>
      <c r="AJ306" s="9">
        <v>111629953</v>
      </c>
      <c r="AK306" s="5">
        <v>10737090</v>
      </c>
      <c r="AL306" s="9">
        <v>1404066</v>
      </c>
      <c r="AM306" s="5">
        <v>862</v>
      </c>
      <c r="AN306" s="5"/>
      <c r="AO306" s="49">
        <v>8299903527</v>
      </c>
      <c r="AP306" s="27"/>
    </row>
    <row r="307" spans="1:42" ht="10.5" customHeight="1">
      <c r="A307" s="6">
        <f t="shared" si="4"/>
        <v>2007</v>
      </c>
      <c r="B307" s="6" t="s">
        <v>37</v>
      </c>
      <c r="C307" s="4">
        <v>39173</v>
      </c>
      <c r="D307" s="28"/>
      <c r="E307" s="5">
        <v>81102830</v>
      </c>
      <c r="F307" s="28"/>
      <c r="G307" s="28"/>
      <c r="H307" s="28"/>
      <c r="I307" s="28"/>
      <c r="J307" s="9">
        <v>99265124</v>
      </c>
      <c r="K307" s="61">
        <v>437098694</v>
      </c>
      <c r="L307" s="60">
        <v>42086</v>
      </c>
      <c r="M307" s="28"/>
      <c r="N307" s="9">
        <v>18931638</v>
      </c>
      <c r="O307" s="9">
        <v>2227338</v>
      </c>
      <c r="P307" s="16">
        <v>71024950</v>
      </c>
      <c r="Q307" s="14">
        <v>9205814</v>
      </c>
      <c r="R307" s="5">
        <v>4375758760</v>
      </c>
      <c r="S307" s="9">
        <v>45830274</v>
      </c>
      <c r="T307" s="9">
        <v>1230729973</v>
      </c>
      <c r="U307" s="9">
        <v>6341333</v>
      </c>
      <c r="V307" s="9">
        <v>14781769</v>
      </c>
      <c r="W307" s="5">
        <v>29074124</v>
      </c>
      <c r="X307" s="5">
        <v>21908149</v>
      </c>
      <c r="Y307" s="9">
        <v>950476469</v>
      </c>
      <c r="Z307" s="49">
        <v>271496727</v>
      </c>
      <c r="AA307" s="5">
        <v>60800669</v>
      </c>
      <c r="AB307" s="9">
        <v>34614991</v>
      </c>
      <c r="AC307" s="5">
        <v>1814667</v>
      </c>
      <c r="AD307" s="9">
        <v>10222754</v>
      </c>
      <c r="AE307" s="5">
        <v>26824019</v>
      </c>
      <c r="AF307" s="5">
        <v>0</v>
      </c>
      <c r="AG307" s="5">
        <v>48971693</v>
      </c>
      <c r="AH307" s="5">
        <v>608673</v>
      </c>
      <c r="AI307" s="15">
        <v>79</v>
      </c>
      <c r="AJ307" s="9">
        <v>121369025</v>
      </c>
      <c r="AK307" s="5">
        <v>18356332</v>
      </c>
      <c r="AL307" s="9">
        <v>346989</v>
      </c>
      <c r="AM307" s="5">
        <v>0</v>
      </c>
      <c r="AN307" s="5"/>
      <c r="AO307" s="49">
        <v>8026354434</v>
      </c>
      <c r="AP307" s="27"/>
    </row>
    <row r="308" spans="1:42" ht="10.5" customHeight="1">
      <c r="A308" s="6">
        <f t="shared" si="4"/>
        <v>2007</v>
      </c>
      <c r="B308" s="6" t="s">
        <v>73</v>
      </c>
      <c r="C308" s="4">
        <v>39203</v>
      </c>
      <c r="D308" s="28"/>
      <c r="E308" s="5">
        <v>80099759</v>
      </c>
      <c r="F308" s="28"/>
      <c r="G308" s="28"/>
      <c r="H308" s="28"/>
      <c r="I308" s="28"/>
      <c r="J308" s="9">
        <v>8356991</v>
      </c>
      <c r="K308" s="61">
        <v>320023556</v>
      </c>
      <c r="L308" s="60">
        <v>12895</v>
      </c>
      <c r="M308" s="28"/>
      <c r="N308" s="9">
        <v>20539255</v>
      </c>
      <c r="O308" s="9">
        <v>7965786</v>
      </c>
      <c r="P308" s="16">
        <v>101850131</v>
      </c>
      <c r="Q308" s="14">
        <v>14837392</v>
      </c>
      <c r="R308" s="5">
        <v>4374498502</v>
      </c>
      <c r="S308" s="9">
        <v>47469131</v>
      </c>
      <c r="T308" s="9">
        <v>791971788</v>
      </c>
      <c r="U308" s="9">
        <v>6253917</v>
      </c>
      <c r="V308" s="9">
        <v>14539447</v>
      </c>
      <c r="W308" s="5">
        <v>25166426</v>
      </c>
      <c r="X308" s="5">
        <v>22761696</v>
      </c>
      <c r="Y308" s="9">
        <v>876249793</v>
      </c>
      <c r="Z308" s="49">
        <v>297170353</v>
      </c>
      <c r="AA308" s="5">
        <v>64364659</v>
      </c>
      <c r="AB308" s="9">
        <v>37606037</v>
      </c>
      <c r="AC308" s="5">
        <v>1974068</v>
      </c>
      <c r="AD308" s="9">
        <v>10313372</v>
      </c>
      <c r="AE308" s="5">
        <v>37129392</v>
      </c>
      <c r="AF308" s="5">
        <v>169462</v>
      </c>
      <c r="AG308" s="5">
        <v>50345227</v>
      </c>
      <c r="AH308" s="5">
        <v>761337</v>
      </c>
      <c r="AI308" s="15">
        <v>77</v>
      </c>
      <c r="AJ308" s="9">
        <v>72438761</v>
      </c>
      <c r="AK308" s="5">
        <v>17213561</v>
      </c>
      <c r="AL308" s="9">
        <v>5390906</v>
      </c>
      <c r="AM308" s="5">
        <v>27396</v>
      </c>
      <c r="AN308" s="5"/>
      <c r="AO308" s="49">
        <v>7355622760</v>
      </c>
      <c r="AP308" s="27"/>
    </row>
    <row r="309" spans="1:42" ht="10.5" customHeight="1">
      <c r="A309" s="6">
        <f t="shared" si="4"/>
        <v>2007</v>
      </c>
      <c r="B309" s="6" t="s">
        <v>39</v>
      </c>
      <c r="C309" s="4">
        <v>39234</v>
      </c>
      <c r="D309" s="28"/>
      <c r="E309" s="5">
        <v>104240708</v>
      </c>
      <c r="F309" s="28"/>
      <c r="G309" s="28"/>
      <c r="H309" s="28"/>
      <c r="I309" s="28"/>
      <c r="J309" s="9">
        <v>8980966</v>
      </c>
      <c r="K309" s="61">
        <v>389574402</v>
      </c>
      <c r="L309" s="60">
        <v>44457</v>
      </c>
      <c r="M309" s="28"/>
      <c r="N309" s="9">
        <v>19083770</v>
      </c>
      <c r="O309" s="9">
        <v>64092500</v>
      </c>
      <c r="P309" s="16">
        <v>302735000</v>
      </c>
      <c r="Q309" s="14">
        <v>42017589</v>
      </c>
      <c r="R309" s="5">
        <v>4178023791</v>
      </c>
      <c r="S309" s="9">
        <v>46196512</v>
      </c>
      <c r="T309" s="9">
        <v>791813269</v>
      </c>
      <c r="U309" s="9">
        <v>8491693</v>
      </c>
      <c r="V309" s="9">
        <v>23390762</v>
      </c>
      <c r="W309" s="5">
        <v>31485266</v>
      </c>
      <c r="X309" s="5">
        <v>23537912</v>
      </c>
      <c r="Y309" s="9">
        <v>832567716</v>
      </c>
      <c r="Z309" s="49">
        <v>245812575</v>
      </c>
      <c r="AA309" s="5">
        <v>52453814</v>
      </c>
      <c r="AB309" s="9">
        <v>47030449</v>
      </c>
      <c r="AC309" s="5">
        <v>1553018</v>
      </c>
      <c r="AD309" s="9">
        <v>9702198</v>
      </c>
      <c r="AE309" s="5">
        <v>34616621</v>
      </c>
      <c r="AF309" s="5">
        <v>198064</v>
      </c>
      <c r="AG309" s="5">
        <v>66645295</v>
      </c>
      <c r="AH309" s="5">
        <v>944635</v>
      </c>
      <c r="AI309" s="15">
        <v>417121</v>
      </c>
      <c r="AJ309" s="9">
        <v>128912161</v>
      </c>
      <c r="AK309" s="5">
        <v>14411870</v>
      </c>
      <c r="AL309" s="9">
        <v>841053</v>
      </c>
      <c r="AM309" s="5">
        <v>39862</v>
      </c>
      <c r="AN309" s="5"/>
      <c r="AO309" s="49">
        <v>7513749679</v>
      </c>
      <c r="AP309" s="27"/>
    </row>
    <row r="310" spans="1:42" ht="10.5" customHeight="1">
      <c r="A310" s="6">
        <f t="shared" si="4"/>
        <v>2007</v>
      </c>
      <c r="B310" s="6" t="s">
        <v>40</v>
      </c>
      <c r="C310" s="4">
        <v>39264</v>
      </c>
      <c r="D310" s="5">
        <v>226790</v>
      </c>
      <c r="E310" s="5">
        <v>128810817</v>
      </c>
      <c r="F310" s="5">
        <v>6585866</v>
      </c>
      <c r="G310" s="5">
        <v>54653221</v>
      </c>
      <c r="H310" s="5">
        <v>438792</v>
      </c>
      <c r="I310" s="5"/>
      <c r="J310" s="9">
        <v>10912312</v>
      </c>
      <c r="K310" s="61">
        <v>409601891</v>
      </c>
      <c r="L310" s="60">
        <v>2706</v>
      </c>
      <c r="M310" s="28"/>
      <c r="N310" s="9">
        <v>21255048</v>
      </c>
      <c r="O310" s="9">
        <v>2768069</v>
      </c>
      <c r="P310" s="16">
        <v>195323108</v>
      </c>
      <c r="Q310" s="14">
        <v>36003889</v>
      </c>
      <c r="R310" s="5">
        <v>5338047148</v>
      </c>
      <c r="S310" s="9">
        <v>46387396</v>
      </c>
      <c r="T310" s="9">
        <v>926210459</v>
      </c>
      <c r="U310" s="9">
        <v>13591759</v>
      </c>
      <c r="V310" s="9">
        <v>31445849</v>
      </c>
      <c r="W310" s="5">
        <v>27739575</v>
      </c>
      <c r="X310" s="5">
        <v>30665404</v>
      </c>
      <c r="Y310" s="9">
        <v>893728518</v>
      </c>
      <c r="Z310" s="49">
        <v>98553835</v>
      </c>
      <c r="AA310" s="5">
        <v>72316538</v>
      </c>
      <c r="AB310" s="9">
        <v>59376431</v>
      </c>
      <c r="AC310" s="5">
        <v>4231360</v>
      </c>
      <c r="AD310" s="9">
        <v>8659346</v>
      </c>
      <c r="AE310" s="5">
        <v>39511787</v>
      </c>
      <c r="AF310" s="5">
        <v>216465</v>
      </c>
      <c r="AG310" s="5">
        <v>54188823</v>
      </c>
      <c r="AH310" s="5">
        <v>908850</v>
      </c>
      <c r="AI310" s="15">
        <v>9301435</v>
      </c>
      <c r="AJ310" s="9">
        <v>61238026</v>
      </c>
      <c r="AK310" s="5">
        <v>13481192</v>
      </c>
      <c r="AL310" s="9">
        <v>1633858</v>
      </c>
      <c r="AM310" s="5">
        <v>27448</v>
      </c>
      <c r="AN310" s="5"/>
      <c r="AO310" s="49">
        <v>8644680117</v>
      </c>
      <c r="AP310" s="27"/>
    </row>
    <row r="311" spans="1:42" ht="10.5" customHeight="1">
      <c r="A311" s="6">
        <f t="shared" si="4"/>
        <v>2007</v>
      </c>
      <c r="B311" s="6" t="s">
        <v>41</v>
      </c>
      <c r="C311" s="4">
        <v>39295</v>
      </c>
      <c r="D311" s="5">
        <v>33214229</v>
      </c>
      <c r="E311" s="5">
        <v>78753120</v>
      </c>
      <c r="F311" s="5">
        <v>68194722</v>
      </c>
      <c r="G311" s="5">
        <v>710404636</v>
      </c>
      <c r="H311" s="5">
        <v>33382488</v>
      </c>
      <c r="I311" s="5"/>
      <c r="J311" s="9">
        <v>11697645</v>
      </c>
      <c r="K311" s="61">
        <v>419955638</v>
      </c>
      <c r="L311" s="60">
        <v>46369</v>
      </c>
      <c r="M311" s="28"/>
      <c r="N311" s="9">
        <v>19732458</v>
      </c>
      <c r="O311" s="9">
        <v>2870166</v>
      </c>
      <c r="P311" s="16">
        <v>50556415</v>
      </c>
      <c r="Q311" s="14">
        <v>573035</v>
      </c>
      <c r="R311" s="5">
        <v>5123929720</v>
      </c>
      <c r="S311" s="9">
        <v>49860409</v>
      </c>
      <c r="T311" s="9">
        <v>870280932</v>
      </c>
      <c r="U311" s="9">
        <v>6260045</v>
      </c>
      <c r="V311" s="9">
        <v>14968385</v>
      </c>
      <c r="W311" s="5">
        <v>25680227</v>
      </c>
      <c r="X311" s="5">
        <v>23000328</v>
      </c>
      <c r="Y311" s="9">
        <v>769628912</v>
      </c>
      <c r="Z311" s="49">
        <v>12322158</v>
      </c>
      <c r="AA311" s="5">
        <v>5301808</v>
      </c>
      <c r="AB311" s="9">
        <v>1812624</v>
      </c>
      <c r="AC311" s="5">
        <v>9550</v>
      </c>
      <c r="AD311" s="9">
        <v>0</v>
      </c>
      <c r="AE311" s="5">
        <v>7901610</v>
      </c>
      <c r="AF311" s="5">
        <v>0</v>
      </c>
      <c r="AG311" s="5">
        <v>50989918</v>
      </c>
      <c r="AH311" s="5">
        <v>18965</v>
      </c>
      <c r="AI311" s="15">
        <v>5210484</v>
      </c>
      <c r="AJ311" s="9">
        <v>5388276</v>
      </c>
      <c r="AK311" s="5">
        <v>1167925</v>
      </c>
      <c r="AL311" s="9">
        <v>3396058</v>
      </c>
      <c r="AM311" s="5">
        <v>25105</v>
      </c>
      <c r="AN311" s="5"/>
      <c r="AO311" s="49">
        <v>8446146328</v>
      </c>
      <c r="AP311" s="27"/>
    </row>
    <row r="312" spans="1:42" ht="10.5" customHeight="1">
      <c r="A312" s="6">
        <f t="shared" si="4"/>
        <v>2007</v>
      </c>
      <c r="B312" s="6" t="s">
        <v>42</v>
      </c>
      <c r="C312" s="4">
        <v>39326</v>
      </c>
      <c r="D312" s="5">
        <v>122891651</v>
      </c>
      <c r="E312" s="5">
        <v>60189202</v>
      </c>
      <c r="F312" s="5">
        <v>100083326</v>
      </c>
      <c r="G312" s="5">
        <v>720816973</v>
      </c>
      <c r="H312" s="5">
        <v>96260794</v>
      </c>
      <c r="I312" s="5"/>
      <c r="J312" s="9">
        <v>13472702</v>
      </c>
      <c r="K312" s="61">
        <v>428071034</v>
      </c>
      <c r="L312" s="60">
        <v>4897</v>
      </c>
      <c r="M312" s="28"/>
      <c r="N312" s="9">
        <v>18843384</v>
      </c>
      <c r="O312" s="9">
        <v>53807791</v>
      </c>
      <c r="P312" s="16">
        <v>56593170</v>
      </c>
      <c r="Q312" s="14">
        <v>520646</v>
      </c>
      <c r="R312" s="5">
        <v>4782039200</v>
      </c>
      <c r="S312" s="9">
        <v>49084584</v>
      </c>
      <c r="T312" s="9">
        <v>1042220784</v>
      </c>
      <c r="U312" s="9">
        <v>5626107</v>
      </c>
      <c r="V312" s="9">
        <v>15945432</v>
      </c>
      <c r="W312" s="5">
        <v>37694485</v>
      </c>
      <c r="X312" s="5">
        <v>20039230</v>
      </c>
      <c r="Y312" s="9">
        <v>815524257</v>
      </c>
      <c r="Z312" s="49">
        <v>8161556</v>
      </c>
      <c r="AA312" s="5">
        <v>1681402</v>
      </c>
      <c r="AB312" s="9">
        <v>924371</v>
      </c>
      <c r="AC312" s="5">
        <v>10499</v>
      </c>
      <c r="AD312" s="9">
        <v>0</v>
      </c>
      <c r="AE312" s="5">
        <v>1900</v>
      </c>
      <c r="AF312" s="5">
        <v>0</v>
      </c>
      <c r="AG312" s="5">
        <v>61868740</v>
      </c>
      <c r="AH312" s="5">
        <v>18521</v>
      </c>
      <c r="AI312" s="15">
        <v>13983350</v>
      </c>
      <c r="AJ312" s="9">
        <v>10505191</v>
      </c>
      <c r="AK312" s="5">
        <v>1900518</v>
      </c>
      <c r="AL312" s="9">
        <v>631271</v>
      </c>
      <c r="AM312" s="5">
        <v>24622</v>
      </c>
      <c r="AN312" s="5"/>
      <c r="AO312" s="49">
        <v>8578077888</v>
      </c>
      <c r="AP312" s="27"/>
    </row>
    <row r="313" spans="1:42" ht="10.5" customHeight="1">
      <c r="A313" s="6">
        <f t="shared" si="4"/>
        <v>2007</v>
      </c>
      <c r="B313" s="6" t="s">
        <v>43</v>
      </c>
      <c r="C313" s="4">
        <v>39356</v>
      </c>
      <c r="D313" s="5">
        <v>133025311</v>
      </c>
      <c r="E313" s="5">
        <v>106928146</v>
      </c>
      <c r="F313" s="5">
        <v>108968577</v>
      </c>
      <c r="G313" s="5">
        <v>824867611</v>
      </c>
      <c r="H313" s="5">
        <v>53680548</v>
      </c>
      <c r="I313" s="5"/>
      <c r="J313" s="9">
        <v>18055239</v>
      </c>
      <c r="K313" s="61">
        <v>417322041</v>
      </c>
      <c r="L313" s="60">
        <v>83203</v>
      </c>
      <c r="M313" s="28"/>
      <c r="N313" s="9">
        <v>22282051</v>
      </c>
      <c r="O313" s="9">
        <v>75123498</v>
      </c>
      <c r="P313" s="16">
        <v>77700022</v>
      </c>
      <c r="Q313" s="14">
        <v>158114</v>
      </c>
      <c r="R313" s="5">
        <v>5202321840</v>
      </c>
      <c r="S313" s="9">
        <v>48253516</v>
      </c>
      <c r="T313" s="9">
        <v>897330541</v>
      </c>
      <c r="U313" s="9">
        <v>10516927</v>
      </c>
      <c r="V313" s="9">
        <v>28021483</v>
      </c>
      <c r="W313" s="5">
        <v>26078301</v>
      </c>
      <c r="X313" s="5">
        <v>18746114</v>
      </c>
      <c r="Y313" s="9">
        <v>746550614</v>
      </c>
      <c r="Z313" s="49">
        <v>6956874</v>
      </c>
      <c r="AA313" s="5">
        <v>582852</v>
      </c>
      <c r="AB313" s="9">
        <v>1022068</v>
      </c>
      <c r="AC313" s="5">
        <v>11754</v>
      </c>
      <c r="AD313" s="9">
        <v>0</v>
      </c>
      <c r="AE313" s="5">
        <v>0</v>
      </c>
      <c r="AF313" s="5">
        <v>0</v>
      </c>
      <c r="AG313" s="5">
        <v>24451712</v>
      </c>
      <c r="AH313" s="5">
        <v>67678</v>
      </c>
      <c r="AI313" s="15">
        <v>2716560</v>
      </c>
      <c r="AJ313" s="9">
        <v>8588759</v>
      </c>
      <c r="AK313" s="5">
        <v>511019</v>
      </c>
      <c r="AL313" s="9">
        <v>46506445</v>
      </c>
      <c r="AM313" s="5">
        <v>8896</v>
      </c>
      <c r="AN313" s="5"/>
      <c r="AO313" s="49">
        <v>8948915948</v>
      </c>
      <c r="AP313" s="27"/>
    </row>
    <row r="314" spans="1:42" ht="10.5" customHeight="1">
      <c r="A314" s="6">
        <f t="shared" si="4"/>
        <v>2007</v>
      </c>
      <c r="B314" s="6" t="s">
        <v>44</v>
      </c>
      <c r="C314" s="4">
        <v>39387</v>
      </c>
      <c r="D314" s="5">
        <v>202095174</v>
      </c>
      <c r="E314" s="5">
        <v>57494831</v>
      </c>
      <c r="F314" s="5">
        <v>107855297</v>
      </c>
      <c r="G314" s="5">
        <v>1010270554</v>
      </c>
      <c r="H314" s="5">
        <v>65858601</v>
      </c>
      <c r="I314" s="5"/>
      <c r="J314" s="9">
        <v>10959002</v>
      </c>
      <c r="K314" s="61">
        <v>428157526</v>
      </c>
      <c r="L314" s="60">
        <v>4047</v>
      </c>
      <c r="M314" s="28"/>
      <c r="N314" s="9">
        <v>19245420</v>
      </c>
      <c r="O314" s="9">
        <v>3225439</v>
      </c>
      <c r="P314" s="16">
        <v>86001436</v>
      </c>
      <c r="Q314" s="14">
        <v>1353133</v>
      </c>
      <c r="R314" s="5">
        <v>5121661216</v>
      </c>
      <c r="S314" s="9">
        <v>48981537</v>
      </c>
      <c r="T314" s="9">
        <v>963694775</v>
      </c>
      <c r="U314" s="9">
        <v>4473898</v>
      </c>
      <c r="V314" s="9">
        <v>15488419</v>
      </c>
      <c r="W314" s="5">
        <v>14432560</v>
      </c>
      <c r="X314" s="5">
        <v>18151961</v>
      </c>
      <c r="Y314" s="9">
        <v>732692518</v>
      </c>
      <c r="Z314" s="49">
        <v>4520785</v>
      </c>
      <c r="AA314" s="5">
        <v>1865849</v>
      </c>
      <c r="AB314" s="9">
        <v>1417441</v>
      </c>
      <c r="AC314" s="5">
        <v>32079</v>
      </c>
      <c r="AD314" s="9">
        <v>0</v>
      </c>
      <c r="AE314" s="5">
        <v>1900</v>
      </c>
      <c r="AF314" s="5">
        <v>0</v>
      </c>
      <c r="AG314" s="5">
        <v>0</v>
      </c>
      <c r="AH314" s="5">
        <v>19184</v>
      </c>
      <c r="AI314" s="15">
        <v>0</v>
      </c>
      <c r="AJ314" s="9">
        <v>1193191</v>
      </c>
      <c r="AK314" s="5">
        <v>317025</v>
      </c>
      <c r="AL314" s="9">
        <v>2701493</v>
      </c>
      <c r="AM314" s="5">
        <v>29675</v>
      </c>
      <c r="AN314" s="5"/>
      <c r="AO314" s="49">
        <v>9016846261</v>
      </c>
      <c r="AP314" s="27"/>
    </row>
    <row r="315" spans="1:42" ht="10.5" customHeight="1">
      <c r="A315" s="6">
        <f t="shared" si="4"/>
        <v>2007</v>
      </c>
      <c r="B315" s="6" t="s">
        <v>45</v>
      </c>
      <c r="C315" s="4">
        <v>39417</v>
      </c>
      <c r="D315" s="5">
        <v>217674163</v>
      </c>
      <c r="E315" s="5">
        <v>75102708</v>
      </c>
      <c r="F315" s="5">
        <v>189594353</v>
      </c>
      <c r="G315" s="5">
        <v>940914389</v>
      </c>
      <c r="H315" s="5">
        <v>99409455</v>
      </c>
      <c r="I315" s="5"/>
      <c r="J315" s="9">
        <v>9515934</v>
      </c>
      <c r="K315" s="61">
        <v>433762275</v>
      </c>
      <c r="L315" s="60">
        <v>0</v>
      </c>
      <c r="M315" s="28"/>
      <c r="N315" s="9">
        <v>18655947</v>
      </c>
      <c r="O315" s="9">
        <v>119487797</v>
      </c>
      <c r="P315" s="16">
        <v>99862551</v>
      </c>
      <c r="Q315" s="14">
        <v>862897</v>
      </c>
      <c r="R315" s="5">
        <v>5336031209</v>
      </c>
      <c r="S315" s="9">
        <v>46609989</v>
      </c>
      <c r="T315" s="9">
        <v>1047025379</v>
      </c>
      <c r="U315" s="9">
        <v>5434946</v>
      </c>
      <c r="V315" s="9">
        <v>16806927</v>
      </c>
      <c r="W315" s="5">
        <v>28276602</v>
      </c>
      <c r="X315" s="5">
        <v>22831353</v>
      </c>
      <c r="Y315" s="9">
        <v>668703244</v>
      </c>
      <c r="Z315" s="49">
        <v>5839709</v>
      </c>
      <c r="AA315" s="5">
        <v>872257</v>
      </c>
      <c r="AB315" s="9">
        <v>402652</v>
      </c>
      <c r="AC315" s="5">
        <v>2896</v>
      </c>
      <c r="AD315" s="9">
        <v>0</v>
      </c>
      <c r="AE315" s="5">
        <v>0</v>
      </c>
      <c r="AF315" s="5">
        <v>0</v>
      </c>
      <c r="AG315" s="5">
        <v>0</v>
      </c>
      <c r="AH315" s="5">
        <v>2963</v>
      </c>
      <c r="AI315" s="15">
        <v>0</v>
      </c>
      <c r="AJ315" s="9">
        <v>131584</v>
      </c>
      <c r="AK315" s="5">
        <v>72248</v>
      </c>
      <c r="AL315" s="9">
        <v>988644</v>
      </c>
      <c r="AM315" s="5">
        <v>18189</v>
      </c>
      <c r="AN315" s="5"/>
      <c r="AO315" s="49">
        <v>9422717129</v>
      </c>
      <c r="AP315" s="27"/>
    </row>
    <row r="316" spans="1:42" s="40" customFormat="1" ht="10.5" customHeight="1">
      <c r="A316" s="40">
        <f t="shared" si="4"/>
        <v>2008</v>
      </c>
      <c r="B316" s="40" t="s">
        <v>34</v>
      </c>
      <c r="C316" s="41">
        <v>39448</v>
      </c>
      <c r="D316" s="42">
        <v>286833282</v>
      </c>
      <c r="E316" s="42">
        <v>75129803</v>
      </c>
      <c r="F316" s="42">
        <v>172781610</v>
      </c>
      <c r="G316" s="42">
        <v>1251654533</v>
      </c>
      <c r="H316" s="42">
        <v>112760710</v>
      </c>
      <c r="I316" s="42">
        <v>0</v>
      </c>
      <c r="J316" s="43">
        <v>9639469</v>
      </c>
      <c r="K316" s="61">
        <v>414825787</v>
      </c>
      <c r="L316" s="60">
        <v>135099</v>
      </c>
      <c r="M316" s="52"/>
      <c r="N316" s="43">
        <v>22630994</v>
      </c>
      <c r="O316" s="43">
        <v>3031726</v>
      </c>
      <c r="P316" s="44">
        <v>94890652</v>
      </c>
      <c r="Q316" s="52"/>
      <c r="R316" s="42">
        <v>5630346719</v>
      </c>
      <c r="S316" s="43">
        <v>48876539</v>
      </c>
      <c r="T316" s="43">
        <v>1072549995</v>
      </c>
      <c r="U316" s="43">
        <v>7159600</v>
      </c>
      <c r="V316" s="43">
        <v>19038457</v>
      </c>
      <c r="W316" s="42">
        <v>24086000</v>
      </c>
      <c r="X316" s="42">
        <v>25267143</v>
      </c>
      <c r="Y316" s="43">
        <v>1657958115</v>
      </c>
      <c r="Z316" s="53">
        <v>1722185</v>
      </c>
      <c r="AA316" s="42">
        <v>3306348</v>
      </c>
      <c r="AB316" s="43">
        <v>694954</v>
      </c>
      <c r="AC316" s="42">
        <v>3309</v>
      </c>
      <c r="AD316" s="43">
        <v>0</v>
      </c>
      <c r="AE316" s="42">
        <v>0</v>
      </c>
      <c r="AF316" s="42">
        <v>0</v>
      </c>
      <c r="AG316" s="42">
        <v>0</v>
      </c>
      <c r="AH316" s="42">
        <v>4582</v>
      </c>
      <c r="AI316" s="45">
        <v>170</v>
      </c>
      <c r="AJ316" s="43">
        <v>3376387</v>
      </c>
      <c r="AK316" s="42">
        <v>431294</v>
      </c>
      <c r="AL316" s="43">
        <v>27309</v>
      </c>
      <c r="AM316" s="42">
        <v>39038</v>
      </c>
      <c r="AN316" s="42"/>
      <c r="AO316" s="53">
        <v>10947329990</v>
      </c>
      <c r="AP316" s="46"/>
    </row>
    <row r="317" spans="1:42" s="40" customFormat="1" ht="10.5" customHeight="1">
      <c r="A317" s="40">
        <f t="shared" si="4"/>
        <v>2008</v>
      </c>
      <c r="B317" s="40" t="s">
        <v>35</v>
      </c>
      <c r="C317" s="41">
        <v>39479</v>
      </c>
      <c r="D317" s="42">
        <v>770586549</v>
      </c>
      <c r="E317" s="42">
        <v>92903665</v>
      </c>
      <c r="F317" s="42">
        <v>118480013</v>
      </c>
      <c r="G317" s="42">
        <v>864856448</v>
      </c>
      <c r="H317" s="42">
        <v>88113184</v>
      </c>
      <c r="I317" s="42">
        <v>0</v>
      </c>
      <c r="J317" s="43">
        <v>12685028</v>
      </c>
      <c r="K317" s="61">
        <v>411586558</v>
      </c>
      <c r="L317" s="60">
        <v>0</v>
      </c>
      <c r="M317" s="52"/>
      <c r="N317" s="43">
        <v>20536942</v>
      </c>
      <c r="O317" s="43">
        <v>5229945</v>
      </c>
      <c r="P317" s="44">
        <v>70214894</v>
      </c>
      <c r="Q317" s="52"/>
      <c r="R317" s="42">
        <v>5109093333</v>
      </c>
      <c r="S317" s="43">
        <v>48497023</v>
      </c>
      <c r="T317" s="43">
        <v>895918528</v>
      </c>
      <c r="U317" s="43">
        <v>10464233</v>
      </c>
      <c r="V317" s="43">
        <v>26604412</v>
      </c>
      <c r="W317" s="42">
        <v>30864737</v>
      </c>
      <c r="X317" s="42">
        <v>28462113</v>
      </c>
      <c r="Y317" s="43">
        <v>178693186</v>
      </c>
      <c r="Z317" s="53">
        <v>1807236</v>
      </c>
      <c r="AA317" s="42">
        <v>1194419</v>
      </c>
      <c r="AB317" s="43">
        <v>277224</v>
      </c>
      <c r="AC317" s="42">
        <v>1758</v>
      </c>
      <c r="AD317" s="43">
        <v>0</v>
      </c>
      <c r="AE317" s="42">
        <v>0</v>
      </c>
      <c r="AF317" s="42">
        <v>0</v>
      </c>
      <c r="AG317" s="42">
        <v>0</v>
      </c>
      <c r="AH317" s="42">
        <v>2970</v>
      </c>
      <c r="AI317" s="45">
        <v>4403146</v>
      </c>
      <c r="AJ317" s="43">
        <v>558799</v>
      </c>
      <c r="AK317" s="42">
        <v>105489</v>
      </c>
      <c r="AL317" s="43">
        <v>1690643</v>
      </c>
      <c r="AM317" s="42">
        <v>35131</v>
      </c>
      <c r="AN317" s="42"/>
      <c r="AO317" s="53">
        <v>8784629304</v>
      </c>
      <c r="AP317" s="46"/>
    </row>
    <row r="318" spans="1:42" s="40" customFormat="1" ht="10.5" customHeight="1">
      <c r="A318" s="40">
        <f t="shared" si="4"/>
        <v>2008</v>
      </c>
      <c r="B318" s="40" t="s">
        <v>36</v>
      </c>
      <c r="C318" s="41">
        <v>39508</v>
      </c>
      <c r="D318" s="42">
        <v>743894856</v>
      </c>
      <c r="E318" s="42">
        <v>73950935</v>
      </c>
      <c r="F318" s="42">
        <v>119036633</v>
      </c>
      <c r="G318" s="42">
        <v>1058501235</v>
      </c>
      <c r="H318" s="42">
        <v>77239337</v>
      </c>
      <c r="I318" s="42">
        <v>0</v>
      </c>
      <c r="J318" s="43">
        <v>10321202</v>
      </c>
      <c r="K318" s="61">
        <v>464963332</v>
      </c>
      <c r="L318" s="60">
        <v>0</v>
      </c>
      <c r="M318" s="52"/>
      <c r="N318" s="43">
        <v>18547869</v>
      </c>
      <c r="O318" s="43">
        <v>2214467</v>
      </c>
      <c r="P318" s="44">
        <v>83227100</v>
      </c>
      <c r="Q318" s="52"/>
      <c r="R318" s="42">
        <v>5253495338</v>
      </c>
      <c r="S318" s="43">
        <v>49168556.490000002</v>
      </c>
      <c r="T318" s="43">
        <v>976497758</v>
      </c>
      <c r="U318" s="43">
        <v>8787478</v>
      </c>
      <c r="V318" s="43">
        <v>20841372</v>
      </c>
      <c r="W318" s="42">
        <v>31624472</v>
      </c>
      <c r="X318" s="42">
        <v>27686580</v>
      </c>
      <c r="Y318" s="43">
        <v>141843491</v>
      </c>
      <c r="Z318" s="53">
        <v>2631714</v>
      </c>
      <c r="AA318" s="42">
        <v>1851372</v>
      </c>
      <c r="AB318" s="43">
        <v>526423</v>
      </c>
      <c r="AC318" s="42">
        <v>0</v>
      </c>
      <c r="AD318" s="43">
        <v>0</v>
      </c>
      <c r="AE318" s="42">
        <v>0</v>
      </c>
      <c r="AF318" s="42">
        <v>0</v>
      </c>
      <c r="AG318" s="42">
        <v>0</v>
      </c>
      <c r="AH318" s="42">
        <v>1079</v>
      </c>
      <c r="AI318" s="45">
        <v>0</v>
      </c>
      <c r="AJ318" s="43">
        <v>808138</v>
      </c>
      <c r="AK318" s="42">
        <v>177374</v>
      </c>
      <c r="AL318" s="43">
        <v>479574</v>
      </c>
      <c r="AM318" s="42">
        <v>36204</v>
      </c>
      <c r="AN318" s="42"/>
      <c r="AO318" s="53">
        <v>9152450156</v>
      </c>
      <c r="AP318" s="46"/>
    </row>
    <row r="319" spans="1:42" s="40" customFormat="1" ht="10.5" customHeight="1">
      <c r="A319" s="40">
        <f t="shared" si="4"/>
        <v>2008</v>
      </c>
      <c r="B319" s="40" t="s">
        <v>37</v>
      </c>
      <c r="C319" s="41">
        <v>39539</v>
      </c>
      <c r="D319" s="42">
        <v>1047464009</v>
      </c>
      <c r="E319" s="42">
        <v>65493948</v>
      </c>
      <c r="F319" s="42">
        <v>144923033</v>
      </c>
      <c r="G319" s="42">
        <v>878672874</v>
      </c>
      <c r="H319" s="42">
        <v>73711833</v>
      </c>
      <c r="I319" s="42">
        <v>0</v>
      </c>
      <c r="J319" s="43">
        <v>113209989</v>
      </c>
      <c r="K319" s="61">
        <v>701305527</v>
      </c>
      <c r="L319" s="60">
        <v>180283</v>
      </c>
      <c r="M319" s="52"/>
      <c r="N319" s="43">
        <v>23679033</v>
      </c>
      <c r="O319" s="43">
        <v>6257621</v>
      </c>
      <c r="P319" s="44">
        <v>104560671</v>
      </c>
      <c r="Q319" s="52"/>
      <c r="R319" s="42">
        <v>5445022111</v>
      </c>
      <c r="S319" s="43">
        <v>48712010.159999996</v>
      </c>
      <c r="T319" s="43">
        <v>966070534</v>
      </c>
      <c r="U319" s="43">
        <v>8179926</v>
      </c>
      <c r="V319" s="43">
        <v>20456071</v>
      </c>
      <c r="W319" s="42">
        <v>28348486</v>
      </c>
      <c r="X319" s="42">
        <v>28748634</v>
      </c>
      <c r="Y319" s="43">
        <v>2657591769</v>
      </c>
      <c r="Z319" s="53">
        <v>3051132</v>
      </c>
      <c r="AA319" s="42">
        <v>1933199</v>
      </c>
      <c r="AB319" s="43">
        <v>4375984</v>
      </c>
      <c r="AC319" s="42">
        <v>11266</v>
      </c>
      <c r="AD319" s="43">
        <v>15923</v>
      </c>
      <c r="AE319" s="42">
        <v>1900</v>
      </c>
      <c r="AF319" s="42">
        <v>0</v>
      </c>
      <c r="AG319" s="42">
        <v>0</v>
      </c>
      <c r="AH319" s="42">
        <v>1610</v>
      </c>
      <c r="AI319" s="45">
        <v>0</v>
      </c>
      <c r="AJ319" s="43">
        <v>2496295</v>
      </c>
      <c r="AK319" s="42">
        <v>2350446</v>
      </c>
      <c r="AL319" s="43">
        <v>3403080</v>
      </c>
      <c r="AM319" s="42">
        <v>23151</v>
      </c>
      <c r="AN319" s="42"/>
      <c r="AO319" s="53">
        <v>12360540781</v>
      </c>
      <c r="AP319" s="46"/>
    </row>
    <row r="320" spans="1:42" s="40" customFormat="1" ht="10.5" customHeight="1">
      <c r="A320" s="40">
        <f t="shared" si="4"/>
        <v>2008</v>
      </c>
      <c r="B320" s="40" t="s">
        <v>73</v>
      </c>
      <c r="C320" s="41">
        <v>39569</v>
      </c>
      <c r="D320" s="42">
        <v>961806831</v>
      </c>
      <c r="E320" s="42">
        <v>78142647</v>
      </c>
      <c r="F320" s="42">
        <v>135013261</v>
      </c>
      <c r="G320" s="42">
        <v>1060879022</v>
      </c>
      <c r="H320" s="42">
        <v>81630112</v>
      </c>
      <c r="I320" s="42">
        <v>0</v>
      </c>
      <c r="J320" s="43">
        <v>8581546</v>
      </c>
      <c r="K320" s="61">
        <v>479203088</v>
      </c>
      <c r="L320" s="60">
        <v>2697</v>
      </c>
      <c r="M320" s="52"/>
      <c r="N320" s="43">
        <v>21400994</v>
      </c>
      <c r="O320" s="43">
        <v>58436899</v>
      </c>
      <c r="P320" s="44">
        <v>119590637</v>
      </c>
      <c r="Q320" s="52"/>
      <c r="R320" s="42">
        <v>5493822382</v>
      </c>
      <c r="S320" s="43">
        <v>47770267</v>
      </c>
      <c r="T320" s="43">
        <v>894952474</v>
      </c>
      <c r="U320" s="43">
        <v>9238341</v>
      </c>
      <c r="V320" s="43">
        <v>24853709</v>
      </c>
      <c r="W320" s="42">
        <v>29204184</v>
      </c>
      <c r="X320" s="42">
        <v>33895528</v>
      </c>
      <c r="Y320" s="43">
        <v>164556998</v>
      </c>
      <c r="Z320" s="53">
        <v>1940726</v>
      </c>
      <c r="AA320" s="42">
        <v>432899</v>
      </c>
      <c r="AB320" s="43">
        <v>710542</v>
      </c>
      <c r="AC320" s="42">
        <v>33266</v>
      </c>
      <c r="AD320" s="43">
        <v>0</v>
      </c>
      <c r="AE320" s="42">
        <v>0</v>
      </c>
      <c r="AF320" s="42">
        <v>0</v>
      </c>
      <c r="AG320" s="42">
        <v>0</v>
      </c>
      <c r="AH320" s="42">
        <v>0</v>
      </c>
      <c r="AI320" s="45">
        <v>0</v>
      </c>
      <c r="AJ320" s="43">
        <v>4457095</v>
      </c>
      <c r="AK320" s="42">
        <v>1015124</v>
      </c>
      <c r="AL320" s="43">
        <v>545180</v>
      </c>
      <c r="AM320" s="42">
        <v>0</v>
      </c>
      <c r="AN320" s="42"/>
      <c r="AO320" s="53">
        <v>9688828128</v>
      </c>
      <c r="AP320" s="46"/>
    </row>
    <row r="321" spans="1:42" s="40" customFormat="1" ht="10.5" customHeight="1">
      <c r="A321" s="40">
        <f t="shared" si="4"/>
        <v>2008</v>
      </c>
      <c r="B321" s="40" t="s">
        <v>39</v>
      </c>
      <c r="C321" s="41">
        <v>39600</v>
      </c>
      <c r="D321" s="42">
        <v>882142494</v>
      </c>
      <c r="E321" s="42">
        <v>82131375</v>
      </c>
      <c r="F321" s="42">
        <v>126784853</v>
      </c>
      <c r="G321" s="42">
        <v>940841453</v>
      </c>
      <c r="H321" s="42">
        <v>75227005</v>
      </c>
      <c r="I321" s="42">
        <v>0</v>
      </c>
      <c r="J321" s="43">
        <v>7968412</v>
      </c>
      <c r="K321" s="61">
        <v>480366670</v>
      </c>
      <c r="L321" s="60">
        <v>14901</v>
      </c>
      <c r="M321" s="52"/>
      <c r="N321" s="43">
        <v>21453683</v>
      </c>
      <c r="O321" s="43">
        <v>2990022</v>
      </c>
      <c r="P321" s="44">
        <v>98016425</v>
      </c>
      <c r="Q321" s="52"/>
      <c r="R321" s="42">
        <v>5274824197</v>
      </c>
      <c r="S321" s="43">
        <v>49741540</v>
      </c>
      <c r="T321" s="43">
        <v>782782651</v>
      </c>
      <c r="U321" s="43">
        <v>11810101</v>
      </c>
      <c r="V321" s="43">
        <v>23094801</v>
      </c>
      <c r="W321" s="42">
        <v>30149273</v>
      </c>
      <c r="X321" s="42">
        <v>36403640</v>
      </c>
      <c r="Y321" s="43">
        <v>172380917</v>
      </c>
      <c r="Z321" s="53">
        <v>2043184</v>
      </c>
      <c r="AA321" s="42">
        <v>2031550</v>
      </c>
      <c r="AB321" s="43">
        <v>2466429</v>
      </c>
      <c r="AC321" s="42">
        <v>0</v>
      </c>
      <c r="AD321" s="43">
        <v>0</v>
      </c>
      <c r="AE321" s="42">
        <v>0</v>
      </c>
      <c r="AF321" s="42">
        <v>0</v>
      </c>
      <c r="AG321" s="42">
        <v>0</v>
      </c>
      <c r="AH321" s="42">
        <v>1900</v>
      </c>
      <c r="AI321" s="45">
        <v>0</v>
      </c>
      <c r="AJ321" s="43">
        <v>1265034</v>
      </c>
      <c r="AK321" s="42">
        <v>646000</v>
      </c>
      <c r="AL321" s="43">
        <v>1632809</v>
      </c>
      <c r="AM321" s="42">
        <v>51883</v>
      </c>
      <c r="AN321" s="42"/>
      <c r="AO321" s="53">
        <v>9086868750</v>
      </c>
      <c r="AP321" s="46"/>
    </row>
    <row r="322" spans="1:42" s="40" customFormat="1" ht="10.5" customHeight="1">
      <c r="A322" s="40">
        <f t="shared" si="4"/>
        <v>2008</v>
      </c>
      <c r="B322" s="40" t="s">
        <v>40</v>
      </c>
      <c r="C322" s="41">
        <v>39630</v>
      </c>
      <c r="D322" s="42">
        <v>958668740</v>
      </c>
      <c r="E322" s="42">
        <v>72122239</v>
      </c>
      <c r="F322" s="42">
        <v>145501214</v>
      </c>
      <c r="G322" s="42">
        <v>1596752586</v>
      </c>
      <c r="H322" s="42">
        <v>84016448</v>
      </c>
      <c r="I322" s="42">
        <v>12127750</v>
      </c>
      <c r="J322" s="43">
        <v>11498700</v>
      </c>
      <c r="K322" s="61">
        <v>503633908</v>
      </c>
      <c r="L322" s="60">
        <v>10148</v>
      </c>
      <c r="M322" s="52"/>
      <c r="N322" s="43">
        <v>22167227</v>
      </c>
      <c r="O322" s="43">
        <v>3022223</v>
      </c>
      <c r="P322" s="44">
        <v>107515476</v>
      </c>
      <c r="Q322" s="52"/>
      <c r="R322" s="42">
        <v>5886577057</v>
      </c>
      <c r="S322" s="43">
        <v>48305168</v>
      </c>
      <c r="T322" s="43">
        <v>813438896</v>
      </c>
      <c r="U322" s="43">
        <v>14416782</v>
      </c>
      <c r="V322" s="43">
        <v>36743249</v>
      </c>
      <c r="W322" s="42">
        <v>28355219</v>
      </c>
      <c r="X322" s="42">
        <v>33928329</v>
      </c>
      <c r="Y322" s="43">
        <v>95636987</v>
      </c>
      <c r="Z322" s="53">
        <v>2136173</v>
      </c>
      <c r="AA322" s="42">
        <v>2178355</v>
      </c>
      <c r="AB322" s="43">
        <v>12519881</v>
      </c>
      <c r="AC322" s="42">
        <v>934</v>
      </c>
      <c r="AD322" s="43">
        <v>0</v>
      </c>
      <c r="AE322" s="42">
        <v>0</v>
      </c>
      <c r="AF322" s="42">
        <v>0</v>
      </c>
      <c r="AG322" s="42">
        <v>0</v>
      </c>
      <c r="AH322" s="42">
        <v>0</v>
      </c>
      <c r="AI322" s="45">
        <v>0</v>
      </c>
      <c r="AJ322" s="43">
        <v>136155</v>
      </c>
      <c r="AK322" s="42">
        <v>41864</v>
      </c>
      <c r="AL322" s="43">
        <v>44269</v>
      </c>
      <c r="AM322" s="42">
        <v>28538</v>
      </c>
      <c r="AN322" s="42"/>
      <c r="AO322" s="53">
        <v>10482176344</v>
      </c>
      <c r="AP322" s="46"/>
    </row>
    <row r="323" spans="1:42" s="40" customFormat="1" ht="10.5" customHeight="1">
      <c r="A323" s="40">
        <f t="shared" si="4"/>
        <v>2008</v>
      </c>
      <c r="B323" s="40" t="s">
        <v>41</v>
      </c>
      <c r="C323" s="41">
        <v>39661</v>
      </c>
      <c r="D323" s="42">
        <v>999302999</v>
      </c>
      <c r="E323" s="42">
        <v>67219970</v>
      </c>
      <c r="F323" s="42">
        <v>165210883</v>
      </c>
      <c r="G323" s="42">
        <v>851862395</v>
      </c>
      <c r="H323" s="42">
        <v>97703715</v>
      </c>
      <c r="I323" s="42">
        <v>24054706</v>
      </c>
      <c r="J323" s="43">
        <v>6966336</v>
      </c>
      <c r="K323" s="61">
        <v>520403130</v>
      </c>
      <c r="L323" s="60">
        <v>311526</v>
      </c>
      <c r="M323" s="52"/>
      <c r="N323" s="43">
        <v>24003211</v>
      </c>
      <c r="O323" s="43">
        <v>5976458</v>
      </c>
      <c r="P323" s="44">
        <v>100016856</v>
      </c>
      <c r="Q323" s="52"/>
      <c r="R323" s="42">
        <v>5465472080</v>
      </c>
      <c r="S323" s="43">
        <v>45628559</v>
      </c>
      <c r="T323" s="43">
        <v>830006720</v>
      </c>
      <c r="U323" s="43">
        <v>8018535</v>
      </c>
      <c r="V323" s="43">
        <v>22706804</v>
      </c>
      <c r="W323" s="42">
        <v>32925707</v>
      </c>
      <c r="X323" s="42">
        <v>26640999</v>
      </c>
      <c r="Y323" s="43">
        <v>105131809</v>
      </c>
      <c r="Z323" s="53">
        <v>1705610</v>
      </c>
      <c r="AA323" s="42">
        <v>1209817</v>
      </c>
      <c r="AB323" s="43">
        <v>18367642</v>
      </c>
      <c r="AC323" s="42">
        <v>1881</v>
      </c>
      <c r="AD323" s="43">
        <v>406</v>
      </c>
      <c r="AE323" s="42">
        <v>0</v>
      </c>
      <c r="AF323" s="42">
        <v>0</v>
      </c>
      <c r="AG323" s="42">
        <v>0</v>
      </c>
      <c r="AH323" s="42">
        <v>3401</v>
      </c>
      <c r="AI323" s="45">
        <v>170</v>
      </c>
      <c r="AJ323" s="43">
        <v>5366808</v>
      </c>
      <c r="AK323" s="42">
        <v>998452</v>
      </c>
      <c r="AL323" s="43">
        <v>446917</v>
      </c>
      <c r="AM323" s="42">
        <v>20580</v>
      </c>
      <c r="AN323" s="42"/>
      <c r="AO323" s="53">
        <v>9402870931</v>
      </c>
      <c r="AP323" s="46"/>
    </row>
    <row r="324" spans="1:42" s="40" customFormat="1" ht="10.5" customHeight="1">
      <c r="A324" s="40">
        <f t="shared" si="4"/>
        <v>2008</v>
      </c>
      <c r="B324" s="40" t="s">
        <v>42</v>
      </c>
      <c r="C324" s="41">
        <v>39692</v>
      </c>
      <c r="D324" s="42">
        <v>982568171</v>
      </c>
      <c r="E324" s="42">
        <v>69021014</v>
      </c>
      <c r="F324" s="42">
        <v>155324308</v>
      </c>
      <c r="G324" s="42">
        <v>1046212547</v>
      </c>
      <c r="H324" s="42">
        <v>68014243</v>
      </c>
      <c r="I324" s="42">
        <v>137087049</v>
      </c>
      <c r="J324" s="43">
        <v>15842522</v>
      </c>
      <c r="K324" s="61">
        <v>538201943</v>
      </c>
      <c r="L324" s="60">
        <v>90024</v>
      </c>
      <c r="M324" s="52"/>
      <c r="N324" s="43">
        <v>23875779</v>
      </c>
      <c r="O324" s="43">
        <v>48439231</v>
      </c>
      <c r="P324" s="44">
        <v>105888196</v>
      </c>
      <c r="Q324" s="52"/>
      <c r="R324" s="42">
        <v>5876825742</v>
      </c>
      <c r="S324" s="43">
        <v>47298751</v>
      </c>
      <c r="T324" s="43">
        <v>891358371</v>
      </c>
      <c r="U324" s="43">
        <v>6079556</v>
      </c>
      <c r="V324" s="43">
        <v>16500310</v>
      </c>
      <c r="W324" s="42">
        <v>34477815</v>
      </c>
      <c r="X324" s="42">
        <v>24219285</v>
      </c>
      <c r="Y324" s="43">
        <v>100317275</v>
      </c>
      <c r="Z324" s="53">
        <v>2608751</v>
      </c>
      <c r="AA324" s="42">
        <v>1173335</v>
      </c>
      <c r="AB324" s="43">
        <v>20523883</v>
      </c>
      <c r="AC324" s="42">
        <v>4488</v>
      </c>
      <c r="AD324" s="43">
        <v>1600</v>
      </c>
      <c r="AE324" s="42">
        <v>450</v>
      </c>
      <c r="AF324" s="42">
        <v>0</v>
      </c>
      <c r="AG324" s="42">
        <v>0</v>
      </c>
      <c r="AH324" s="42">
        <v>66556</v>
      </c>
      <c r="AI324" s="45">
        <v>402</v>
      </c>
      <c r="AJ324" s="43">
        <v>298165</v>
      </c>
      <c r="AK324" s="42">
        <v>80643</v>
      </c>
      <c r="AL324" s="43">
        <v>5607</v>
      </c>
      <c r="AM324" s="42">
        <v>31096</v>
      </c>
      <c r="AN324" s="42"/>
      <c r="AO324" s="53">
        <v>10193584369</v>
      </c>
      <c r="AP324" s="46"/>
    </row>
    <row r="325" spans="1:42" s="40" customFormat="1" ht="10.5" customHeight="1">
      <c r="A325" s="40">
        <f t="shared" ref="A325:A336" si="5">YEAR(C325)</f>
        <v>2008</v>
      </c>
      <c r="B325" s="40" t="s">
        <v>43</v>
      </c>
      <c r="C325" s="41">
        <v>39722</v>
      </c>
      <c r="D325" s="42">
        <v>1466305214</v>
      </c>
      <c r="E325" s="42">
        <v>98303053</v>
      </c>
      <c r="F325" s="42">
        <v>149813278</v>
      </c>
      <c r="G325" s="42">
        <v>896612911</v>
      </c>
      <c r="H325" s="42">
        <v>76266386</v>
      </c>
      <c r="I325" s="42">
        <v>121856574</v>
      </c>
      <c r="J325" s="43">
        <v>9546387</v>
      </c>
      <c r="K325" s="61">
        <v>585548397</v>
      </c>
      <c r="L325" s="60">
        <v>4867424</v>
      </c>
      <c r="M325" s="52"/>
      <c r="N325" s="43">
        <v>24770931</v>
      </c>
      <c r="O325" s="43">
        <v>71247123</v>
      </c>
      <c r="P325" s="44">
        <v>117170072</v>
      </c>
      <c r="Q325" s="52"/>
      <c r="R325" s="42">
        <v>6344870723</v>
      </c>
      <c r="S325" s="43">
        <v>47993620</v>
      </c>
      <c r="T325" s="43">
        <v>998469906</v>
      </c>
      <c r="U325" s="43">
        <v>12969477</v>
      </c>
      <c r="V325" s="43">
        <v>30570708</v>
      </c>
      <c r="W325" s="42">
        <v>28623592</v>
      </c>
      <c r="X325" s="42">
        <v>26403626</v>
      </c>
      <c r="Y325" s="43">
        <v>103330346</v>
      </c>
      <c r="Z325" s="53">
        <v>2243004</v>
      </c>
      <c r="AA325" s="42">
        <v>2578325</v>
      </c>
      <c r="AB325" s="43">
        <v>9680936</v>
      </c>
      <c r="AC325" s="42">
        <v>0</v>
      </c>
      <c r="AD325" s="43">
        <v>0</v>
      </c>
      <c r="AE325" s="42">
        <v>0</v>
      </c>
      <c r="AF325" s="42">
        <v>0</v>
      </c>
      <c r="AG325" s="42">
        <v>0</v>
      </c>
      <c r="AH325" s="42">
        <v>0</v>
      </c>
      <c r="AI325" s="45">
        <v>0</v>
      </c>
      <c r="AJ325" s="43">
        <v>150510</v>
      </c>
      <c r="AK325" s="42">
        <v>113175</v>
      </c>
      <c r="AL325" s="43">
        <v>139772</v>
      </c>
      <c r="AM325" s="42">
        <v>31577</v>
      </c>
      <c r="AN325" s="42"/>
      <c r="AO325" s="53">
        <v>11213356445</v>
      </c>
      <c r="AP325" s="46"/>
    </row>
    <row r="326" spans="1:42" s="40" customFormat="1" ht="11.25" customHeight="1">
      <c r="A326" s="40">
        <f t="shared" si="5"/>
        <v>2008</v>
      </c>
      <c r="B326" s="40" t="s">
        <v>44</v>
      </c>
      <c r="C326" s="41">
        <v>39753</v>
      </c>
      <c r="D326" s="42">
        <v>1544475737</v>
      </c>
      <c r="E326" s="42">
        <v>66524632</v>
      </c>
      <c r="F326" s="42">
        <v>160642286</v>
      </c>
      <c r="G326" s="42">
        <v>767542029</v>
      </c>
      <c r="H326" s="42">
        <v>81878174</v>
      </c>
      <c r="I326" s="42">
        <v>211409675</v>
      </c>
      <c r="J326" s="43">
        <v>8602488</v>
      </c>
      <c r="K326" s="61">
        <v>547322609</v>
      </c>
      <c r="L326" s="60">
        <v>42586998</v>
      </c>
      <c r="M326" s="52"/>
      <c r="N326" s="43">
        <v>21998337</v>
      </c>
      <c r="O326" s="43">
        <v>3509046</v>
      </c>
      <c r="P326" s="44">
        <v>92020979</v>
      </c>
      <c r="Q326" s="52"/>
      <c r="R326" s="42">
        <v>5969770626</v>
      </c>
      <c r="S326" s="43">
        <v>45941787</v>
      </c>
      <c r="T326" s="43">
        <v>946481354</v>
      </c>
      <c r="U326" s="43">
        <v>8508236</v>
      </c>
      <c r="V326" s="43">
        <v>22778765</v>
      </c>
      <c r="W326" s="42">
        <v>33269044</v>
      </c>
      <c r="X326" s="42">
        <v>22222900</v>
      </c>
      <c r="Y326" s="43">
        <v>98886597</v>
      </c>
      <c r="Z326" s="53">
        <v>2925343</v>
      </c>
      <c r="AA326" s="42">
        <v>1830075</v>
      </c>
      <c r="AB326" s="43">
        <v>-4141923</v>
      </c>
      <c r="AC326" s="42">
        <v>0</v>
      </c>
      <c r="AD326" s="43">
        <v>0</v>
      </c>
      <c r="AE326" s="42">
        <v>0</v>
      </c>
      <c r="AF326" s="42">
        <v>43520</v>
      </c>
      <c r="AG326" s="42">
        <v>0</v>
      </c>
      <c r="AH326" s="42">
        <v>3711</v>
      </c>
      <c r="AI326" s="45">
        <v>0</v>
      </c>
      <c r="AJ326" s="43">
        <v>3127042</v>
      </c>
      <c r="AK326" s="42">
        <v>402638</v>
      </c>
      <c r="AL326" s="43">
        <v>95165</v>
      </c>
      <c r="AM326" s="42">
        <v>0</v>
      </c>
      <c r="AN326" s="42"/>
      <c r="AO326" s="53">
        <v>10676578324</v>
      </c>
      <c r="AP326" s="46"/>
    </row>
    <row r="327" spans="1:42" s="40" customFormat="1" ht="10.5" customHeight="1">
      <c r="A327" s="40">
        <f t="shared" si="5"/>
        <v>2008</v>
      </c>
      <c r="B327" s="40" t="s">
        <v>45</v>
      </c>
      <c r="C327" s="41">
        <v>39783</v>
      </c>
      <c r="D327" s="42">
        <v>1080248913</v>
      </c>
      <c r="E327" s="42">
        <v>57490067</v>
      </c>
      <c r="F327" s="42">
        <v>187269934</v>
      </c>
      <c r="G327" s="42">
        <v>1166934495</v>
      </c>
      <c r="H327" s="42">
        <v>108585600</v>
      </c>
      <c r="I327" s="42">
        <v>153158728</v>
      </c>
      <c r="J327" s="43">
        <v>19281935</v>
      </c>
      <c r="K327" s="61">
        <v>678195877</v>
      </c>
      <c r="L327" s="60">
        <v>5839735</v>
      </c>
      <c r="M327" s="52"/>
      <c r="N327" s="43">
        <v>22047087</v>
      </c>
      <c r="O327" s="43">
        <v>114512674</v>
      </c>
      <c r="P327" s="44">
        <v>108688227</v>
      </c>
      <c r="Q327" s="52"/>
      <c r="R327" s="42">
        <v>5848007670</v>
      </c>
      <c r="S327" s="43">
        <v>45243817</v>
      </c>
      <c r="T327" s="43">
        <v>1074292520</v>
      </c>
      <c r="U327" s="43">
        <v>13606032</v>
      </c>
      <c r="V327" s="43">
        <v>33734256</v>
      </c>
      <c r="W327" s="42">
        <v>30177444</v>
      </c>
      <c r="X327" s="42">
        <v>28517251</v>
      </c>
      <c r="Y327" s="43">
        <v>-163274447</v>
      </c>
      <c r="Z327" s="53">
        <v>1684855</v>
      </c>
      <c r="AA327" s="42">
        <v>982015</v>
      </c>
      <c r="AB327" s="43">
        <v>7387122</v>
      </c>
      <c r="AC327" s="42">
        <v>110</v>
      </c>
      <c r="AD327" s="43">
        <v>0</v>
      </c>
      <c r="AE327" s="42">
        <v>16005131</v>
      </c>
      <c r="AF327" s="42">
        <v>0</v>
      </c>
      <c r="AG327" s="42">
        <v>0</v>
      </c>
      <c r="AH327" s="42">
        <v>0</v>
      </c>
      <c r="AI327" s="45">
        <v>0</v>
      </c>
      <c r="AJ327" s="43">
        <v>-8193671</v>
      </c>
      <c r="AK327" s="42">
        <v>934864</v>
      </c>
      <c r="AL327" s="43">
        <v>195152</v>
      </c>
      <c r="AM327" s="42">
        <v>0</v>
      </c>
      <c r="AN327" s="42"/>
      <c r="AO327" s="53">
        <v>10626708369</v>
      </c>
      <c r="AP327" s="46"/>
    </row>
    <row r="328" spans="1:42" ht="10.5" customHeight="1">
      <c r="A328" s="6">
        <f t="shared" si="5"/>
        <v>2009</v>
      </c>
      <c r="B328" s="6" t="s">
        <v>34</v>
      </c>
      <c r="C328" s="4">
        <v>39814</v>
      </c>
      <c r="D328" s="5">
        <v>1027339090</v>
      </c>
      <c r="E328" s="5">
        <v>67755353</v>
      </c>
      <c r="F328" s="5">
        <v>167036338</v>
      </c>
      <c r="G328" s="5">
        <v>1419273262</v>
      </c>
      <c r="H328" s="5">
        <v>266500977</v>
      </c>
      <c r="I328" s="5">
        <v>159211282</v>
      </c>
      <c r="J328" s="9">
        <v>11382924</v>
      </c>
      <c r="K328" s="61">
        <v>551008640</v>
      </c>
      <c r="L328" s="60">
        <v>9394206</v>
      </c>
      <c r="M328" s="28"/>
      <c r="N328" s="9">
        <v>24695200</v>
      </c>
      <c r="O328" s="9">
        <v>1909078</v>
      </c>
      <c r="P328" s="16">
        <v>69240094</v>
      </c>
      <c r="Q328" s="28"/>
      <c r="R328" s="5">
        <v>6402902869</v>
      </c>
      <c r="S328" s="9">
        <v>50066942</v>
      </c>
      <c r="T328" s="9">
        <v>1222894674</v>
      </c>
      <c r="U328" s="9">
        <v>8198150</v>
      </c>
      <c r="V328" s="9">
        <v>19066053</v>
      </c>
      <c r="W328" s="5">
        <v>39677863</v>
      </c>
      <c r="X328" s="5">
        <v>24943557</v>
      </c>
      <c r="Y328" s="9">
        <v>385813773</v>
      </c>
      <c r="Z328" s="49">
        <v>2360177</v>
      </c>
      <c r="AA328" s="5">
        <v>1103197</v>
      </c>
      <c r="AB328" s="9">
        <v>3537696</v>
      </c>
      <c r="AC328" s="5">
        <v>0</v>
      </c>
      <c r="AD328" s="9">
        <v>193656</v>
      </c>
      <c r="AE328" s="5">
        <v>0</v>
      </c>
      <c r="AF328" s="5">
        <v>0</v>
      </c>
      <c r="AG328" s="5">
        <v>0</v>
      </c>
      <c r="AH328" s="5">
        <v>0</v>
      </c>
      <c r="AI328" s="15">
        <v>0</v>
      </c>
      <c r="AJ328" s="9">
        <v>683280</v>
      </c>
      <c r="AK328" s="5">
        <v>71499</v>
      </c>
      <c r="AL328" s="9">
        <v>113864</v>
      </c>
      <c r="AM328" s="5">
        <v>31924</v>
      </c>
      <c r="AN328" s="5"/>
      <c r="AO328" s="49">
        <v>11899164809</v>
      </c>
      <c r="AP328" s="27"/>
    </row>
    <row r="329" spans="1:42" ht="10.5" customHeight="1">
      <c r="A329" s="6">
        <f t="shared" si="5"/>
        <v>2009</v>
      </c>
      <c r="B329" s="6" t="s">
        <v>35</v>
      </c>
      <c r="C329" s="4">
        <v>39845</v>
      </c>
      <c r="D329" s="5">
        <v>1526259611</v>
      </c>
      <c r="E329" s="5">
        <v>60011173</v>
      </c>
      <c r="F329" s="5">
        <v>126776539</v>
      </c>
      <c r="G329" s="5">
        <v>893966209</v>
      </c>
      <c r="H329" s="5">
        <v>100614631</v>
      </c>
      <c r="I329" s="5">
        <v>156379873</v>
      </c>
      <c r="J329" s="9">
        <v>13910752</v>
      </c>
      <c r="K329" s="61">
        <v>543586680</v>
      </c>
      <c r="L329" s="60">
        <v>1166560</v>
      </c>
      <c r="M329" s="28"/>
      <c r="N329" s="9">
        <v>24972900</v>
      </c>
      <c r="O329" s="9">
        <v>3351409</v>
      </c>
      <c r="P329" s="16">
        <v>50858665</v>
      </c>
      <c r="Q329" s="28"/>
      <c r="R329" s="5">
        <v>5086074518</v>
      </c>
      <c r="S329" s="9">
        <v>47569689.350000001</v>
      </c>
      <c r="T329" s="9">
        <v>1037604813</v>
      </c>
      <c r="U329" s="9">
        <v>9246207</v>
      </c>
      <c r="V329" s="9">
        <v>20428763</v>
      </c>
      <c r="W329" s="5">
        <v>34409771</v>
      </c>
      <c r="X329" s="5">
        <v>27235883</v>
      </c>
      <c r="Y329" s="9">
        <v>75794113</v>
      </c>
      <c r="Z329" s="49">
        <v>2887481</v>
      </c>
      <c r="AA329" s="5">
        <v>2570423</v>
      </c>
      <c r="AB329" s="9">
        <v>549717</v>
      </c>
      <c r="AC329" s="5">
        <v>0</v>
      </c>
      <c r="AD329" s="9">
        <v>0</v>
      </c>
      <c r="AE329" s="28"/>
      <c r="AF329" s="5">
        <v>0</v>
      </c>
      <c r="AG329" s="5">
        <v>0</v>
      </c>
      <c r="AH329" s="5">
        <v>0</v>
      </c>
      <c r="AI329" s="15">
        <v>0</v>
      </c>
      <c r="AJ329" s="9">
        <v>380571</v>
      </c>
      <c r="AK329" s="5">
        <v>188864</v>
      </c>
      <c r="AL329" s="9">
        <v>9654</v>
      </c>
      <c r="AM329" s="5">
        <v>32707</v>
      </c>
      <c r="AN329" s="5"/>
      <c r="AO329" s="49">
        <v>9820448862</v>
      </c>
      <c r="AP329" s="27"/>
    </row>
    <row r="330" spans="1:42" ht="10.5" customHeight="1">
      <c r="A330" s="6">
        <f t="shared" si="5"/>
        <v>2009</v>
      </c>
      <c r="B330" s="6" t="s">
        <v>36</v>
      </c>
      <c r="C330" s="4">
        <v>39873</v>
      </c>
      <c r="D330" s="5">
        <v>1507102349</v>
      </c>
      <c r="E330" s="5">
        <v>53692025</v>
      </c>
      <c r="F330" s="5">
        <v>132831446</v>
      </c>
      <c r="G330" s="5">
        <v>1155751925</v>
      </c>
      <c r="H330" s="5">
        <v>87425127</v>
      </c>
      <c r="I330" s="5">
        <v>157812339</v>
      </c>
      <c r="J330" s="9">
        <v>15333713</v>
      </c>
      <c r="K330" s="61">
        <v>847128833</v>
      </c>
      <c r="L330" s="60">
        <v>18461063</v>
      </c>
      <c r="M330" s="28"/>
      <c r="N330" s="9">
        <v>22529644</v>
      </c>
      <c r="O330" s="9">
        <v>7414896</v>
      </c>
      <c r="P330" s="16">
        <v>67036392</v>
      </c>
      <c r="Q330" s="28"/>
      <c r="R330" s="5">
        <v>6031240597</v>
      </c>
      <c r="S330" s="9">
        <v>50637202</v>
      </c>
      <c r="T330" s="9">
        <v>1227895683</v>
      </c>
      <c r="U330" s="9">
        <v>6848914</v>
      </c>
      <c r="V330" s="9">
        <v>22636691</v>
      </c>
      <c r="W330" s="5">
        <v>32589249</v>
      </c>
      <c r="X330" s="5">
        <v>25696249</v>
      </c>
      <c r="Y330" s="9">
        <v>391501396</v>
      </c>
      <c r="Z330" s="49">
        <v>2182136</v>
      </c>
      <c r="AA330" s="5">
        <v>788661</v>
      </c>
      <c r="AB330" s="9">
        <v>389171</v>
      </c>
      <c r="AC330" s="5">
        <v>5138</v>
      </c>
      <c r="AD330" s="9">
        <v>7334</v>
      </c>
      <c r="AE330" s="28"/>
      <c r="AF330" s="5">
        <v>0</v>
      </c>
      <c r="AG330" s="5">
        <v>0</v>
      </c>
      <c r="AH330" s="5">
        <v>10470</v>
      </c>
      <c r="AI330" s="15">
        <v>0</v>
      </c>
      <c r="AJ330" s="9">
        <v>347646</v>
      </c>
      <c r="AK330" s="5">
        <v>77483</v>
      </c>
      <c r="AL330" s="9">
        <v>1641941</v>
      </c>
      <c r="AM330" s="5">
        <v>85721</v>
      </c>
      <c r="AN330" s="5"/>
      <c r="AO330" s="49">
        <v>11844128619</v>
      </c>
      <c r="AP330" s="27"/>
    </row>
    <row r="331" spans="1:42" ht="10.5" customHeight="1">
      <c r="A331" s="6">
        <f t="shared" si="5"/>
        <v>2009</v>
      </c>
      <c r="B331" s="6" t="s">
        <v>37</v>
      </c>
      <c r="C331" s="4">
        <v>39904</v>
      </c>
      <c r="D331" s="5">
        <v>2261563829</v>
      </c>
      <c r="E331" s="5">
        <v>54238625</v>
      </c>
      <c r="F331" s="5">
        <v>164678148</v>
      </c>
      <c r="G331" s="5">
        <v>861087525</v>
      </c>
      <c r="H331" s="5">
        <v>113026773</v>
      </c>
      <c r="I331" s="5">
        <v>156825051</v>
      </c>
      <c r="J331" s="9">
        <v>94104170</v>
      </c>
      <c r="K331" s="61">
        <v>826987158</v>
      </c>
      <c r="L331" s="60">
        <v>1810360</v>
      </c>
      <c r="M331" s="28"/>
      <c r="N331" s="9">
        <v>23035178</v>
      </c>
      <c r="O331" s="9">
        <v>74072874</v>
      </c>
      <c r="P331" s="16">
        <v>62879294</v>
      </c>
      <c r="Q331" s="28"/>
      <c r="R331" s="5">
        <v>5494621821</v>
      </c>
      <c r="S331" s="9">
        <v>47736382</v>
      </c>
      <c r="T331" s="9">
        <v>970431832</v>
      </c>
      <c r="U331" s="9">
        <v>7066916</v>
      </c>
      <c r="V331" s="9">
        <v>17270463</v>
      </c>
      <c r="W331" s="5">
        <v>42530783</v>
      </c>
      <c r="X331" s="5">
        <v>22568068</v>
      </c>
      <c r="Y331" s="9">
        <v>871972316</v>
      </c>
      <c r="Z331" s="49">
        <v>1660232</v>
      </c>
      <c r="AA331" s="5">
        <v>1804556</v>
      </c>
      <c r="AB331" s="9">
        <v>283986</v>
      </c>
      <c r="AC331" s="5">
        <v>1107</v>
      </c>
      <c r="AD331" s="9">
        <v>0</v>
      </c>
      <c r="AE331" s="28"/>
      <c r="AF331" s="5">
        <v>0</v>
      </c>
      <c r="AG331" s="5">
        <v>0</v>
      </c>
      <c r="AH331" s="5">
        <v>7796</v>
      </c>
      <c r="AI331" s="15">
        <v>0</v>
      </c>
      <c r="AJ331" s="9">
        <v>179819</v>
      </c>
      <c r="AK331" s="5">
        <v>46203</v>
      </c>
      <c r="AL331" s="9">
        <v>113681</v>
      </c>
      <c r="AM331" s="5">
        <v>0</v>
      </c>
      <c r="AN331" s="5"/>
      <c r="AO331" s="49">
        <v>12399905939</v>
      </c>
      <c r="AP331" s="27"/>
    </row>
    <row r="332" spans="1:42" ht="10.5" customHeight="1">
      <c r="A332" s="6">
        <f t="shared" si="5"/>
        <v>2009</v>
      </c>
      <c r="B332" s="6" t="s">
        <v>73</v>
      </c>
      <c r="C332" s="4">
        <v>39934</v>
      </c>
      <c r="D332" s="5">
        <v>648708267</v>
      </c>
      <c r="E332" s="5">
        <v>60227234</v>
      </c>
      <c r="F332" s="5">
        <v>164988590</v>
      </c>
      <c r="G332" s="5">
        <v>937567986</v>
      </c>
      <c r="H332" s="5">
        <v>115577836</v>
      </c>
      <c r="I332" s="5">
        <v>160569051</v>
      </c>
      <c r="J332" s="9">
        <v>9375416</v>
      </c>
      <c r="K332" s="61">
        <v>678710638</v>
      </c>
      <c r="L332" s="60">
        <v>27255209</v>
      </c>
      <c r="M332" s="28"/>
      <c r="N332" s="9">
        <v>22027605</v>
      </c>
      <c r="O332" s="9">
        <v>4913560</v>
      </c>
      <c r="P332" s="16">
        <v>69650665</v>
      </c>
      <c r="Q332" s="28"/>
      <c r="R332" s="5">
        <v>6045289261</v>
      </c>
      <c r="S332" s="9">
        <v>48506866</v>
      </c>
      <c r="T332" s="9">
        <v>1029890767</v>
      </c>
      <c r="U332" s="9">
        <v>8700747</v>
      </c>
      <c r="V332" s="9">
        <v>19826078</v>
      </c>
      <c r="W332" s="5">
        <v>39195544</v>
      </c>
      <c r="X332" s="5">
        <v>26956148</v>
      </c>
      <c r="Y332" s="9">
        <v>53109397</v>
      </c>
      <c r="Z332" s="49">
        <v>1224926</v>
      </c>
      <c r="AA332" s="5">
        <v>745723</v>
      </c>
      <c r="AB332" s="9">
        <v>4264885</v>
      </c>
      <c r="AC332" s="5">
        <v>5</v>
      </c>
      <c r="AD332" s="9">
        <v>6712</v>
      </c>
      <c r="AE332" s="28"/>
      <c r="AF332" s="5">
        <v>0</v>
      </c>
      <c r="AG332" s="5">
        <v>0</v>
      </c>
      <c r="AH332" s="5">
        <v>0</v>
      </c>
      <c r="AI332" s="15">
        <v>0</v>
      </c>
      <c r="AJ332" s="9">
        <v>141556</v>
      </c>
      <c r="AK332" s="5">
        <v>16368</v>
      </c>
      <c r="AL332" s="9">
        <v>1853754</v>
      </c>
      <c r="AM332" s="5">
        <v>45449</v>
      </c>
      <c r="AN332" s="5"/>
      <c r="AO332" s="49">
        <v>10347772972</v>
      </c>
      <c r="AP332" s="27"/>
    </row>
    <row r="333" spans="1:42" ht="10.5" customHeight="1">
      <c r="A333" s="6">
        <f t="shared" si="5"/>
        <v>2009</v>
      </c>
      <c r="B333" s="6" t="s">
        <v>39</v>
      </c>
      <c r="C333" s="4">
        <v>39965</v>
      </c>
      <c r="D333" s="5">
        <v>866021448</v>
      </c>
      <c r="E333" s="5">
        <v>62488110</v>
      </c>
      <c r="F333" s="5">
        <v>148504977</v>
      </c>
      <c r="G333" s="5">
        <v>786984122</v>
      </c>
      <c r="H333" s="5">
        <v>148106535</v>
      </c>
      <c r="I333" s="5">
        <v>174561970</v>
      </c>
      <c r="J333" s="5">
        <v>5499586</v>
      </c>
      <c r="K333" s="60">
        <v>621231753</v>
      </c>
      <c r="L333" s="60">
        <v>50684870</v>
      </c>
      <c r="M333" s="5"/>
      <c r="N333" s="9">
        <v>23389286</v>
      </c>
      <c r="O333" s="5">
        <v>3422320</v>
      </c>
      <c r="P333" s="5">
        <v>84367624</v>
      </c>
      <c r="Q333" s="5"/>
      <c r="R333" s="5">
        <v>5736557339</v>
      </c>
      <c r="S333" s="5">
        <v>48574988</v>
      </c>
      <c r="T333" s="5">
        <v>1007545223</v>
      </c>
      <c r="U333" s="9">
        <v>12422872</v>
      </c>
      <c r="V333" s="9">
        <v>29638083</v>
      </c>
      <c r="W333" s="5">
        <v>40555692</v>
      </c>
      <c r="X333" s="5">
        <v>31559187</v>
      </c>
      <c r="Y333" s="5">
        <v>123153421</v>
      </c>
      <c r="Z333" s="49">
        <v>1148873</v>
      </c>
      <c r="AA333" s="5">
        <v>1027076</v>
      </c>
      <c r="AB333" s="5">
        <v>284598</v>
      </c>
      <c r="AC333" s="5">
        <v>362</v>
      </c>
      <c r="AD333" s="5">
        <v>-22072</v>
      </c>
      <c r="AE333" s="5"/>
      <c r="AF333" s="5">
        <v>0</v>
      </c>
      <c r="AG333" s="5">
        <v>0</v>
      </c>
      <c r="AH333" s="5">
        <v>0</v>
      </c>
      <c r="AI333" s="15">
        <v>0</v>
      </c>
      <c r="AJ333" s="9">
        <v>257610</v>
      </c>
      <c r="AK333" s="5">
        <v>220070</v>
      </c>
      <c r="AL333" s="5">
        <v>5225</v>
      </c>
      <c r="AM333" s="5">
        <v>0</v>
      </c>
      <c r="AN333" s="5"/>
      <c r="AO333" s="49">
        <v>10027827057</v>
      </c>
      <c r="AP333" s="27"/>
    </row>
    <row r="334" spans="1:42" ht="10.5" customHeight="1">
      <c r="A334" s="6">
        <f t="shared" si="5"/>
        <v>2009</v>
      </c>
      <c r="B334" s="6" t="s">
        <v>40</v>
      </c>
      <c r="C334" s="4">
        <v>39995</v>
      </c>
      <c r="D334" s="5">
        <v>1324134446</v>
      </c>
      <c r="E334" s="5">
        <v>64828459</v>
      </c>
      <c r="F334" s="5">
        <v>160116121</v>
      </c>
      <c r="G334" s="5">
        <v>1367038149</v>
      </c>
      <c r="H334" s="5">
        <v>133156569</v>
      </c>
      <c r="I334" s="5">
        <v>184712325</v>
      </c>
      <c r="J334" s="5">
        <v>10316695</v>
      </c>
      <c r="K334" s="60">
        <v>667211618</v>
      </c>
      <c r="L334" s="60">
        <v>1530028</v>
      </c>
      <c r="M334" s="5"/>
      <c r="N334" s="9">
        <v>24835253</v>
      </c>
      <c r="O334" s="5">
        <v>1750070</v>
      </c>
      <c r="P334" s="5">
        <v>86375762</v>
      </c>
      <c r="Q334" s="5"/>
      <c r="R334" s="5">
        <v>6188544630</v>
      </c>
      <c r="S334" s="5">
        <v>51243516</v>
      </c>
      <c r="T334" s="5">
        <v>901265537</v>
      </c>
      <c r="U334" s="9">
        <v>13871033</v>
      </c>
      <c r="V334" s="9">
        <v>34050843</v>
      </c>
      <c r="W334" s="5">
        <v>39704445</v>
      </c>
      <c r="X334" s="5">
        <v>27091443</v>
      </c>
      <c r="Y334" s="5">
        <v>114979963</v>
      </c>
      <c r="Z334" s="49">
        <v>2069866</v>
      </c>
      <c r="AA334" s="5">
        <v>1571842</v>
      </c>
      <c r="AB334" s="5">
        <v>1080212</v>
      </c>
      <c r="AC334" s="5">
        <v>0</v>
      </c>
      <c r="AD334" s="5">
        <v>1730</v>
      </c>
      <c r="AE334" s="5"/>
      <c r="AF334" s="5">
        <v>0</v>
      </c>
      <c r="AG334" s="5">
        <v>0</v>
      </c>
      <c r="AH334" s="5">
        <v>0</v>
      </c>
      <c r="AI334" s="15">
        <v>0</v>
      </c>
      <c r="AJ334" s="9">
        <v>4025083</v>
      </c>
      <c r="AK334" s="5">
        <v>726642</v>
      </c>
      <c r="AL334" s="5">
        <v>957972</v>
      </c>
      <c r="AM334" s="5">
        <v>57327</v>
      </c>
      <c r="AN334" s="5"/>
      <c r="AO334" s="49">
        <v>11422806418</v>
      </c>
      <c r="AP334" s="27"/>
    </row>
    <row r="335" spans="1:42" ht="10.5" customHeight="1">
      <c r="A335" s="6">
        <f t="shared" si="5"/>
        <v>2009</v>
      </c>
      <c r="B335" s="6" t="s">
        <v>41</v>
      </c>
      <c r="C335" s="4">
        <v>40026</v>
      </c>
      <c r="D335" s="5">
        <v>1240887120</v>
      </c>
      <c r="E335" s="5">
        <v>66339456</v>
      </c>
      <c r="F335" s="5">
        <v>175817051</v>
      </c>
      <c r="G335" s="5">
        <v>901085264</v>
      </c>
      <c r="H335" s="5">
        <v>122621082</v>
      </c>
      <c r="I335" s="5">
        <v>178803260</v>
      </c>
      <c r="J335" s="5">
        <v>7005280</v>
      </c>
      <c r="K335" s="60">
        <v>656740016</v>
      </c>
      <c r="L335" s="60">
        <v>971985</v>
      </c>
      <c r="M335" s="5"/>
      <c r="N335" s="9">
        <v>22731437</v>
      </c>
      <c r="O335" s="5">
        <v>1984155</v>
      </c>
      <c r="P335" s="5">
        <v>86825978</v>
      </c>
      <c r="Q335" s="5"/>
      <c r="R335" s="5">
        <v>6025777266</v>
      </c>
      <c r="S335" s="5">
        <v>51497863</v>
      </c>
      <c r="T335" s="5">
        <v>947490589</v>
      </c>
      <c r="U335" s="9">
        <v>9561576</v>
      </c>
      <c r="V335" s="9">
        <v>27812283</v>
      </c>
      <c r="W335" s="5">
        <v>40337146</v>
      </c>
      <c r="X335" s="5">
        <v>25365488</v>
      </c>
      <c r="Y335" s="5">
        <v>68924518</v>
      </c>
      <c r="Z335" s="49">
        <v>1905880</v>
      </c>
      <c r="AA335" s="5">
        <v>1596792</v>
      </c>
      <c r="AB335" s="5">
        <v>521090</v>
      </c>
      <c r="AC335" s="5">
        <v>187</v>
      </c>
      <c r="AD335" s="5">
        <v>1965</v>
      </c>
      <c r="AE335" s="5"/>
      <c r="AF335" s="5">
        <v>0</v>
      </c>
      <c r="AG335" s="5">
        <v>0</v>
      </c>
      <c r="AH335" s="5">
        <v>0</v>
      </c>
      <c r="AI335" s="15">
        <v>0</v>
      </c>
      <c r="AJ335" s="9">
        <v>183733</v>
      </c>
      <c r="AK335" s="5">
        <v>55999</v>
      </c>
      <c r="AL335" s="5">
        <v>70317</v>
      </c>
      <c r="AM335" s="5">
        <v>29667</v>
      </c>
      <c r="AN335" s="5"/>
      <c r="AO335" s="49">
        <v>10647592124</v>
      </c>
      <c r="AP335" s="27"/>
    </row>
    <row r="336" spans="1:42" ht="10.5" customHeight="1">
      <c r="A336" s="6">
        <f t="shared" si="5"/>
        <v>2009</v>
      </c>
      <c r="B336" s="6" t="s">
        <v>42</v>
      </c>
      <c r="C336" s="4">
        <v>40057</v>
      </c>
      <c r="D336" s="5">
        <v>1123590600</v>
      </c>
      <c r="E336" s="5">
        <v>67925259</v>
      </c>
      <c r="F336" s="5">
        <v>171011017</v>
      </c>
      <c r="G336" s="5">
        <v>1031488693</v>
      </c>
      <c r="H336" s="5">
        <v>87010875</v>
      </c>
      <c r="I336" s="5">
        <v>179868012</v>
      </c>
      <c r="J336" s="5">
        <v>13216635</v>
      </c>
      <c r="K336" s="60">
        <v>608659823</v>
      </c>
      <c r="L336" s="60">
        <v>726856</v>
      </c>
      <c r="M336" s="5"/>
      <c r="N336" s="9">
        <v>24419891</v>
      </c>
      <c r="O336" s="5">
        <v>54436628</v>
      </c>
      <c r="P336" s="5">
        <v>96875698</v>
      </c>
      <c r="Q336" s="5"/>
      <c r="R336" s="5">
        <v>5620399846</v>
      </c>
      <c r="S336" s="5">
        <v>50708515.740000002</v>
      </c>
      <c r="T336" s="5">
        <v>1099009222</v>
      </c>
      <c r="U336" s="9">
        <v>8683816</v>
      </c>
      <c r="V336" s="9">
        <v>21306017</v>
      </c>
      <c r="W336" s="5">
        <v>40115677</v>
      </c>
      <c r="X336" s="5">
        <v>23321957</v>
      </c>
      <c r="Y336" s="5">
        <v>42098321</v>
      </c>
      <c r="Z336" s="49">
        <v>2080301</v>
      </c>
      <c r="AA336" s="5">
        <v>772540</v>
      </c>
      <c r="AB336" s="5">
        <v>180474</v>
      </c>
      <c r="AC336" s="5">
        <v>0</v>
      </c>
      <c r="AD336" s="5">
        <v>0</v>
      </c>
      <c r="AE336" s="5">
        <v>-2380</v>
      </c>
      <c r="AF336" s="49">
        <v>138427</v>
      </c>
      <c r="AG336" s="5">
        <v>0</v>
      </c>
      <c r="AH336" s="5">
        <v>0</v>
      </c>
      <c r="AI336" s="15">
        <v>0</v>
      </c>
      <c r="AJ336" s="9">
        <v>1689579</v>
      </c>
      <c r="AK336" s="5">
        <v>1687097</v>
      </c>
      <c r="AL336" s="5">
        <v>109057</v>
      </c>
      <c r="AM336" s="5"/>
      <c r="AN336" s="5"/>
      <c r="AO336" s="49">
        <v>10356808237</v>
      </c>
      <c r="AP336" s="27"/>
    </row>
    <row r="337" spans="1:42" ht="10.5" customHeight="1">
      <c r="A337" s="6">
        <f>YEAR(C337)</f>
        <v>2009</v>
      </c>
      <c r="B337" s="6" t="s">
        <v>43</v>
      </c>
      <c r="C337" s="4">
        <v>40087</v>
      </c>
      <c r="D337" s="5">
        <v>1975279526</v>
      </c>
      <c r="E337" s="5">
        <v>79201868</v>
      </c>
      <c r="F337" s="5">
        <v>159459686</v>
      </c>
      <c r="G337" s="5">
        <v>873715703</v>
      </c>
      <c r="H337" s="5">
        <v>97539120</v>
      </c>
      <c r="I337" s="5">
        <v>169853387</v>
      </c>
      <c r="J337" s="5">
        <v>9116700</v>
      </c>
      <c r="K337" s="60">
        <v>680792468</v>
      </c>
      <c r="L337" s="60">
        <v>19315863</v>
      </c>
      <c r="M337" s="5"/>
      <c r="N337" s="9">
        <v>24913030</v>
      </c>
      <c r="O337" s="5">
        <v>79089719</v>
      </c>
      <c r="P337" s="5">
        <v>105909275</v>
      </c>
      <c r="Q337" s="5"/>
      <c r="R337" s="5">
        <v>6532982110.999999</v>
      </c>
      <c r="S337" s="5">
        <v>49665576.359999999</v>
      </c>
      <c r="T337" s="5">
        <v>999967318</v>
      </c>
      <c r="U337" s="9">
        <v>20855711</v>
      </c>
      <c r="V337" s="9">
        <v>42641463</v>
      </c>
      <c r="W337" s="5">
        <v>39721334</v>
      </c>
      <c r="X337" s="5">
        <v>27127697</v>
      </c>
      <c r="Y337" s="5">
        <v>47167771</v>
      </c>
      <c r="Z337" s="49">
        <v>1870848</v>
      </c>
      <c r="AA337" s="5">
        <v>1258315</v>
      </c>
      <c r="AB337" s="5">
        <v>316774</v>
      </c>
      <c r="AC337" s="5">
        <v>0</v>
      </c>
      <c r="AD337" s="5">
        <v>0</v>
      </c>
      <c r="AE337" s="5">
        <v>0</v>
      </c>
      <c r="AF337" s="49">
        <v>0</v>
      </c>
      <c r="AG337" s="5">
        <v>0</v>
      </c>
      <c r="AH337" s="5">
        <v>0</v>
      </c>
      <c r="AI337" s="15">
        <v>0</v>
      </c>
      <c r="AJ337" s="9">
        <v>380667</v>
      </c>
      <c r="AK337" s="5">
        <v>66846</v>
      </c>
      <c r="AL337" s="5">
        <v>1941</v>
      </c>
      <c r="AM337" s="5"/>
      <c r="AN337" s="5"/>
      <c r="AO337" s="49">
        <v>12024585735</v>
      </c>
      <c r="AP337" s="27"/>
    </row>
    <row r="338" spans="1:42" ht="10.5" customHeight="1">
      <c r="A338" s="6">
        <f>YEAR(C338)</f>
        <v>2009</v>
      </c>
      <c r="B338" s="6" t="s">
        <v>44</v>
      </c>
      <c r="C338" s="4">
        <v>40118</v>
      </c>
      <c r="D338" s="5">
        <v>1366609681</v>
      </c>
      <c r="E338" s="5">
        <v>64354583</v>
      </c>
      <c r="F338" s="5">
        <v>176907810</v>
      </c>
      <c r="G338" s="5">
        <v>1097654926</v>
      </c>
      <c r="H338" s="5">
        <v>350215748</v>
      </c>
      <c r="I338" s="5">
        <v>176678895</v>
      </c>
      <c r="J338" s="5">
        <v>8553255</v>
      </c>
      <c r="K338" s="60">
        <v>631692341</v>
      </c>
      <c r="L338" s="60">
        <v>2282740</v>
      </c>
      <c r="M338" s="5"/>
      <c r="N338" s="9">
        <v>24480737</v>
      </c>
      <c r="O338" s="5">
        <v>4877921</v>
      </c>
      <c r="P338" s="5">
        <v>110503531</v>
      </c>
      <c r="Q338" s="5"/>
      <c r="R338" s="5">
        <v>6483128927.8299999</v>
      </c>
      <c r="S338" s="5">
        <v>50166574.829999998</v>
      </c>
      <c r="T338" s="5">
        <v>1095264832</v>
      </c>
      <c r="U338" s="9">
        <v>6708561</v>
      </c>
      <c r="V338" s="9">
        <v>21813994</v>
      </c>
      <c r="W338" s="5">
        <v>37415768</v>
      </c>
      <c r="X338" s="5">
        <v>28284431</v>
      </c>
      <c r="Y338" s="5">
        <v>58821172</v>
      </c>
      <c r="Z338" s="49">
        <v>2400452</v>
      </c>
      <c r="AA338" s="5">
        <v>1695244</v>
      </c>
      <c r="AB338" s="5">
        <v>261348</v>
      </c>
      <c r="AC338" s="5">
        <v>3309</v>
      </c>
      <c r="AD338" s="5">
        <v>0</v>
      </c>
      <c r="AE338" s="5">
        <v>0</v>
      </c>
      <c r="AF338" s="49">
        <v>167734</v>
      </c>
      <c r="AG338" s="5">
        <v>0</v>
      </c>
      <c r="AH338" s="5">
        <v>0</v>
      </c>
      <c r="AI338" s="15">
        <v>0</v>
      </c>
      <c r="AJ338" s="9">
        <v>510564</v>
      </c>
      <c r="AK338" s="5">
        <v>105712</v>
      </c>
      <c r="AL338" s="5">
        <v>4177255</v>
      </c>
      <c r="AM338" s="5">
        <v>34963</v>
      </c>
      <c r="AN338" s="5"/>
      <c r="AO338" s="49">
        <v>11786813287.83</v>
      </c>
      <c r="AP338" s="27"/>
    </row>
    <row r="339" spans="1:42" ht="10.5" customHeight="1">
      <c r="A339" s="6">
        <f>YEAR(C339)</f>
        <v>2009</v>
      </c>
      <c r="B339" s="6" t="s">
        <v>45</v>
      </c>
      <c r="C339" s="4">
        <v>40148</v>
      </c>
      <c r="D339" s="5">
        <v>1644642438</v>
      </c>
      <c r="E339" s="5">
        <v>66768558</v>
      </c>
      <c r="F339" s="5">
        <v>173244995</v>
      </c>
      <c r="G339" s="5">
        <v>1115467591</v>
      </c>
      <c r="H339" s="5">
        <v>162784708</v>
      </c>
      <c r="I339" s="5">
        <v>210581658</v>
      </c>
      <c r="J339" s="5">
        <v>9228040</v>
      </c>
      <c r="K339" s="60">
        <v>607469798</v>
      </c>
      <c r="L339" s="60">
        <v>1459054</v>
      </c>
      <c r="M339" s="5"/>
      <c r="N339" s="9">
        <v>23616347</v>
      </c>
      <c r="O339" s="5">
        <v>133286764</v>
      </c>
      <c r="P339" s="5">
        <v>135980278</v>
      </c>
      <c r="Q339" s="5">
        <v>0</v>
      </c>
      <c r="R339" s="5">
        <v>6317180070</v>
      </c>
      <c r="S339" s="5">
        <v>49400810.670000002</v>
      </c>
      <c r="T339" s="5">
        <v>1358491603</v>
      </c>
      <c r="U339" s="9">
        <v>6688004</v>
      </c>
      <c r="V339" s="9">
        <v>19101975</v>
      </c>
      <c r="W339" s="5">
        <v>29247533</v>
      </c>
      <c r="X339" s="5">
        <v>25098718</v>
      </c>
      <c r="Y339" s="5">
        <v>121905731</v>
      </c>
      <c r="Z339" s="49">
        <v>1446393</v>
      </c>
      <c r="AA339" s="5">
        <v>1308253</v>
      </c>
      <c r="AB339" s="5">
        <v>117313</v>
      </c>
      <c r="AC339" s="5">
        <v>0</v>
      </c>
      <c r="AD339" s="5">
        <v>0</v>
      </c>
      <c r="AE339" s="5">
        <v>0</v>
      </c>
      <c r="AF339" s="49">
        <v>0</v>
      </c>
      <c r="AG339" s="5">
        <v>0</v>
      </c>
      <c r="AH339" s="5">
        <v>2410</v>
      </c>
      <c r="AI339" s="15">
        <v>0</v>
      </c>
      <c r="AJ339" s="9">
        <v>1238276</v>
      </c>
      <c r="AK339" s="5">
        <v>224471</v>
      </c>
      <c r="AL339" s="5">
        <v>98004</v>
      </c>
      <c r="AM339" s="5">
        <v>0</v>
      </c>
      <c r="AN339" s="5"/>
      <c r="AO339" s="49">
        <v>12228092990</v>
      </c>
      <c r="AP339" s="27"/>
    </row>
    <row r="340" spans="1:42" ht="12" customHeight="1">
      <c r="A340" s="6">
        <f t="shared" ref="A340:A351" si="6">YEAR(C340)</f>
        <v>2010</v>
      </c>
      <c r="B340" s="6" t="s">
        <v>34</v>
      </c>
      <c r="C340" s="4">
        <v>40179</v>
      </c>
      <c r="D340" s="5">
        <v>1494841153</v>
      </c>
      <c r="E340" s="5">
        <v>79326495</v>
      </c>
      <c r="F340" s="5">
        <v>230108312</v>
      </c>
      <c r="G340" s="5">
        <v>1832125914</v>
      </c>
      <c r="H340" s="5">
        <v>222250373</v>
      </c>
      <c r="I340" s="5">
        <v>193671229</v>
      </c>
      <c r="J340" s="5">
        <v>8519261</v>
      </c>
      <c r="K340" s="60">
        <v>621212568</v>
      </c>
      <c r="L340" s="60">
        <v>1725914</v>
      </c>
      <c r="M340" s="5"/>
      <c r="N340" s="9">
        <v>26893187</v>
      </c>
      <c r="O340" s="5">
        <v>2407271</v>
      </c>
      <c r="P340" s="5">
        <v>91499674</v>
      </c>
      <c r="Q340" s="5">
        <v>0</v>
      </c>
      <c r="R340" s="5">
        <v>6597424866</v>
      </c>
      <c r="S340" s="5">
        <v>47118634.200000003</v>
      </c>
      <c r="T340" s="5">
        <v>1320813434</v>
      </c>
      <c r="U340" s="9">
        <v>8686307</v>
      </c>
      <c r="V340" s="9">
        <v>20365502</v>
      </c>
      <c r="W340" s="5">
        <v>26264938</v>
      </c>
      <c r="X340" s="5">
        <v>28182870</v>
      </c>
      <c r="Y340" s="5">
        <v>30917150</v>
      </c>
      <c r="Z340" s="49">
        <v>2312373</v>
      </c>
      <c r="AA340" s="5">
        <v>872056</v>
      </c>
      <c r="AB340" s="5">
        <v>129702</v>
      </c>
      <c r="AC340" s="5">
        <v>160</v>
      </c>
      <c r="AD340" s="5">
        <v>0</v>
      </c>
      <c r="AE340" s="5">
        <v>0</v>
      </c>
      <c r="AF340" s="49">
        <v>0</v>
      </c>
      <c r="AG340" s="5">
        <v>0</v>
      </c>
      <c r="AH340" s="5">
        <v>0</v>
      </c>
      <c r="AI340" s="15">
        <v>0</v>
      </c>
      <c r="AJ340" s="9">
        <v>183064</v>
      </c>
      <c r="AK340" s="5">
        <v>45300</v>
      </c>
      <c r="AL340" s="5">
        <v>78316</v>
      </c>
      <c r="AM340" s="5">
        <v>65573</v>
      </c>
      <c r="AN340" s="5"/>
      <c r="AO340" s="49">
        <v>12870617051</v>
      </c>
      <c r="AP340" s="27"/>
    </row>
    <row r="341" spans="1:42" ht="12" customHeight="1">
      <c r="A341" s="6">
        <f t="shared" si="6"/>
        <v>2010</v>
      </c>
      <c r="B341" s="6" t="s">
        <v>35</v>
      </c>
      <c r="C341" s="4">
        <v>40210</v>
      </c>
      <c r="D341" s="5">
        <v>1362719994</v>
      </c>
      <c r="E341" s="5">
        <v>67781130</v>
      </c>
      <c r="F341" s="5">
        <v>141997386</v>
      </c>
      <c r="G341" s="5">
        <v>1148510316</v>
      </c>
      <c r="H341" s="5">
        <v>93257910</v>
      </c>
      <c r="I341" s="5">
        <v>189442251</v>
      </c>
      <c r="J341" s="5">
        <v>36978451</v>
      </c>
      <c r="K341" s="60">
        <v>638486475</v>
      </c>
      <c r="L341" s="60">
        <v>847784</v>
      </c>
      <c r="M341" s="5"/>
      <c r="N341" s="9">
        <v>24925028</v>
      </c>
      <c r="O341" s="5">
        <v>4104223</v>
      </c>
      <c r="P341" s="5">
        <v>78227402</v>
      </c>
      <c r="Q341" s="5">
        <v>0</v>
      </c>
      <c r="R341" s="5">
        <v>5894105894</v>
      </c>
      <c r="S341" s="5">
        <v>47547159.170000002</v>
      </c>
      <c r="T341" s="5">
        <v>1275580903</v>
      </c>
      <c r="U341" s="9">
        <v>7139306</v>
      </c>
      <c r="V341" s="9">
        <v>19863895</v>
      </c>
      <c r="W341" s="5">
        <v>34540555</v>
      </c>
      <c r="X341" s="5">
        <v>20560059</v>
      </c>
      <c r="Y341" s="5">
        <v>31968690</v>
      </c>
      <c r="Z341" s="49">
        <v>1757310</v>
      </c>
      <c r="AA341" s="5">
        <v>131471</v>
      </c>
      <c r="AB341" s="5">
        <v>2281044</v>
      </c>
      <c r="AC341" s="5">
        <v>0</v>
      </c>
      <c r="AD341" s="5">
        <v>0</v>
      </c>
      <c r="AE341" s="5">
        <v>0</v>
      </c>
      <c r="AF341" s="49">
        <v>0</v>
      </c>
      <c r="AG341" s="9">
        <v>0</v>
      </c>
      <c r="AH341" s="5">
        <v>1629</v>
      </c>
      <c r="AI341" s="15">
        <v>0</v>
      </c>
      <c r="AJ341" s="9">
        <v>158734</v>
      </c>
      <c r="AK341" s="5">
        <v>23440</v>
      </c>
      <c r="AL341" s="5">
        <v>59025</v>
      </c>
      <c r="AM341" s="5">
        <v>0</v>
      </c>
      <c r="AN341" s="5"/>
      <c r="AO341" s="49">
        <v>11124363512</v>
      </c>
      <c r="AP341" s="27"/>
    </row>
    <row r="342" spans="1:42" ht="12" customHeight="1">
      <c r="A342" s="6">
        <f t="shared" si="6"/>
        <v>2010</v>
      </c>
      <c r="B342" s="6" t="s">
        <v>36</v>
      </c>
      <c r="C342" s="4">
        <v>40238</v>
      </c>
      <c r="D342" s="5">
        <v>2497496620</v>
      </c>
      <c r="E342" s="5">
        <v>57407806</v>
      </c>
      <c r="F342" s="5">
        <v>176722418</v>
      </c>
      <c r="G342" s="5">
        <v>1111471651</v>
      </c>
      <c r="H342" s="5">
        <v>107221321</v>
      </c>
      <c r="I342" s="5">
        <v>206644606</v>
      </c>
      <c r="J342" s="5">
        <v>20843234</v>
      </c>
      <c r="K342" s="60">
        <v>686941725</v>
      </c>
      <c r="L342" s="60">
        <v>12862031</v>
      </c>
      <c r="M342" s="5"/>
      <c r="N342" s="9">
        <v>26433983</v>
      </c>
      <c r="O342" s="5">
        <v>2270063</v>
      </c>
      <c r="P342" s="5">
        <v>121994983</v>
      </c>
      <c r="Q342" s="5">
        <v>0</v>
      </c>
      <c r="R342" s="5">
        <v>6856987606</v>
      </c>
      <c r="S342" s="5">
        <v>53842207.670000002</v>
      </c>
      <c r="T342" s="5">
        <v>1459731400</v>
      </c>
      <c r="U342" s="9">
        <v>8505050</v>
      </c>
      <c r="V342" s="9">
        <v>17912067</v>
      </c>
      <c r="W342" s="5">
        <v>33692460</v>
      </c>
      <c r="X342" s="5">
        <v>27203510</v>
      </c>
      <c r="Y342" s="5">
        <v>31987904</v>
      </c>
      <c r="Z342" s="49">
        <v>3121749</v>
      </c>
      <c r="AA342" s="5">
        <v>1625653</v>
      </c>
      <c r="AB342" s="5">
        <v>566139</v>
      </c>
      <c r="AC342" s="5">
        <v>0</v>
      </c>
      <c r="AD342" s="5">
        <v>9349</v>
      </c>
      <c r="AE342" s="5">
        <v>0</v>
      </c>
      <c r="AF342" s="49">
        <v>0</v>
      </c>
      <c r="AG342" s="9">
        <v>0</v>
      </c>
      <c r="AH342" s="5">
        <v>14888</v>
      </c>
      <c r="AI342" s="15">
        <v>0</v>
      </c>
      <c r="AJ342" s="9">
        <v>198911</v>
      </c>
      <c r="AK342" s="5">
        <v>53031</v>
      </c>
      <c r="AL342" s="5">
        <v>102855</v>
      </c>
      <c r="AM342" s="5">
        <v>31552</v>
      </c>
      <c r="AN342" s="5"/>
      <c r="AO342" s="49">
        <v>13498297008</v>
      </c>
      <c r="AP342" s="27"/>
    </row>
    <row r="343" spans="1:42" ht="12" customHeight="1">
      <c r="A343" s="6">
        <f t="shared" si="6"/>
        <v>2010</v>
      </c>
      <c r="B343" s="6" t="s">
        <v>37</v>
      </c>
      <c r="C343" s="4">
        <v>40269</v>
      </c>
      <c r="D343" s="5">
        <v>3152035406</v>
      </c>
      <c r="E343" s="5">
        <v>74484201</v>
      </c>
      <c r="F343" s="5">
        <v>151243312</v>
      </c>
      <c r="G343" s="5">
        <v>1225670750</v>
      </c>
      <c r="H343" s="5">
        <v>103028803</v>
      </c>
      <c r="I343" s="5">
        <v>188760492</v>
      </c>
      <c r="J343" s="5">
        <v>76923569</v>
      </c>
      <c r="K343" s="60">
        <v>486904311</v>
      </c>
      <c r="L343" s="60">
        <v>5186350</v>
      </c>
      <c r="M343" s="5"/>
      <c r="N343" s="9">
        <v>25888239</v>
      </c>
      <c r="O343" s="5">
        <v>61735673</v>
      </c>
      <c r="P343" s="5">
        <v>88301398</v>
      </c>
      <c r="Q343" s="5">
        <v>0</v>
      </c>
      <c r="R343" s="5">
        <v>6264692795</v>
      </c>
      <c r="S343" s="5">
        <v>48704037.729999997</v>
      </c>
      <c r="T343" s="5">
        <v>1198992011</v>
      </c>
      <c r="U343" s="9">
        <v>10805752</v>
      </c>
      <c r="V343" s="9">
        <v>24397023</v>
      </c>
      <c r="W343" s="5">
        <v>35447123</v>
      </c>
      <c r="X343" s="5">
        <v>26768127</v>
      </c>
      <c r="Y343" s="5">
        <v>30969289</v>
      </c>
      <c r="Z343" s="49">
        <v>1516487</v>
      </c>
      <c r="AA343" s="5">
        <v>515493</v>
      </c>
      <c r="AB343" s="5">
        <v>85047</v>
      </c>
      <c r="AC343" s="5">
        <v>0</v>
      </c>
      <c r="AD343" s="5">
        <v>1968</v>
      </c>
      <c r="AE343" s="5">
        <v>0</v>
      </c>
      <c r="AF343" s="49">
        <v>0</v>
      </c>
      <c r="AG343" s="9">
        <v>0</v>
      </c>
      <c r="AH343" s="5">
        <v>741</v>
      </c>
      <c r="AI343" s="15">
        <v>8</v>
      </c>
      <c r="AJ343" s="9">
        <v>106797</v>
      </c>
      <c r="AK343" s="5">
        <v>20310</v>
      </c>
      <c r="AL343" s="5">
        <v>39138</v>
      </c>
      <c r="AM343" s="5">
        <v>20942</v>
      </c>
      <c r="AN343" s="5"/>
      <c r="AO343" s="49">
        <v>13261017117</v>
      </c>
      <c r="AP343" s="27"/>
    </row>
    <row r="344" spans="1:42" ht="12" customHeight="1">
      <c r="A344" s="6">
        <f t="shared" si="6"/>
        <v>2010</v>
      </c>
      <c r="B344" s="6" t="s">
        <v>73</v>
      </c>
      <c r="C344" s="4">
        <v>40299</v>
      </c>
      <c r="D344" s="5">
        <v>1505241194</v>
      </c>
      <c r="E344" s="5">
        <v>74888357</v>
      </c>
      <c r="F344" s="5">
        <v>160393609</v>
      </c>
      <c r="G344" s="5">
        <v>1103376339</v>
      </c>
      <c r="H344" s="5">
        <v>165661613</v>
      </c>
      <c r="I344" s="5">
        <v>201658478</v>
      </c>
      <c r="J344" s="5">
        <v>9683785</v>
      </c>
      <c r="K344" s="60">
        <v>798375077</v>
      </c>
      <c r="L344" s="60">
        <v>25845294</v>
      </c>
      <c r="M344" s="5"/>
      <c r="N344" s="9">
        <v>26705407</v>
      </c>
      <c r="O344" s="5">
        <v>7609232</v>
      </c>
      <c r="P344" s="5">
        <v>104478103</v>
      </c>
      <c r="Q344" s="5">
        <v>0</v>
      </c>
      <c r="R344" s="5">
        <v>6496489425</v>
      </c>
      <c r="S344" s="5">
        <v>49574610</v>
      </c>
      <c r="T344" s="5">
        <v>1363526326</v>
      </c>
      <c r="U344" s="9">
        <v>9810235</v>
      </c>
      <c r="V344" s="9">
        <v>24703470</v>
      </c>
      <c r="W344" s="5">
        <v>27173790</v>
      </c>
      <c r="X344" s="5">
        <v>34372253</v>
      </c>
      <c r="Y344" s="5">
        <v>21529163</v>
      </c>
      <c r="Z344" s="49">
        <v>1506736</v>
      </c>
      <c r="AA344" s="5">
        <v>594947</v>
      </c>
      <c r="AB344" s="5">
        <v>98611</v>
      </c>
      <c r="AC344" s="5">
        <v>0</v>
      </c>
      <c r="AD344" s="5">
        <v>0</v>
      </c>
      <c r="AE344" s="5">
        <v>0</v>
      </c>
      <c r="AF344" s="49">
        <v>0</v>
      </c>
      <c r="AG344" s="9">
        <v>0</v>
      </c>
      <c r="AH344" s="5">
        <v>0</v>
      </c>
      <c r="AI344" s="15">
        <v>9</v>
      </c>
      <c r="AJ344" s="9">
        <v>130732</v>
      </c>
      <c r="AK344" s="5">
        <v>36459</v>
      </c>
      <c r="AL344" s="5">
        <v>53630</v>
      </c>
      <c r="AM344" s="5">
        <v>0</v>
      </c>
      <c r="AN344" s="5"/>
      <c r="AO344" s="49">
        <v>12196863669</v>
      </c>
      <c r="AP344" s="27"/>
    </row>
    <row r="345" spans="1:42" ht="12" customHeight="1">
      <c r="A345" s="6">
        <f t="shared" si="6"/>
        <v>2010</v>
      </c>
      <c r="B345" s="6" t="s">
        <v>39</v>
      </c>
      <c r="C345" s="4">
        <v>40330</v>
      </c>
      <c r="D345" s="5">
        <v>1459718318</v>
      </c>
      <c r="E345" s="5">
        <v>75545538</v>
      </c>
      <c r="F345" s="5">
        <v>224419870</v>
      </c>
      <c r="G345" s="5">
        <v>981036019</v>
      </c>
      <c r="H345" s="5">
        <v>165797442</v>
      </c>
      <c r="I345" s="5">
        <v>232916848</v>
      </c>
      <c r="J345" s="5">
        <v>6222120</v>
      </c>
      <c r="K345" s="60">
        <v>601671583</v>
      </c>
      <c r="L345" s="60">
        <v>37349086</v>
      </c>
      <c r="M345" s="5"/>
      <c r="N345" s="9">
        <v>28070649</v>
      </c>
      <c r="O345" s="5">
        <v>2907034</v>
      </c>
      <c r="P345" s="5">
        <v>124298824</v>
      </c>
      <c r="Q345" s="5">
        <v>0</v>
      </c>
      <c r="R345" s="5">
        <v>6523947374</v>
      </c>
      <c r="S345" s="5">
        <v>49789458.420000002</v>
      </c>
      <c r="T345" s="5">
        <v>1188310298</v>
      </c>
      <c r="U345" s="9">
        <v>12091424</v>
      </c>
      <c r="V345" s="9">
        <v>31270735</v>
      </c>
      <c r="W345" s="5">
        <v>32288954</v>
      </c>
      <c r="X345" s="5">
        <v>31063628</v>
      </c>
      <c r="Y345" s="5">
        <v>22348363</v>
      </c>
      <c r="Z345" s="49">
        <v>1684433</v>
      </c>
      <c r="AA345" s="5">
        <v>650757</v>
      </c>
      <c r="AB345" s="5">
        <v>177713</v>
      </c>
      <c r="AC345" s="5">
        <v>0</v>
      </c>
      <c r="AD345" s="5">
        <v>7266</v>
      </c>
      <c r="AE345" s="5">
        <v>0</v>
      </c>
      <c r="AF345" s="49">
        <v>0</v>
      </c>
      <c r="AG345" s="9">
        <v>0</v>
      </c>
      <c r="AH345" s="5">
        <v>0</v>
      </c>
      <c r="AI345" s="15">
        <v>3370794</v>
      </c>
      <c r="AJ345" s="9">
        <v>189560</v>
      </c>
      <c r="AK345" s="5">
        <v>43095</v>
      </c>
      <c r="AL345" s="5">
        <v>182286</v>
      </c>
      <c r="AM345" s="5">
        <v>24521</v>
      </c>
      <c r="AN345" s="5"/>
      <c r="AO345" s="49">
        <v>11827140966</v>
      </c>
      <c r="AP345" s="27"/>
    </row>
    <row r="346" spans="1:42" ht="12" customHeight="1">
      <c r="A346" s="6">
        <f t="shared" si="6"/>
        <v>2010</v>
      </c>
      <c r="B346" s="6" t="s">
        <v>40</v>
      </c>
      <c r="C346" s="4">
        <v>40360</v>
      </c>
      <c r="D346" s="5">
        <v>1606503069</v>
      </c>
      <c r="E346" s="5">
        <v>68904330</v>
      </c>
      <c r="F346" s="5">
        <v>197301260</v>
      </c>
      <c r="G346" s="5">
        <v>1370572008</v>
      </c>
      <c r="H346" s="5">
        <v>143429462</v>
      </c>
      <c r="I346" s="5">
        <v>204418822</v>
      </c>
      <c r="J346" s="5">
        <v>7193597</v>
      </c>
      <c r="K346" s="60">
        <v>671637352</v>
      </c>
      <c r="L346" s="60">
        <v>8069623</v>
      </c>
      <c r="M346" s="5"/>
      <c r="N346" s="9">
        <v>26942618</v>
      </c>
      <c r="O346" s="5">
        <v>2548498</v>
      </c>
      <c r="P346" s="5">
        <v>106390902</v>
      </c>
      <c r="Q346" s="5">
        <v>0</v>
      </c>
      <c r="R346" s="5">
        <v>6459113540</v>
      </c>
      <c r="S346" s="5">
        <v>48588770</v>
      </c>
      <c r="T346" s="5">
        <v>1159658414</v>
      </c>
      <c r="U346" s="9">
        <v>12701926</v>
      </c>
      <c r="V346" s="9">
        <v>28685838</v>
      </c>
      <c r="W346" s="5">
        <v>37108810</v>
      </c>
      <c r="X346" s="5">
        <v>29262419</v>
      </c>
      <c r="Y346" s="5">
        <v>30375211</v>
      </c>
      <c r="Z346" s="49">
        <v>2858557</v>
      </c>
      <c r="AA346" s="5">
        <v>88540</v>
      </c>
      <c r="AB346" s="5">
        <v>112798</v>
      </c>
      <c r="AC346" s="5">
        <v>0</v>
      </c>
      <c r="AD346" s="5">
        <v>3036</v>
      </c>
      <c r="AE346" s="5">
        <v>0</v>
      </c>
      <c r="AF346" s="49">
        <v>0</v>
      </c>
      <c r="AG346" s="9">
        <v>0</v>
      </c>
      <c r="AH346" s="5">
        <v>3030</v>
      </c>
      <c r="AI346" s="15">
        <v>12</v>
      </c>
      <c r="AJ346" s="9">
        <v>357982</v>
      </c>
      <c r="AK346" s="5">
        <v>69618</v>
      </c>
      <c r="AL346" s="5">
        <v>63744</v>
      </c>
      <c r="AM346" s="5">
        <v>30738</v>
      </c>
      <c r="AN346" s="5"/>
      <c r="AO346" s="49">
        <v>12208795300</v>
      </c>
      <c r="AP346" s="27"/>
    </row>
    <row r="347" spans="1:42" ht="12" customHeight="1">
      <c r="A347" s="6">
        <f t="shared" si="6"/>
        <v>2010</v>
      </c>
      <c r="B347" s="6" t="s">
        <v>41</v>
      </c>
      <c r="C347" s="4">
        <v>40391</v>
      </c>
      <c r="D347" s="5">
        <v>1549288512</v>
      </c>
      <c r="E347" s="5">
        <v>80881478</v>
      </c>
      <c r="F347" s="5">
        <v>188864942</v>
      </c>
      <c r="G347" s="5">
        <v>1086292484</v>
      </c>
      <c r="H347" s="5">
        <v>121045050</v>
      </c>
      <c r="I347" s="5">
        <v>262356049</v>
      </c>
      <c r="J347" s="5">
        <v>7333601</v>
      </c>
      <c r="K347" s="60">
        <v>680008597</v>
      </c>
      <c r="L347" s="60">
        <v>25295195</v>
      </c>
      <c r="M347" s="5"/>
      <c r="N347" s="9">
        <v>27929517</v>
      </c>
      <c r="O347" s="5">
        <v>3440763</v>
      </c>
      <c r="P347" s="5">
        <v>85104345</v>
      </c>
      <c r="Q347" s="5">
        <v>0</v>
      </c>
      <c r="R347" s="5">
        <v>6746240471</v>
      </c>
      <c r="S347" s="5">
        <v>47801664.909999996</v>
      </c>
      <c r="T347" s="5">
        <v>1271386048</v>
      </c>
      <c r="U347" s="9">
        <v>10433232</v>
      </c>
      <c r="V347" s="9">
        <v>25299412</v>
      </c>
      <c r="W347" s="5">
        <v>26395647</v>
      </c>
      <c r="X347" s="5">
        <v>21748374</v>
      </c>
      <c r="Y347" s="5">
        <v>24734452</v>
      </c>
      <c r="Z347" s="49">
        <v>3667601</v>
      </c>
      <c r="AA347" s="5">
        <v>93113</v>
      </c>
      <c r="AB347" s="5">
        <v>577076</v>
      </c>
      <c r="AC347" s="5">
        <v>522</v>
      </c>
      <c r="AD347" s="5">
        <v>9377</v>
      </c>
      <c r="AE347" s="5">
        <v>0</v>
      </c>
      <c r="AF347" s="49">
        <v>0</v>
      </c>
      <c r="AG347" s="9">
        <v>0</v>
      </c>
      <c r="AH347" s="5">
        <v>0</v>
      </c>
      <c r="AI347" s="15">
        <v>10</v>
      </c>
      <c r="AJ347" s="9">
        <v>140873</v>
      </c>
      <c r="AK347" s="5">
        <v>28543</v>
      </c>
      <c r="AL347" s="5">
        <v>243509</v>
      </c>
      <c r="AM347" s="5">
        <v>0</v>
      </c>
      <c r="AN347" s="5"/>
      <c r="AO347" s="49">
        <v>12291816000</v>
      </c>
      <c r="AP347" s="27"/>
    </row>
    <row r="348" spans="1:42" ht="12" customHeight="1">
      <c r="A348" s="6">
        <f t="shared" si="6"/>
        <v>2010</v>
      </c>
      <c r="B348" s="6" t="s">
        <v>42</v>
      </c>
      <c r="C348" s="4">
        <v>40422</v>
      </c>
      <c r="D348" s="5">
        <v>1587569944</v>
      </c>
      <c r="E348" s="5">
        <v>72333529</v>
      </c>
      <c r="F348" s="5">
        <v>211388706</v>
      </c>
      <c r="G348" s="5">
        <v>1237403410</v>
      </c>
      <c r="H348" s="5">
        <v>150594493</v>
      </c>
      <c r="I348" s="5">
        <v>238438864</v>
      </c>
      <c r="J348" s="5">
        <v>9547833</v>
      </c>
      <c r="K348" s="60">
        <v>862517936</v>
      </c>
      <c r="L348" s="60">
        <v>2913557</v>
      </c>
      <c r="M348" s="5"/>
      <c r="N348" s="9">
        <v>28372079</v>
      </c>
      <c r="O348" s="5">
        <v>61373053</v>
      </c>
      <c r="P348" s="5">
        <v>124520423</v>
      </c>
      <c r="Q348" s="5">
        <v>0</v>
      </c>
      <c r="R348" s="5">
        <v>7395980287</v>
      </c>
      <c r="S348" s="5">
        <v>47484065.5</v>
      </c>
      <c r="T348" s="5">
        <v>1370720295</v>
      </c>
      <c r="U348" s="9">
        <v>14605484</v>
      </c>
      <c r="V348" s="9">
        <v>35048801</v>
      </c>
      <c r="W348" s="5">
        <v>34075510</v>
      </c>
      <c r="X348" s="5">
        <v>24237826</v>
      </c>
      <c r="Y348" s="5">
        <v>26516947</v>
      </c>
      <c r="Z348" s="49">
        <v>609326</v>
      </c>
      <c r="AA348" s="5">
        <v>38961</v>
      </c>
      <c r="AB348" s="5">
        <v>98328</v>
      </c>
      <c r="AC348" s="5">
        <v>11309</v>
      </c>
      <c r="AD348" s="5">
        <v>0</v>
      </c>
      <c r="AE348" s="5">
        <v>0</v>
      </c>
      <c r="AF348" s="49">
        <v>0</v>
      </c>
      <c r="AG348" s="9">
        <v>0</v>
      </c>
      <c r="AH348" s="5">
        <v>0</v>
      </c>
      <c r="AI348" s="15">
        <v>10</v>
      </c>
      <c r="AJ348" s="9">
        <v>136167</v>
      </c>
      <c r="AK348" s="5">
        <v>25762</v>
      </c>
      <c r="AL348" s="5">
        <v>1945</v>
      </c>
      <c r="AM348" s="5">
        <v>25809</v>
      </c>
      <c r="AN348" s="5"/>
      <c r="AO348" s="49">
        <v>13539047412</v>
      </c>
      <c r="AP348" s="27"/>
    </row>
    <row r="349" spans="1:42" ht="12" customHeight="1">
      <c r="A349" s="6">
        <f t="shared" si="6"/>
        <v>2010</v>
      </c>
      <c r="B349" s="6" t="s">
        <v>43</v>
      </c>
      <c r="C349" s="4">
        <v>40452</v>
      </c>
      <c r="D349" s="5">
        <v>1833932938</v>
      </c>
      <c r="E349" s="5">
        <v>70551865</v>
      </c>
      <c r="F349" s="5">
        <v>191007772</v>
      </c>
      <c r="G349" s="5">
        <v>997817929</v>
      </c>
      <c r="H349" s="5">
        <v>127680190</v>
      </c>
      <c r="I349" s="5">
        <v>242720403</v>
      </c>
      <c r="J349" s="5">
        <v>8286362</v>
      </c>
      <c r="K349" s="60">
        <v>707349861</v>
      </c>
      <c r="L349" s="60">
        <v>59092307</v>
      </c>
      <c r="M349" s="5"/>
      <c r="N349" s="9">
        <v>27095453</v>
      </c>
      <c r="O349" s="5">
        <v>83432042</v>
      </c>
      <c r="P349" s="5">
        <v>126483438</v>
      </c>
      <c r="Q349" s="5">
        <v>0</v>
      </c>
      <c r="R349" s="5">
        <v>6516282476</v>
      </c>
      <c r="S349" s="5">
        <v>47432170</v>
      </c>
      <c r="T349" s="5">
        <v>1363151912</v>
      </c>
      <c r="U349" s="9">
        <v>16914488</v>
      </c>
      <c r="V349" s="9">
        <v>39188787</v>
      </c>
      <c r="W349" s="5">
        <v>32264105</v>
      </c>
      <c r="X349" s="5">
        <v>23200976</v>
      </c>
      <c r="Y349" s="5">
        <v>25987103</v>
      </c>
      <c r="Z349" s="49">
        <v>5864665</v>
      </c>
      <c r="AA349" s="5">
        <v>39612</v>
      </c>
      <c r="AB349" s="5">
        <v>100094</v>
      </c>
      <c r="AC349" s="5">
        <v>0</v>
      </c>
      <c r="AD349" s="5">
        <v>0</v>
      </c>
      <c r="AE349" s="5">
        <v>4746</v>
      </c>
      <c r="AF349" s="49">
        <v>52405</v>
      </c>
      <c r="AG349" s="9">
        <v>0</v>
      </c>
      <c r="AH349" s="5">
        <v>350</v>
      </c>
      <c r="AI349" s="15">
        <v>11</v>
      </c>
      <c r="AJ349" s="9">
        <v>143350</v>
      </c>
      <c r="AK349" s="5">
        <v>26602</v>
      </c>
      <c r="AL349" s="5">
        <v>693824</v>
      </c>
      <c r="AM349" s="5">
        <v>0</v>
      </c>
      <c r="AN349" s="5"/>
      <c r="AO349" s="49">
        <v>12541260222</v>
      </c>
      <c r="AP349" s="27"/>
    </row>
    <row r="350" spans="1:42" ht="12" customHeight="1">
      <c r="A350" s="6">
        <f t="shared" si="6"/>
        <v>2010</v>
      </c>
      <c r="B350" s="6" t="s">
        <v>44</v>
      </c>
      <c r="C350" s="4">
        <v>40483</v>
      </c>
      <c r="D350" s="5">
        <v>1721438994</v>
      </c>
      <c r="E350" s="5">
        <v>80533259</v>
      </c>
      <c r="F350" s="5">
        <v>233414304</v>
      </c>
      <c r="G350" s="5">
        <v>1272854965</v>
      </c>
      <c r="H350" s="5">
        <v>113229948</v>
      </c>
      <c r="I350" s="5">
        <v>241604152</v>
      </c>
      <c r="J350" s="5">
        <v>11635311</v>
      </c>
      <c r="K350" s="60">
        <v>714908942</v>
      </c>
      <c r="L350" s="60">
        <v>6576578</v>
      </c>
      <c r="M350" s="5"/>
      <c r="N350" s="9">
        <v>28202983</v>
      </c>
      <c r="O350" s="5">
        <v>6085890</v>
      </c>
      <c r="P350" s="5">
        <v>133814246</v>
      </c>
      <c r="Q350" s="5">
        <v>0</v>
      </c>
      <c r="R350" s="5">
        <v>7596962711</v>
      </c>
      <c r="S350" s="5">
        <v>50605605</v>
      </c>
      <c r="T350" s="5">
        <v>1413370642</v>
      </c>
      <c r="U350" s="9">
        <v>7878416</v>
      </c>
      <c r="V350" s="9">
        <v>23948622</v>
      </c>
      <c r="W350" s="5">
        <v>16645285</v>
      </c>
      <c r="X350" s="5">
        <v>25850414</v>
      </c>
      <c r="Y350" s="5">
        <v>26655261</v>
      </c>
      <c r="Z350" s="49">
        <v>2269123</v>
      </c>
      <c r="AA350" s="5">
        <v>35649</v>
      </c>
      <c r="AB350" s="5">
        <v>197421</v>
      </c>
      <c r="AC350" s="5">
        <v>0</v>
      </c>
      <c r="AD350" s="5">
        <v>2419</v>
      </c>
      <c r="AE350" s="5">
        <v>0</v>
      </c>
      <c r="AF350" s="49">
        <v>0</v>
      </c>
      <c r="AG350" s="9">
        <v>0</v>
      </c>
      <c r="AH350" s="5">
        <v>0</v>
      </c>
      <c r="AI350" s="15">
        <v>0</v>
      </c>
      <c r="AJ350" s="9">
        <v>132744</v>
      </c>
      <c r="AK350" s="5">
        <v>25483</v>
      </c>
      <c r="AL350" s="5">
        <v>1846</v>
      </c>
      <c r="AM350" s="5">
        <v>0</v>
      </c>
      <c r="AN350" s="5"/>
      <c r="AO350" s="49">
        <v>13715678839</v>
      </c>
      <c r="AP350" s="27"/>
    </row>
    <row r="351" spans="1:42" ht="12" customHeight="1">
      <c r="A351" s="6">
        <f t="shared" si="6"/>
        <v>2010</v>
      </c>
      <c r="B351" s="6" t="s">
        <v>45</v>
      </c>
      <c r="C351" s="4">
        <v>40513</v>
      </c>
      <c r="D351" s="5">
        <v>1666024476</v>
      </c>
      <c r="E351" s="5">
        <v>95853611</v>
      </c>
      <c r="F351" s="5">
        <v>251411846</v>
      </c>
      <c r="G351" s="5">
        <v>1275710982</v>
      </c>
      <c r="H351" s="5">
        <v>149052107</v>
      </c>
      <c r="I351" s="5">
        <v>248302713</v>
      </c>
      <c r="J351" s="5">
        <v>9507323</v>
      </c>
      <c r="K351" s="60">
        <v>695215956</v>
      </c>
      <c r="L351" s="60">
        <v>2912557</v>
      </c>
      <c r="M351" s="5"/>
      <c r="N351" s="9">
        <v>27784190</v>
      </c>
      <c r="O351" s="5">
        <v>143912162</v>
      </c>
      <c r="P351" s="5">
        <v>161967643</v>
      </c>
      <c r="Q351" s="5">
        <v>0</v>
      </c>
      <c r="R351" s="5">
        <v>7588320309</v>
      </c>
      <c r="S351" s="5">
        <v>47850676</v>
      </c>
      <c r="T351" s="5">
        <v>1565322487</v>
      </c>
      <c r="U351" s="9">
        <v>11160508</v>
      </c>
      <c r="V351" s="9">
        <v>29505739</v>
      </c>
      <c r="W351" s="5">
        <v>30099272</v>
      </c>
      <c r="X351" s="5">
        <v>32861453</v>
      </c>
      <c r="Y351" s="5">
        <v>29434337</v>
      </c>
      <c r="Z351" s="49">
        <v>2899713</v>
      </c>
      <c r="AA351" s="5">
        <v>326930</v>
      </c>
      <c r="AB351" s="5">
        <v>134834</v>
      </c>
      <c r="AC351" s="5">
        <v>725</v>
      </c>
      <c r="AD351" s="5">
        <v>0</v>
      </c>
      <c r="AE351" s="5">
        <v>0</v>
      </c>
      <c r="AF351" s="49">
        <v>0</v>
      </c>
      <c r="AG351" s="9">
        <v>0</v>
      </c>
      <c r="AH351" s="5">
        <v>0</v>
      </c>
      <c r="AI351" s="15">
        <v>0</v>
      </c>
      <c r="AJ351" s="9">
        <v>170312</v>
      </c>
      <c r="AK351" s="5">
        <v>37292</v>
      </c>
      <c r="AL351" s="5">
        <v>151547</v>
      </c>
      <c r="AM351" s="5">
        <v>0</v>
      </c>
      <c r="AN351" s="5"/>
      <c r="AO351" s="49">
        <v>14063751947</v>
      </c>
      <c r="AP351" s="27"/>
    </row>
    <row r="352" spans="1:42" s="35" customFormat="1" ht="12" customHeight="1">
      <c r="A352" s="35">
        <v>2011</v>
      </c>
      <c r="B352" s="35" t="s">
        <v>34</v>
      </c>
      <c r="C352" s="36">
        <v>40544</v>
      </c>
      <c r="D352" s="33">
        <v>1612488683</v>
      </c>
      <c r="E352" s="33">
        <v>97031875</v>
      </c>
      <c r="F352" s="33">
        <v>273012203</v>
      </c>
      <c r="G352" s="33">
        <v>2317493362</v>
      </c>
      <c r="H352" s="33">
        <v>423124237</v>
      </c>
      <c r="I352" s="33">
        <v>198660369</v>
      </c>
      <c r="J352" s="33">
        <v>7258459</v>
      </c>
      <c r="K352" s="60">
        <v>647884426</v>
      </c>
      <c r="L352" s="60">
        <v>2715999</v>
      </c>
      <c r="M352" s="33"/>
      <c r="N352" s="37">
        <v>27547354</v>
      </c>
      <c r="O352" s="33">
        <v>2689814</v>
      </c>
      <c r="P352" s="33">
        <v>106193123</v>
      </c>
      <c r="Q352" s="33">
        <v>0</v>
      </c>
      <c r="R352" s="33">
        <v>8224225364</v>
      </c>
      <c r="S352" s="33">
        <v>46391437.600000001</v>
      </c>
      <c r="T352" s="33">
        <v>1696814880</v>
      </c>
      <c r="U352" s="37">
        <v>11195303</v>
      </c>
      <c r="V352" s="37">
        <v>26376881</v>
      </c>
      <c r="W352" s="33">
        <v>37749740</v>
      </c>
      <c r="X352" s="33">
        <v>37374854</v>
      </c>
      <c r="Y352" s="33">
        <v>18583668</v>
      </c>
      <c r="Z352" s="54">
        <v>693761</v>
      </c>
      <c r="AA352" s="33">
        <v>21432</v>
      </c>
      <c r="AB352" s="33">
        <v>99436</v>
      </c>
      <c r="AC352" s="33">
        <v>0</v>
      </c>
      <c r="AD352" s="33">
        <v>5449</v>
      </c>
      <c r="AE352" s="33">
        <v>0</v>
      </c>
      <c r="AF352" s="54">
        <v>0</v>
      </c>
      <c r="AG352" s="37">
        <v>0</v>
      </c>
      <c r="AH352" s="33">
        <v>0</v>
      </c>
      <c r="AI352" s="38">
        <v>11</v>
      </c>
      <c r="AJ352" s="37">
        <v>167615</v>
      </c>
      <c r="AK352" s="33">
        <v>45639</v>
      </c>
      <c r="AL352" s="33">
        <v>203571</v>
      </c>
      <c r="AM352" s="33">
        <v>0</v>
      </c>
      <c r="AN352" s="33"/>
      <c r="AO352" s="54">
        <v>15800826356</v>
      </c>
      <c r="AP352" s="39"/>
    </row>
    <row r="353" spans="1:42" ht="12" customHeight="1">
      <c r="A353" s="6">
        <v>2011</v>
      </c>
      <c r="B353" s="6" t="s">
        <v>35</v>
      </c>
      <c r="C353" s="4">
        <v>40575</v>
      </c>
      <c r="D353" s="5">
        <v>1829331215</v>
      </c>
      <c r="E353" s="5">
        <v>92355393</v>
      </c>
      <c r="F353" s="5">
        <v>189202967</v>
      </c>
      <c r="G353" s="5">
        <v>1282834764</v>
      </c>
      <c r="H353" s="5">
        <v>181959367</v>
      </c>
      <c r="I353" s="5">
        <v>222415660</v>
      </c>
      <c r="J353" s="5">
        <v>34775707</v>
      </c>
      <c r="K353" s="60">
        <v>707442510</v>
      </c>
      <c r="L353" s="60">
        <v>3364001</v>
      </c>
      <c r="M353" s="5"/>
      <c r="N353" s="9">
        <v>40990502</v>
      </c>
      <c r="O353" s="5">
        <v>5008347</v>
      </c>
      <c r="P353" s="5">
        <v>94986070</v>
      </c>
      <c r="Q353" s="5">
        <v>0</v>
      </c>
      <c r="R353" s="5">
        <v>6968537750</v>
      </c>
      <c r="S353" s="5">
        <v>49970510.07</v>
      </c>
      <c r="T353" s="5">
        <v>1652013710</v>
      </c>
      <c r="U353" s="9">
        <v>11893512</v>
      </c>
      <c r="V353" s="9">
        <v>30788825</v>
      </c>
      <c r="W353" s="5">
        <v>16573398</v>
      </c>
      <c r="X353" s="5">
        <v>31762786</v>
      </c>
      <c r="Y353" s="5">
        <v>20429418</v>
      </c>
      <c r="Z353" s="49">
        <v>607752</v>
      </c>
      <c r="AA353" s="5">
        <v>18809</v>
      </c>
      <c r="AB353" s="5">
        <v>92714</v>
      </c>
      <c r="AC353" s="5">
        <v>0</v>
      </c>
      <c r="AD353" s="5">
        <v>2488</v>
      </c>
      <c r="AE353" s="5">
        <v>0</v>
      </c>
      <c r="AF353" s="49">
        <v>0</v>
      </c>
      <c r="AG353" s="9">
        <v>0</v>
      </c>
      <c r="AH353" s="5">
        <v>0</v>
      </c>
      <c r="AI353" s="15">
        <v>10</v>
      </c>
      <c r="AJ353" s="9">
        <v>135022</v>
      </c>
      <c r="AK353" s="5">
        <v>25668</v>
      </c>
      <c r="AL353" s="5">
        <v>66982</v>
      </c>
      <c r="AM353" s="5">
        <v>0</v>
      </c>
      <c r="AN353" s="5"/>
      <c r="AO353" s="49">
        <v>13452916125</v>
      </c>
      <c r="AP353" s="27"/>
    </row>
    <row r="354" spans="1:42" ht="12" customHeight="1">
      <c r="A354" s="6">
        <v>2011</v>
      </c>
      <c r="B354" s="6" t="s">
        <v>36</v>
      </c>
      <c r="C354" s="4">
        <v>40603</v>
      </c>
      <c r="D354" s="5">
        <v>1726042581</v>
      </c>
      <c r="E354" s="5">
        <v>82598282</v>
      </c>
      <c r="F354" s="5">
        <v>206345895</v>
      </c>
      <c r="G354" s="5">
        <v>1446575821</v>
      </c>
      <c r="H354" s="5">
        <v>162479750</v>
      </c>
      <c r="I354" s="5">
        <v>231265303</v>
      </c>
      <c r="J354" s="5">
        <v>19277918</v>
      </c>
      <c r="K354" s="60">
        <v>745065901</v>
      </c>
      <c r="L354" s="60">
        <v>29308665</v>
      </c>
      <c r="M354" s="5"/>
      <c r="N354" s="9">
        <v>34673446</v>
      </c>
      <c r="O354" s="5">
        <v>1963431</v>
      </c>
      <c r="P354" s="5">
        <v>120739964</v>
      </c>
      <c r="Q354" s="5">
        <v>0</v>
      </c>
      <c r="R354" s="5">
        <v>6701145125</v>
      </c>
      <c r="S354" s="5">
        <v>54413647</v>
      </c>
      <c r="T354" s="5">
        <v>1517953368</v>
      </c>
      <c r="U354" s="9">
        <v>8688551</v>
      </c>
      <c r="V354" s="9">
        <v>27498244</v>
      </c>
      <c r="W354" s="5">
        <v>36741418</v>
      </c>
      <c r="X354" s="5">
        <v>29061692</v>
      </c>
      <c r="Y354" s="5">
        <v>24224179</v>
      </c>
      <c r="Z354" s="49">
        <v>550077</v>
      </c>
      <c r="AA354" s="5">
        <v>30897</v>
      </c>
      <c r="AB354" s="5">
        <v>102538</v>
      </c>
      <c r="AC354" s="5">
        <v>0</v>
      </c>
      <c r="AD354" s="5">
        <v>2275</v>
      </c>
      <c r="AE354" s="5">
        <v>0</v>
      </c>
      <c r="AF354" s="49">
        <v>0</v>
      </c>
      <c r="AG354" s="9">
        <v>0</v>
      </c>
      <c r="AH354" s="5">
        <v>0</v>
      </c>
      <c r="AI354" s="15">
        <v>9</v>
      </c>
      <c r="AJ354" s="9">
        <v>775834</v>
      </c>
      <c r="AK354" s="5">
        <v>531791</v>
      </c>
      <c r="AL354" s="5">
        <v>56934</v>
      </c>
      <c r="AM354" s="5">
        <v>0</v>
      </c>
      <c r="AN354" s="5"/>
      <c r="AO354" s="49">
        <v>13183292337</v>
      </c>
      <c r="AP354" s="27"/>
    </row>
    <row r="355" spans="1:42" ht="12" customHeight="1">
      <c r="A355" s="6">
        <v>2011</v>
      </c>
      <c r="B355" s="6" t="s">
        <v>37</v>
      </c>
      <c r="C355" s="4">
        <v>40634</v>
      </c>
      <c r="D355" s="5">
        <v>2976778420</v>
      </c>
      <c r="E355" s="5">
        <v>96836954</v>
      </c>
      <c r="F355" s="5">
        <v>250156218</v>
      </c>
      <c r="G355" s="5">
        <v>1284916645</v>
      </c>
      <c r="H355" s="5">
        <v>112724320</v>
      </c>
      <c r="I355" s="5">
        <v>230131289</v>
      </c>
      <c r="J355" s="5">
        <v>107948922</v>
      </c>
      <c r="K355" s="60">
        <v>522075331</v>
      </c>
      <c r="L355" s="60">
        <v>7594023</v>
      </c>
      <c r="M355" s="5"/>
      <c r="N355" s="9">
        <v>36633919</v>
      </c>
      <c r="O355" s="5">
        <v>68315617</v>
      </c>
      <c r="P355" s="5">
        <v>112304828</v>
      </c>
      <c r="Q355" s="5">
        <v>0</v>
      </c>
      <c r="R355" s="5">
        <v>6963410686</v>
      </c>
      <c r="S355" s="5">
        <v>48046012</v>
      </c>
      <c r="T355" s="5">
        <v>1477834097</v>
      </c>
      <c r="U355" s="9">
        <v>10756458</v>
      </c>
      <c r="V355" s="9">
        <v>29113673</v>
      </c>
      <c r="W355" s="5">
        <v>33137675</v>
      </c>
      <c r="X355" s="5">
        <v>28997162</v>
      </c>
      <c r="Y355" s="5">
        <v>42732978</v>
      </c>
      <c r="Z355" s="49">
        <v>1302136</v>
      </c>
      <c r="AA355" s="5">
        <v>8418</v>
      </c>
      <c r="AB355" s="5">
        <v>67854</v>
      </c>
      <c r="AC355" s="5">
        <v>0</v>
      </c>
      <c r="AD355" s="5">
        <v>0</v>
      </c>
      <c r="AE355" s="5">
        <v>0</v>
      </c>
      <c r="AF355" s="49">
        <v>0</v>
      </c>
      <c r="AG355" s="9">
        <v>0</v>
      </c>
      <c r="AH355" s="5">
        <v>0</v>
      </c>
      <c r="AI355" s="15">
        <v>11</v>
      </c>
      <c r="AJ355" s="9">
        <v>136584</v>
      </c>
      <c r="AK355" s="5">
        <v>25942</v>
      </c>
      <c r="AL355" s="5">
        <v>61980</v>
      </c>
      <c r="AM355" s="5">
        <v>0</v>
      </c>
      <c r="AN355" s="5"/>
      <c r="AO355" s="49">
        <v>14425588198</v>
      </c>
      <c r="AP355" s="27"/>
    </row>
    <row r="356" spans="1:42" ht="12" customHeight="1">
      <c r="A356" s="6">
        <v>2011</v>
      </c>
      <c r="B356" s="6" t="s">
        <v>73</v>
      </c>
      <c r="C356" s="4">
        <v>40664</v>
      </c>
      <c r="D356" s="5">
        <v>1383445358</v>
      </c>
      <c r="E356" s="5">
        <v>95747876</v>
      </c>
      <c r="F356" s="5">
        <v>237409965</v>
      </c>
      <c r="G356" s="5">
        <v>1354385350</v>
      </c>
      <c r="H356" s="5">
        <v>194580934</v>
      </c>
      <c r="I356" s="5">
        <v>237363035</v>
      </c>
      <c r="J356" s="5">
        <v>7931497</v>
      </c>
      <c r="K356" s="60">
        <v>883363901</v>
      </c>
      <c r="L356" s="60">
        <v>53328157</v>
      </c>
      <c r="M356" s="5"/>
      <c r="N356" s="9">
        <v>35988284</v>
      </c>
      <c r="O356" s="5">
        <v>6304460</v>
      </c>
      <c r="P356" s="5">
        <v>130302308</v>
      </c>
      <c r="Q356" s="5">
        <v>0</v>
      </c>
      <c r="R356" s="5">
        <v>7722449123.6400003</v>
      </c>
      <c r="S356" s="5">
        <v>51423450</v>
      </c>
      <c r="T356" s="5">
        <v>1568508031</v>
      </c>
      <c r="U356" s="9">
        <v>10979305</v>
      </c>
      <c r="V356" s="9">
        <v>27651473</v>
      </c>
      <c r="W356" s="5">
        <v>32726088</v>
      </c>
      <c r="X356" s="5">
        <v>33110163</v>
      </c>
      <c r="Y356" s="5">
        <v>18368826</v>
      </c>
      <c r="Z356" s="49">
        <v>505610</v>
      </c>
      <c r="AA356" s="5">
        <v>283903</v>
      </c>
      <c r="AB356" s="5">
        <v>61713</v>
      </c>
      <c r="AC356" s="5">
        <v>0</v>
      </c>
      <c r="AD356" s="5">
        <v>4693</v>
      </c>
      <c r="AE356" s="5">
        <v>0</v>
      </c>
      <c r="AF356" s="49">
        <v>0</v>
      </c>
      <c r="AG356" s="9">
        <v>0</v>
      </c>
      <c r="AH356" s="5">
        <v>0</v>
      </c>
      <c r="AI356" s="15">
        <v>10</v>
      </c>
      <c r="AJ356" s="9">
        <v>130231</v>
      </c>
      <c r="AK356" s="5">
        <v>24709</v>
      </c>
      <c r="AL356" s="5">
        <v>70001</v>
      </c>
      <c r="AM356" s="5">
        <v>0</v>
      </c>
      <c r="AN356" s="5"/>
      <c r="AO356" s="49">
        <v>14075356903.639999</v>
      </c>
      <c r="AP356" s="27"/>
    </row>
    <row r="357" spans="1:42" ht="12" customHeight="1">
      <c r="A357" s="6">
        <v>2011</v>
      </c>
      <c r="B357" s="6" t="s">
        <v>39</v>
      </c>
      <c r="C357" s="4">
        <v>40695</v>
      </c>
      <c r="D357" s="5">
        <v>1557065531</v>
      </c>
      <c r="E357" s="5">
        <v>124272586</v>
      </c>
      <c r="F357" s="5">
        <v>275693439</v>
      </c>
      <c r="G357" s="5">
        <v>1288964305</v>
      </c>
      <c r="H357" s="5">
        <v>124585547</v>
      </c>
      <c r="I357" s="5">
        <v>263844259</v>
      </c>
      <c r="J357" s="5">
        <v>3674144</v>
      </c>
      <c r="K357" s="60">
        <v>801802952</v>
      </c>
      <c r="L357" s="60">
        <v>74161850</v>
      </c>
      <c r="M357" s="5"/>
      <c r="N357" s="9">
        <v>42187497</v>
      </c>
      <c r="O357" s="5">
        <v>3461937</v>
      </c>
      <c r="P357" s="5">
        <v>133886436</v>
      </c>
      <c r="Q357" s="5">
        <v>0</v>
      </c>
      <c r="R357" s="5">
        <v>7074830615.9399996</v>
      </c>
      <c r="S357" s="5">
        <v>53800078.939999998</v>
      </c>
      <c r="T357" s="5">
        <v>1547301635</v>
      </c>
      <c r="U357" s="9">
        <v>17815374</v>
      </c>
      <c r="V357" s="9">
        <v>43121672</v>
      </c>
      <c r="W357" s="5">
        <v>37332555</v>
      </c>
      <c r="X357" s="5">
        <v>33583219</v>
      </c>
      <c r="Y357" s="5">
        <v>19745609</v>
      </c>
      <c r="Z357" s="49">
        <v>498612</v>
      </c>
      <c r="AA357" s="5">
        <v>13350</v>
      </c>
      <c r="AB357" s="5">
        <v>165483</v>
      </c>
      <c r="AC357" s="5">
        <v>0</v>
      </c>
      <c r="AD357" s="5">
        <v>5392</v>
      </c>
      <c r="AE357" s="5">
        <v>0</v>
      </c>
      <c r="AF357" s="49">
        <v>0</v>
      </c>
      <c r="AG357" s="9">
        <v>0</v>
      </c>
      <c r="AH357" s="5">
        <v>4058</v>
      </c>
      <c r="AI357" s="15">
        <v>1717</v>
      </c>
      <c r="AJ357" s="9">
        <v>251783</v>
      </c>
      <c r="AK357" s="5">
        <v>126978</v>
      </c>
      <c r="AL357" s="5">
        <v>148982</v>
      </c>
      <c r="AM357" s="5">
        <v>0</v>
      </c>
      <c r="AN357" s="5"/>
      <c r="AO357" s="49">
        <v>13509546834.939999</v>
      </c>
      <c r="AP357" s="27"/>
    </row>
    <row r="358" spans="1:42" ht="12" customHeight="1">
      <c r="A358" s="6">
        <v>2011</v>
      </c>
      <c r="B358" s="6" t="s">
        <v>40</v>
      </c>
      <c r="C358" s="4">
        <v>40725</v>
      </c>
      <c r="D358" s="5">
        <v>1523721994</v>
      </c>
      <c r="E358" s="5">
        <v>85435535</v>
      </c>
      <c r="F358" s="5">
        <v>212575472</v>
      </c>
      <c r="G358" s="5">
        <v>1669538948</v>
      </c>
      <c r="H358" s="5">
        <v>222905024</v>
      </c>
      <c r="I358" s="5">
        <v>249642198</v>
      </c>
      <c r="J358" s="5">
        <v>2136225</v>
      </c>
      <c r="K358" s="60">
        <v>810908895</v>
      </c>
      <c r="L358" s="60">
        <v>9885307</v>
      </c>
      <c r="M358" s="5"/>
      <c r="N358" s="9">
        <v>35178660</v>
      </c>
      <c r="O358" s="5">
        <v>2846536</v>
      </c>
      <c r="P358" s="5">
        <v>64609740</v>
      </c>
      <c r="Q358" s="5">
        <v>0</v>
      </c>
      <c r="R358" s="5">
        <v>7674354707</v>
      </c>
      <c r="S358" s="5">
        <v>48988329</v>
      </c>
      <c r="T358" s="5">
        <v>1351390200</v>
      </c>
      <c r="U358" s="9">
        <v>15515732</v>
      </c>
      <c r="V358" s="9">
        <v>40569984</v>
      </c>
      <c r="W358" s="5">
        <v>34716636</v>
      </c>
      <c r="X358" s="5">
        <v>24744884</v>
      </c>
      <c r="Y358" s="5">
        <v>19732126</v>
      </c>
      <c r="Z358" s="49">
        <v>640865</v>
      </c>
      <c r="AA358" s="5">
        <v>14108</v>
      </c>
      <c r="AB358" s="5">
        <v>81667</v>
      </c>
      <c r="AC358" s="5">
        <v>0</v>
      </c>
      <c r="AD358" s="5">
        <v>2630</v>
      </c>
      <c r="AE358" s="5">
        <v>0</v>
      </c>
      <c r="AF358" s="49">
        <v>0</v>
      </c>
      <c r="AG358" s="9">
        <v>0</v>
      </c>
      <c r="AH358" s="5">
        <v>0</v>
      </c>
      <c r="AI358" s="15">
        <v>11</v>
      </c>
      <c r="AJ358" s="9">
        <v>142811</v>
      </c>
      <c r="AK358" s="5">
        <v>27140</v>
      </c>
      <c r="AL358" s="5">
        <v>74612</v>
      </c>
      <c r="AM358" s="5">
        <v>0</v>
      </c>
      <c r="AN358" s="5"/>
      <c r="AO358" s="49">
        <v>14086733613</v>
      </c>
      <c r="AP358" s="27"/>
    </row>
    <row r="359" spans="1:42" ht="12" customHeight="1">
      <c r="A359" s="6">
        <v>2011</v>
      </c>
      <c r="B359" s="6" t="s">
        <v>41</v>
      </c>
      <c r="C359" s="4">
        <v>40756</v>
      </c>
      <c r="D359" s="5">
        <v>1645858743</v>
      </c>
      <c r="E359" s="5">
        <v>86000132</v>
      </c>
      <c r="F359" s="5">
        <v>286963505</v>
      </c>
      <c r="G359" s="5">
        <v>1351076125</v>
      </c>
      <c r="H359" s="5">
        <v>207897442</v>
      </c>
      <c r="I359" s="5">
        <v>295626550</v>
      </c>
      <c r="J359" s="5">
        <v>2163885</v>
      </c>
      <c r="K359" s="60">
        <v>820618898</v>
      </c>
      <c r="L359" s="60">
        <v>9229810</v>
      </c>
      <c r="M359" s="5"/>
      <c r="N359" s="9">
        <v>37956207</v>
      </c>
      <c r="O359" s="5">
        <v>2191810</v>
      </c>
      <c r="P359" s="5">
        <v>202454586</v>
      </c>
      <c r="Q359" s="5">
        <v>0</v>
      </c>
      <c r="R359" s="5">
        <v>7924374696</v>
      </c>
      <c r="S359" s="5">
        <v>50325030</v>
      </c>
      <c r="T359" s="5">
        <v>1470336381</v>
      </c>
      <c r="U359" s="9">
        <v>11650315</v>
      </c>
      <c r="V359" s="9">
        <v>34292091</v>
      </c>
      <c r="W359" s="5">
        <v>36980208</v>
      </c>
      <c r="X359" s="5">
        <v>29875281</v>
      </c>
      <c r="Y359" s="5">
        <v>19641797</v>
      </c>
      <c r="Z359" s="49">
        <v>774820</v>
      </c>
      <c r="AA359" s="5">
        <v>8427</v>
      </c>
      <c r="AB359" s="5">
        <v>88383</v>
      </c>
      <c r="AC359" s="5">
        <v>0</v>
      </c>
      <c r="AD359" s="5">
        <v>0</v>
      </c>
      <c r="AE359" s="5">
        <v>0</v>
      </c>
      <c r="AF359" s="49">
        <v>0</v>
      </c>
      <c r="AG359" s="9">
        <v>0</v>
      </c>
      <c r="AH359" s="5">
        <v>0</v>
      </c>
      <c r="AI359" s="15">
        <v>9</v>
      </c>
      <c r="AJ359" s="9">
        <v>120668</v>
      </c>
      <c r="AK359" s="5">
        <v>28858</v>
      </c>
      <c r="AL359" s="5">
        <v>45477</v>
      </c>
      <c r="AM359" s="5">
        <v>0</v>
      </c>
      <c r="AN359" s="5"/>
      <c r="AO359" s="49">
        <v>14523525551</v>
      </c>
      <c r="AP359" s="27"/>
    </row>
    <row r="360" spans="1:42" ht="12" customHeight="1">
      <c r="A360" s="6">
        <v>2011</v>
      </c>
      <c r="B360" s="6" t="s">
        <v>42</v>
      </c>
      <c r="C360" s="4">
        <v>40787</v>
      </c>
      <c r="D360" s="5">
        <v>2088173599</v>
      </c>
      <c r="E360" s="5">
        <v>85028396</v>
      </c>
      <c r="F360" s="5">
        <v>206036794</v>
      </c>
      <c r="G360" s="5">
        <v>1635910904</v>
      </c>
      <c r="H360" s="5">
        <v>151247792</v>
      </c>
      <c r="I360" s="5">
        <v>282236587</v>
      </c>
      <c r="J360" s="5">
        <v>2598009</v>
      </c>
      <c r="K360" s="60">
        <v>797771717</v>
      </c>
      <c r="L360" s="60">
        <v>7316041</v>
      </c>
      <c r="M360" s="5"/>
      <c r="N360" s="9">
        <v>39227704</v>
      </c>
      <c r="O360" s="5">
        <v>67297731</v>
      </c>
      <c r="P360" s="5">
        <v>141339269</v>
      </c>
      <c r="Q360" s="5">
        <v>0</v>
      </c>
      <c r="R360" s="5">
        <v>8149247115</v>
      </c>
      <c r="S360" s="5">
        <v>48174018</v>
      </c>
      <c r="T360" s="5">
        <v>1523829150</v>
      </c>
      <c r="U360" s="9">
        <v>9513208</v>
      </c>
      <c r="V360" s="9">
        <v>27080253</v>
      </c>
      <c r="W360" s="5">
        <v>35793007</v>
      </c>
      <c r="X360" s="5">
        <v>37056676</v>
      </c>
      <c r="Y360" s="5">
        <v>21385489</v>
      </c>
      <c r="Z360" s="49">
        <v>604938</v>
      </c>
      <c r="AA360" s="5">
        <v>62442</v>
      </c>
      <c r="AB360" s="5">
        <v>115657</v>
      </c>
      <c r="AC360" s="5">
        <v>0</v>
      </c>
      <c r="AD360" s="5">
        <v>0</v>
      </c>
      <c r="AE360" s="5">
        <v>0</v>
      </c>
      <c r="AF360" s="49">
        <v>0</v>
      </c>
      <c r="AG360" s="9">
        <v>0</v>
      </c>
      <c r="AH360" s="5">
        <v>0</v>
      </c>
      <c r="AI360" s="15">
        <v>11</v>
      </c>
      <c r="AJ360" s="9">
        <v>411163</v>
      </c>
      <c r="AK360" s="5">
        <v>297519</v>
      </c>
      <c r="AL360" s="5">
        <v>90285</v>
      </c>
      <c r="AM360" s="5">
        <v>0</v>
      </c>
      <c r="AN360" s="5"/>
      <c r="AO360" s="49">
        <v>15353892360</v>
      </c>
      <c r="AP360" s="27"/>
    </row>
    <row r="361" spans="1:42" ht="12" customHeight="1">
      <c r="A361" s="6">
        <v>2011</v>
      </c>
      <c r="B361" s="6" t="s">
        <v>43</v>
      </c>
      <c r="C361" s="4">
        <v>40817</v>
      </c>
      <c r="D361" s="5">
        <v>2046904513</v>
      </c>
      <c r="E361" s="5">
        <v>91345149</v>
      </c>
      <c r="F361" s="5">
        <v>251924465</v>
      </c>
      <c r="G361" s="5">
        <v>1412690838</v>
      </c>
      <c r="H361" s="5">
        <v>523324846</v>
      </c>
      <c r="I361" s="5">
        <v>278207324</v>
      </c>
      <c r="J361" s="5">
        <v>2334709</v>
      </c>
      <c r="K361" s="60">
        <v>801198619</v>
      </c>
      <c r="L361" s="60">
        <v>85708559</v>
      </c>
      <c r="M361" s="5"/>
      <c r="N361" s="9">
        <v>38036232</v>
      </c>
      <c r="O361" s="5">
        <v>95112208</v>
      </c>
      <c r="P361" s="5">
        <v>125239077</v>
      </c>
      <c r="Q361" s="5">
        <v>0</v>
      </c>
      <c r="R361" s="5">
        <v>7616847882</v>
      </c>
      <c r="S361" s="5">
        <v>48385533</v>
      </c>
      <c r="T361" s="5">
        <v>1527169252</v>
      </c>
      <c r="U361" s="9">
        <v>12024424</v>
      </c>
      <c r="V361" s="9">
        <v>45840126</v>
      </c>
      <c r="W361" s="5">
        <v>37472178</v>
      </c>
      <c r="X361" s="5">
        <v>36237667</v>
      </c>
      <c r="Y361" s="5">
        <v>18057588</v>
      </c>
      <c r="Z361" s="49">
        <v>825234</v>
      </c>
      <c r="AA361" s="5">
        <v>153598</v>
      </c>
      <c r="AB361" s="5">
        <v>73736</v>
      </c>
      <c r="AC361" s="5">
        <v>0</v>
      </c>
      <c r="AD361" s="5">
        <v>0</v>
      </c>
      <c r="AE361" s="5">
        <v>0</v>
      </c>
      <c r="AF361" s="49">
        <v>0</v>
      </c>
      <c r="AG361" s="9">
        <v>0</v>
      </c>
      <c r="AH361" s="5">
        <v>0</v>
      </c>
      <c r="AI361" s="15">
        <v>0</v>
      </c>
      <c r="AJ361" s="9">
        <v>79133</v>
      </c>
      <c r="AK361" s="5">
        <v>27688</v>
      </c>
      <c r="AL361" s="5">
        <v>138334</v>
      </c>
      <c r="AM361" s="5">
        <v>0</v>
      </c>
      <c r="AN361" s="5"/>
      <c r="AO361" s="49">
        <v>15089451426</v>
      </c>
      <c r="AP361" s="27"/>
    </row>
    <row r="362" spans="1:42" ht="12" customHeight="1">
      <c r="A362" s="6">
        <v>2011</v>
      </c>
      <c r="B362" s="6" t="s">
        <v>44</v>
      </c>
      <c r="C362" s="4">
        <v>40848</v>
      </c>
      <c r="D362" s="5">
        <v>1775757433</v>
      </c>
      <c r="E362" s="5">
        <v>96368853</v>
      </c>
      <c r="F362" s="5">
        <v>244977236</v>
      </c>
      <c r="G362" s="5">
        <v>1694027828</v>
      </c>
      <c r="H362" s="5">
        <v>136120132</v>
      </c>
      <c r="I362" s="5">
        <v>270601146</v>
      </c>
      <c r="J362" s="5">
        <v>1698998</v>
      </c>
      <c r="K362" s="60">
        <v>776310561</v>
      </c>
      <c r="L362" s="60">
        <v>14068086</v>
      </c>
      <c r="M362" s="5"/>
      <c r="N362" s="9">
        <v>34132370</v>
      </c>
      <c r="O362" s="5">
        <v>6031974</v>
      </c>
      <c r="P362" s="5">
        <v>139612802</v>
      </c>
      <c r="Q362" s="5">
        <v>0</v>
      </c>
      <c r="R362" s="5">
        <v>8456028357</v>
      </c>
      <c r="S362" s="5">
        <v>51881202</v>
      </c>
      <c r="T362" s="5">
        <v>1770321896</v>
      </c>
      <c r="U362" s="9">
        <v>16294236</v>
      </c>
      <c r="V362" s="9">
        <v>28216713</v>
      </c>
      <c r="W362" s="5">
        <v>31185713</v>
      </c>
      <c r="X362" s="5">
        <v>33613810</v>
      </c>
      <c r="Y362" s="5">
        <v>28285927</v>
      </c>
      <c r="Z362" s="49">
        <v>575553</v>
      </c>
      <c r="AA362" s="5">
        <v>40640</v>
      </c>
      <c r="AB362" s="5">
        <v>125490</v>
      </c>
      <c r="AC362" s="5">
        <v>0</v>
      </c>
      <c r="AD362" s="5">
        <v>0</v>
      </c>
      <c r="AE362" s="5">
        <v>0</v>
      </c>
      <c r="AF362" s="49">
        <v>0</v>
      </c>
      <c r="AG362" s="9">
        <v>0</v>
      </c>
      <c r="AH362" s="5">
        <v>0</v>
      </c>
      <c r="AI362" s="15">
        <v>0</v>
      </c>
      <c r="AJ362" s="9">
        <v>72008</v>
      </c>
      <c r="AK362" s="5">
        <v>14490</v>
      </c>
      <c r="AL362" s="5">
        <v>31238</v>
      </c>
      <c r="AM362" s="5">
        <v>0</v>
      </c>
      <c r="AN362" s="5"/>
      <c r="AO362" s="49">
        <v>15591760239</v>
      </c>
      <c r="AP362" s="27"/>
    </row>
    <row r="363" spans="1:42" ht="12" customHeight="1">
      <c r="A363" s="6">
        <v>2011</v>
      </c>
      <c r="B363" s="6" t="s">
        <v>45</v>
      </c>
      <c r="C363" s="4">
        <v>40878</v>
      </c>
      <c r="D363" s="5">
        <v>1754321977</v>
      </c>
      <c r="E363" s="5">
        <v>117137955</v>
      </c>
      <c r="F363" s="5">
        <v>311882571</v>
      </c>
      <c r="G363" s="5">
        <v>1683491822</v>
      </c>
      <c r="H363" s="5">
        <v>146840743</v>
      </c>
      <c r="I363" s="5">
        <v>301318662</v>
      </c>
      <c r="J363" s="5">
        <v>1971997</v>
      </c>
      <c r="K363" s="60">
        <v>796175123</v>
      </c>
      <c r="L363" s="60">
        <v>6145816</v>
      </c>
      <c r="M363" s="5"/>
      <c r="N363" s="9">
        <v>38652406</v>
      </c>
      <c r="O363" s="5">
        <v>161151780</v>
      </c>
      <c r="P363" s="5">
        <v>172948418</v>
      </c>
      <c r="Q363" s="5">
        <v>0</v>
      </c>
      <c r="R363" s="5">
        <v>8612575518</v>
      </c>
      <c r="S363" s="5">
        <v>48495194</v>
      </c>
      <c r="T363" s="5">
        <v>1759149762</v>
      </c>
      <c r="U363" s="9">
        <v>10249100</v>
      </c>
      <c r="V363" s="9">
        <v>31210820</v>
      </c>
      <c r="W363" s="5">
        <v>39230087</v>
      </c>
      <c r="X363" s="5">
        <v>38535436</v>
      </c>
      <c r="Y363" s="5">
        <v>16906413</v>
      </c>
      <c r="Z363" s="49">
        <v>489851</v>
      </c>
      <c r="AA363" s="5">
        <v>38431</v>
      </c>
      <c r="AB363" s="5">
        <v>83904</v>
      </c>
      <c r="AC363" s="5">
        <v>0</v>
      </c>
      <c r="AD363" s="5">
        <v>0</v>
      </c>
      <c r="AE363" s="5">
        <v>0</v>
      </c>
      <c r="AF363" s="49">
        <v>0</v>
      </c>
      <c r="AG363" s="9">
        <v>0</v>
      </c>
      <c r="AH363" s="5">
        <v>0</v>
      </c>
      <c r="AI363" s="15">
        <v>0</v>
      </c>
      <c r="AJ363" s="9">
        <v>63425</v>
      </c>
      <c r="AK363" s="5">
        <v>12467</v>
      </c>
      <c r="AL363" s="5">
        <v>118689</v>
      </c>
      <c r="AM363" s="5">
        <v>0</v>
      </c>
      <c r="AN363" s="5"/>
      <c r="AO363" s="49">
        <v>16035692784</v>
      </c>
      <c r="AP363" s="27"/>
    </row>
    <row r="364" spans="1:42" s="35" customFormat="1" ht="12" customHeight="1">
      <c r="A364" s="35">
        <v>2012</v>
      </c>
      <c r="B364" s="35" t="s">
        <v>34</v>
      </c>
      <c r="C364" s="36">
        <v>40909</v>
      </c>
      <c r="D364" s="33">
        <v>2043935812</v>
      </c>
      <c r="E364" s="33">
        <v>109873961</v>
      </c>
      <c r="F364" s="33">
        <v>315526410</v>
      </c>
      <c r="G364" s="33">
        <v>2566811008</v>
      </c>
      <c r="H364" s="33">
        <v>267283947</v>
      </c>
      <c r="I364" s="33">
        <v>239455262</v>
      </c>
      <c r="J364" s="33">
        <v>688233</v>
      </c>
      <c r="K364" s="60">
        <v>688399167</v>
      </c>
      <c r="L364" s="60">
        <v>8387359</v>
      </c>
      <c r="M364" s="33"/>
      <c r="N364" s="37">
        <v>39176548</v>
      </c>
      <c r="O364" s="33">
        <v>2996698</v>
      </c>
      <c r="P364" s="33">
        <v>118700229</v>
      </c>
      <c r="Q364" s="33">
        <v>0</v>
      </c>
      <c r="R364" s="33">
        <v>9103348676</v>
      </c>
      <c r="S364" s="33">
        <v>48989599</v>
      </c>
      <c r="T364" s="33">
        <v>1892130616</v>
      </c>
      <c r="U364" s="37">
        <v>12062158</v>
      </c>
      <c r="V364" s="37">
        <v>31774727</v>
      </c>
      <c r="W364" s="33">
        <v>41605730</v>
      </c>
      <c r="X364" s="33">
        <v>38698675</v>
      </c>
      <c r="Y364" s="33">
        <v>23160934</v>
      </c>
      <c r="Z364" s="34">
        <v>0</v>
      </c>
      <c r="AA364" s="33">
        <v>49997</v>
      </c>
      <c r="AB364" s="33">
        <v>131843</v>
      </c>
      <c r="AC364" s="33">
        <v>0</v>
      </c>
      <c r="AD364" s="33">
        <v>0</v>
      </c>
      <c r="AE364" s="33">
        <v>0</v>
      </c>
      <c r="AF364" s="34">
        <v>0</v>
      </c>
      <c r="AG364" s="37">
        <v>0</v>
      </c>
      <c r="AH364" s="33">
        <v>0</v>
      </c>
      <c r="AI364" s="38">
        <v>11</v>
      </c>
      <c r="AJ364" s="37">
        <v>2886</v>
      </c>
      <c r="AK364" s="33">
        <v>0</v>
      </c>
      <c r="AL364" s="33">
        <v>22340</v>
      </c>
      <c r="AM364" s="33">
        <v>0</v>
      </c>
      <c r="AN364" s="33"/>
      <c r="AO364" s="34">
        <v>17572138429</v>
      </c>
      <c r="AP364" s="39"/>
    </row>
    <row r="365" spans="1:42" ht="12" customHeight="1">
      <c r="A365" s="6">
        <v>2012</v>
      </c>
      <c r="B365" s="6" t="s">
        <v>35</v>
      </c>
      <c r="C365" s="4">
        <v>40940</v>
      </c>
      <c r="D365" s="5">
        <v>1814669015</v>
      </c>
      <c r="E365" s="5">
        <v>92895820</v>
      </c>
      <c r="F365" s="5">
        <v>238620832</v>
      </c>
      <c r="G365" s="5">
        <v>1742236231</v>
      </c>
      <c r="H365" s="5">
        <v>161555307</v>
      </c>
      <c r="I365" s="5">
        <v>273195643</v>
      </c>
      <c r="J365" s="5">
        <v>1427149</v>
      </c>
      <c r="K365" s="60">
        <v>814763828</v>
      </c>
      <c r="L365" s="60">
        <v>7177712</v>
      </c>
      <c r="M365" s="5"/>
      <c r="N365" s="9">
        <v>37466350</v>
      </c>
      <c r="O365" s="5">
        <v>4413333</v>
      </c>
      <c r="P365" s="5">
        <v>85743336</v>
      </c>
      <c r="Q365" s="5">
        <v>0</v>
      </c>
      <c r="R365" s="5">
        <v>7371758274</v>
      </c>
      <c r="S365" s="5">
        <v>52069009</v>
      </c>
      <c r="T365" s="5">
        <v>2000589799</v>
      </c>
      <c r="U365" s="9">
        <v>12373210</v>
      </c>
      <c r="V365" s="9">
        <v>32080257</v>
      </c>
      <c r="W365" s="5">
        <v>37795700</v>
      </c>
      <c r="X365" s="5">
        <v>28912537</v>
      </c>
      <c r="Y365" s="5">
        <v>14650420</v>
      </c>
      <c r="Z365" s="7">
        <v>0</v>
      </c>
      <c r="AA365" s="5">
        <v>19613</v>
      </c>
      <c r="AB365" s="5">
        <v>67624</v>
      </c>
      <c r="AC365" s="5">
        <v>0</v>
      </c>
      <c r="AD365" s="5">
        <v>0</v>
      </c>
      <c r="AE365" s="5">
        <v>0</v>
      </c>
      <c r="AF365" s="7">
        <v>0</v>
      </c>
      <c r="AG365" s="9">
        <v>0</v>
      </c>
      <c r="AH365" s="5">
        <v>0</v>
      </c>
      <c r="AI365" s="15">
        <v>133417</v>
      </c>
      <c r="AJ365" s="9">
        <v>1789436</v>
      </c>
      <c r="AK365" s="5">
        <v>326339</v>
      </c>
      <c r="AL365" s="5">
        <v>39863</v>
      </c>
      <c r="AM365" s="5">
        <v>0</v>
      </c>
      <c r="AN365" s="5"/>
      <c r="AO365" s="7">
        <v>14812200743</v>
      </c>
      <c r="AP365" s="27"/>
    </row>
    <row r="366" spans="1:42" ht="12" customHeight="1">
      <c r="A366" s="6">
        <v>2012</v>
      </c>
      <c r="B366" s="6" t="s">
        <v>36</v>
      </c>
      <c r="C366" s="4">
        <v>40969</v>
      </c>
      <c r="D366" s="5">
        <v>1882596886</v>
      </c>
      <c r="E366" s="5">
        <v>83621523</v>
      </c>
      <c r="F366" s="5">
        <v>241277545</v>
      </c>
      <c r="G366" s="5">
        <v>1959512253</v>
      </c>
      <c r="H366" s="5">
        <v>166546390</v>
      </c>
      <c r="I366" s="5">
        <v>287438415</v>
      </c>
      <c r="J366" s="5">
        <v>1093985</v>
      </c>
      <c r="K366" s="60">
        <v>862942642</v>
      </c>
      <c r="L366" s="60">
        <v>45541131</v>
      </c>
      <c r="M366" s="5"/>
      <c r="N366" s="9">
        <v>39716520</v>
      </c>
      <c r="O366" s="5">
        <v>1835567</v>
      </c>
      <c r="P366" s="5">
        <v>112058666</v>
      </c>
      <c r="Q366" s="5">
        <v>0</v>
      </c>
      <c r="R366" s="5">
        <v>8616971445</v>
      </c>
      <c r="S366" s="5">
        <v>55651785.600000001</v>
      </c>
      <c r="T366" s="5">
        <v>1773283631</v>
      </c>
      <c r="U366" s="9">
        <v>13919135</v>
      </c>
      <c r="V366" s="9">
        <v>35123501</v>
      </c>
      <c r="W366" s="5">
        <v>38337505</v>
      </c>
      <c r="X366" s="5">
        <v>37311718</v>
      </c>
      <c r="Y366" s="5">
        <v>20540038</v>
      </c>
      <c r="Z366" s="7">
        <v>0</v>
      </c>
      <c r="AA366" s="5">
        <v>27296</v>
      </c>
      <c r="AB366" s="5">
        <v>31158</v>
      </c>
      <c r="AC366" s="5">
        <v>0</v>
      </c>
      <c r="AD366" s="5">
        <v>0</v>
      </c>
      <c r="AE366" s="5">
        <v>0</v>
      </c>
      <c r="AF366" s="7">
        <v>0</v>
      </c>
      <c r="AG366" s="9">
        <v>0</v>
      </c>
      <c r="AH366" s="5">
        <v>0</v>
      </c>
      <c r="AI366" s="15">
        <v>0</v>
      </c>
      <c r="AJ366" s="9">
        <v>18807</v>
      </c>
      <c r="AK366" s="5">
        <v>15963</v>
      </c>
      <c r="AL366" s="5">
        <v>18906</v>
      </c>
      <c r="AM366" s="5">
        <v>0</v>
      </c>
      <c r="AN366" s="5"/>
      <c r="AO366" s="7">
        <v>16254494358</v>
      </c>
      <c r="AP366" s="27"/>
    </row>
    <row r="367" spans="1:42" ht="12" customHeight="1">
      <c r="A367" s="6">
        <v>2012</v>
      </c>
      <c r="B367" s="6" t="s">
        <v>37</v>
      </c>
      <c r="C367" s="4">
        <v>41000</v>
      </c>
      <c r="D367" s="5">
        <v>2277847403</v>
      </c>
      <c r="E367" s="5">
        <v>91132013</v>
      </c>
      <c r="F367" s="5">
        <v>269010250</v>
      </c>
      <c r="G367" s="5">
        <v>1611211760</v>
      </c>
      <c r="H367" s="5">
        <v>127468546</v>
      </c>
      <c r="I367" s="5">
        <v>279512186</v>
      </c>
      <c r="J367" s="5">
        <v>1037481</v>
      </c>
      <c r="K367" s="60">
        <v>776796277</v>
      </c>
      <c r="L367" s="60">
        <v>7793497</v>
      </c>
      <c r="M367" s="5"/>
      <c r="N367" s="9">
        <v>36258310</v>
      </c>
      <c r="O367" s="5">
        <v>66006250</v>
      </c>
      <c r="P367" s="5">
        <v>93002050</v>
      </c>
      <c r="Q367" s="5">
        <v>0</v>
      </c>
      <c r="R367" s="5">
        <v>7835459181</v>
      </c>
      <c r="S367" s="5">
        <v>52747174.409999996</v>
      </c>
      <c r="T367" s="5">
        <v>1781571885</v>
      </c>
      <c r="U367" s="9">
        <v>10269042</v>
      </c>
      <c r="V367" s="9">
        <v>27431892</v>
      </c>
      <c r="W367" s="5">
        <v>36869000</v>
      </c>
      <c r="X367" s="5">
        <v>36055375</v>
      </c>
      <c r="Y367" s="5">
        <v>22693038</v>
      </c>
      <c r="Z367" s="7">
        <v>0</v>
      </c>
      <c r="AA367" s="5">
        <v>38562</v>
      </c>
      <c r="AB367" s="5">
        <v>78319</v>
      </c>
      <c r="AC367" s="5">
        <v>0</v>
      </c>
      <c r="AD367" s="5">
        <v>0</v>
      </c>
      <c r="AE367" s="5">
        <v>0</v>
      </c>
      <c r="AF367" s="7">
        <v>0</v>
      </c>
      <c r="AG367" s="9">
        <v>0</v>
      </c>
      <c r="AH367" s="5">
        <v>0</v>
      </c>
      <c r="AI367" s="15">
        <v>0</v>
      </c>
      <c r="AJ367" s="9">
        <v>1248</v>
      </c>
      <c r="AK367" s="5">
        <v>0</v>
      </c>
      <c r="AL367" s="5">
        <v>18120</v>
      </c>
      <c r="AM367" s="5">
        <v>0</v>
      </c>
      <c r="AN367" s="5"/>
      <c r="AO367" s="7">
        <v>15416216136</v>
      </c>
      <c r="AP367" s="27"/>
    </row>
    <row r="368" spans="1:42" ht="12" customHeight="1">
      <c r="A368" s="6">
        <v>2012</v>
      </c>
      <c r="B368" s="6" t="s">
        <v>73</v>
      </c>
      <c r="C368" s="4">
        <v>41030</v>
      </c>
      <c r="D368" s="5">
        <v>1723516527</v>
      </c>
      <c r="E368" s="5">
        <v>94047432</v>
      </c>
      <c r="F368" s="5">
        <v>284472089</v>
      </c>
      <c r="G368" s="5">
        <v>1855111805</v>
      </c>
      <c r="H368" s="5">
        <v>191168373</v>
      </c>
      <c r="I368" s="5">
        <v>283594805</v>
      </c>
      <c r="J368" s="5">
        <v>2010930</v>
      </c>
      <c r="K368" s="60">
        <v>977453123</v>
      </c>
      <c r="L368" s="60">
        <v>74027069</v>
      </c>
      <c r="M368" s="5"/>
      <c r="N368" s="9">
        <v>39204627</v>
      </c>
      <c r="O368" s="5">
        <v>6906791</v>
      </c>
      <c r="P368" s="5">
        <v>143939149</v>
      </c>
      <c r="Q368" s="5">
        <v>0</v>
      </c>
      <c r="R368" s="5">
        <v>9310244226</v>
      </c>
      <c r="S368" s="5">
        <v>55883944.82</v>
      </c>
      <c r="T368" s="5">
        <v>1689607401</v>
      </c>
      <c r="U368" s="9">
        <v>13338738</v>
      </c>
      <c r="V368" s="9">
        <v>35535482</v>
      </c>
      <c r="W368" s="5">
        <v>32587282</v>
      </c>
      <c r="X368" s="5">
        <v>38153938</v>
      </c>
      <c r="Y368" s="5">
        <v>15825601</v>
      </c>
      <c r="Z368" s="7">
        <v>0</v>
      </c>
      <c r="AA368" s="5">
        <v>29889</v>
      </c>
      <c r="AB368" s="5">
        <v>39049</v>
      </c>
      <c r="AC368" s="5">
        <v>0</v>
      </c>
      <c r="AD368" s="5">
        <v>0</v>
      </c>
      <c r="AE368" s="5">
        <v>0</v>
      </c>
      <c r="AF368" s="7">
        <v>0</v>
      </c>
      <c r="AG368" s="9">
        <v>0</v>
      </c>
      <c r="AH368" s="5">
        <v>0</v>
      </c>
      <c r="AI368" s="15">
        <v>0</v>
      </c>
      <c r="AJ368" s="9">
        <v>4025</v>
      </c>
      <c r="AK368" s="5">
        <v>0</v>
      </c>
      <c r="AL368" s="5">
        <v>33276</v>
      </c>
      <c r="AM368" s="5">
        <v>0</v>
      </c>
      <c r="AN368" s="5"/>
      <c r="AO368" s="7">
        <v>16853876143</v>
      </c>
      <c r="AP368" s="27"/>
    </row>
    <row r="369" spans="1:42" ht="12" customHeight="1">
      <c r="A369" s="6">
        <v>2012</v>
      </c>
      <c r="B369" s="6" t="s">
        <v>39</v>
      </c>
      <c r="C369" s="4">
        <v>41061</v>
      </c>
      <c r="D369" s="5">
        <v>1699782231</v>
      </c>
      <c r="E369" s="5">
        <v>107647334</v>
      </c>
      <c r="F369" s="5">
        <v>298581128</v>
      </c>
      <c r="G369" s="5">
        <v>1542499914</v>
      </c>
      <c r="H369" s="5">
        <v>163707072</v>
      </c>
      <c r="I369" s="5">
        <v>326410040</v>
      </c>
      <c r="J369" s="5">
        <v>1080873</v>
      </c>
      <c r="K369" s="60">
        <v>803512432</v>
      </c>
      <c r="L369" s="60">
        <v>74500834</v>
      </c>
      <c r="M369" s="5"/>
      <c r="N369" s="9">
        <v>42255853</v>
      </c>
      <c r="O369" s="5">
        <v>3522184</v>
      </c>
      <c r="P369" s="5">
        <v>117440775</v>
      </c>
      <c r="Q369" s="5">
        <v>0</v>
      </c>
      <c r="R369" s="5">
        <v>8248548444</v>
      </c>
      <c r="S369" s="5">
        <v>52976741</v>
      </c>
      <c r="T369" s="5">
        <v>1493884132</v>
      </c>
      <c r="U369" s="9">
        <v>21644712</v>
      </c>
      <c r="V369" s="9">
        <v>50041600</v>
      </c>
      <c r="W369" s="5">
        <v>40198128</v>
      </c>
      <c r="X369" s="5">
        <v>35448182</v>
      </c>
      <c r="Y369" s="5">
        <v>14528087</v>
      </c>
      <c r="Z369" s="7">
        <v>0</v>
      </c>
      <c r="AA369" s="5">
        <v>20473</v>
      </c>
      <c r="AB369" s="5">
        <v>36911</v>
      </c>
      <c r="AC369" s="5">
        <v>0</v>
      </c>
      <c r="AD369" s="5">
        <v>0</v>
      </c>
      <c r="AE369" s="5">
        <v>0</v>
      </c>
      <c r="AF369" s="7">
        <v>0</v>
      </c>
      <c r="AG369" s="9">
        <v>2110</v>
      </c>
      <c r="AH369" s="5">
        <v>0</v>
      </c>
      <c r="AI369" s="15">
        <v>0</v>
      </c>
      <c r="AJ369" s="9">
        <v>1014</v>
      </c>
      <c r="AK369" s="5">
        <v>0</v>
      </c>
      <c r="AL369" s="5">
        <v>35265</v>
      </c>
      <c r="AM369" s="5">
        <v>0</v>
      </c>
      <c r="AN369" s="5"/>
      <c r="AO369" s="7">
        <v>15135497086</v>
      </c>
      <c r="AP369" s="27"/>
    </row>
    <row r="370" spans="1:42" ht="12" customHeight="1">
      <c r="A370" s="6">
        <v>2012</v>
      </c>
      <c r="B370" s="6" t="s">
        <v>40</v>
      </c>
      <c r="C370" s="4">
        <v>41091</v>
      </c>
      <c r="D370" s="5">
        <v>1790994471</v>
      </c>
      <c r="E370" s="5">
        <v>99570227</v>
      </c>
      <c r="F370" s="5">
        <v>336649271</v>
      </c>
      <c r="G370" s="5">
        <v>1688707917</v>
      </c>
      <c r="H370" s="5">
        <v>152613728</v>
      </c>
      <c r="I370" s="5">
        <v>307541559</v>
      </c>
      <c r="J370" s="5">
        <v>424606</v>
      </c>
      <c r="K370" s="60">
        <v>886750750</v>
      </c>
      <c r="L370" s="60">
        <v>28146183</v>
      </c>
      <c r="M370" s="5"/>
      <c r="N370" s="9">
        <v>40314759</v>
      </c>
      <c r="O370" s="5">
        <v>1984000</v>
      </c>
      <c r="P370" s="5">
        <v>112769052</v>
      </c>
      <c r="Q370" s="5">
        <v>0</v>
      </c>
      <c r="R370" s="5">
        <v>8971739829</v>
      </c>
      <c r="S370" s="5">
        <v>53148404</v>
      </c>
      <c r="T370" s="5">
        <v>1451208257</v>
      </c>
      <c r="U370" s="9">
        <v>19949784</v>
      </c>
      <c r="V370" s="9">
        <v>53211675</v>
      </c>
      <c r="W370" s="5">
        <v>40663931</v>
      </c>
      <c r="X370" s="5">
        <v>41803695</v>
      </c>
      <c r="Y370" s="5">
        <v>21976067</v>
      </c>
      <c r="Z370" s="7">
        <v>0</v>
      </c>
      <c r="AA370" s="5">
        <v>34853</v>
      </c>
      <c r="AB370" s="5">
        <v>42217</v>
      </c>
      <c r="AC370" s="5">
        <v>0</v>
      </c>
      <c r="AD370" s="5">
        <v>0</v>
      </c>
      <c r="AE370" s="5">
        <v>0</v>
      </c>
      <c r="AF370" s="7">
        <v>0</v>
      </c>
      <c r="AG370" s="9">
        <v>2110</v>
      </c>
      <c r="AH370" s="5">
        <v>0</v>
      </c>
      <c r="AI370" s="15">
        <v>0</v>
      </c>
      <c r="AJ370" s="9">
        <v>5283</v>
      </c>
      <c r="AK370" s="5">
        <v>4210</v>
      </c>
      <c r="AL370" s="5">
        <v>2750</v>
      </c>
      <c r="AM370" s="5">
        <v>0</v>
      </c>
      <c r="AN370" s="5"/>
      <c r="AO370" s="7">
        <v>16092298766</v>
      </c>
      <c r="AP370" s="27"/>
    </row>
    <row r="371" spans="1:42" ht="12" customHeight="1">
      <c r="A371" s="6">
        <v>2012</v>
      </c>
      <c r="B371" s="6" t="s">
        <v>41</v>
      </c>
      <c r="C371" s="4">
        <v>41122</v>
      </c>
      <c r="D371" s="5">
        <v>1995785256</v>
      </c>
      <c r="E371" s="5">
        <v>103005580</v>
      </c>
      <c r="F371" s="5">
        <v>451739954</v>
      </c>
      <c r="G371" s="5">
        <v>1706378686</v>
      </c>
      <c r="H371" s="5">
        <v>175418165</v>
      </c>
      <c r="I371" s="5">
        <v>356156640</v>
      </c>
      <c r="J371" s="5">
        <v>483032</v>
      </c>
      <c r="K371" s="60">
        <v>894569143</v>
      </c>
      <c r="L371" s="60">
        <v>12910003</v>
      </c>
      <c r="M371" s="5"/>
      <c r="N371" s="9">
        <v>39513205</v>
      </c>
      <c r="O371" s="5">
        <v>4168007</v>
      </c>
      <c r="P371" s="5">
        <v>125695105</v>
      </c>
      <c r="Q371" s="5">
        <v>0</v>
      </c>
      <c r="R371" s="5">
        <v>8618445029</v>
      </c>
      <c r="S371" s="5">
        <v>53688889</v>
      </c>
      <c r="T371" s="5">
        <v>1601174267</v>
      </c>
      <c r="U371" s="9">
        <v>18451771</v>
      </c>
      <c r="V371" s="9">
        <v>44326723</v>
      </c>
      <c r="W371" s="5">
        <v>22659709</v>
      </c>
      <c r="X371" s="5">
        <v>37752433</v>
      </c>
      <c r="Y371" s="5">
        <v>20283692</v>
      </c>
      <c r="Z371" s="7">
        <v>0</v>
      </c>
      <c r="AA371" s="5">
        <v>19134</v>
      </c>
      <c r="AB371" s="5">
        <v>63620</v>
      </c>
      <c r="AC371" s="5">
        <v>0</v>
      </c>
      <c r="AD371" s="5">
        <v>0</v>
      </c>
      <c r="AE371" s="5">
        <v>0</v>
      </c>
      <c r="AF371" s="7">
        <v>0</v>
      </c>
      <c r="AG371" s="9">
        <v>0</v>
      </c>
      <c r="AH371" s="5">
        <v>0</v>
      </c>
      <c r="AI371" s="15">
        <v>0</v>
      </c>
      <c r="AJ371" s="9">
        <v>0</v>
      </c>
      <c r="AK371" s="5">
        <v>0</v>
      </c>
      <c r="AL371" s="5">
        <v>0</v>
      </c>
      <c r="AM371" s="5">
        <v>0</v>
      </c>
      <c r="AN371" s="5"/>
      <c r="AO371" s="7">
        <v>16283395077</v>
      </c>
      <c r="AP371" s="27"/>
    </row>
    <row r="372" spans="1:42" ht="12" customHeight="1">
      <c r="A372" s="6">
        <v>2012</v>
      </c>
      <c r="B372" s="6" t="s">
        <v>42</v>
      </c>
      <c r="C372" s="4">
        <v>41153</v>
      </c>
      <c r="D372" s="5">
        <v>1847370611</v>
      </c>
      <c r="E372" s="5">
        <v>97420197</v>
      </c>
      <c r="F372" s="5">
        <v>331879181</v>
      </c>
      <c r="G372" s="5">
        <v>1856802431</v>
      </c>
      <c r="H372" s="5">
        <v>143460001</v>
      </c>
      <c r="I372" s="5">
        <v>366894057</v>
      </c>
      <c r="J372" s="5">
        <v>504962</v>
      </c>
      <c r="K372" s="60">
        <v>866742044</v>
      </c>
      <c r="L372" s="60">
        <v>6769966</v>
      </c>
      <c r="M372" s="5"/>
      <c r="N372" s="9">
        <v>39196809</v>
      </c>
      <c r="O372" s="5">
        <v>45191845</v>
      </c>
      <c r="P372" s="5">
        <v>109127739</v>
      </c>
      <c r="Q372" s="5">
        <v>0</v>
      </c>
      <c r="R372" s="5">
        <v>8910728687</v>
      </c>
      <c r="S372" s="5">
        <v>50964046</v>
      </c>
      <c r="T372" s="5">
        <v>1750310203</v>
      </c>
      <c r="U372" s="9">
        <v>18461304</v>
      </c>
      <c r="V372" s="9">
        <v>45144348</v>
      </c>
      <c r="W372" s="5">
        <v>44034463</v>
      </c>
      <c r="X372" s="5">
        <v>34271323</v>
      </c>
      <c r="Y372" s="5">
        <v>10970306</v>
      </c>
      <c r="Z372" s="7">
        <v>0</v>
      </c>
      <c r="AA372" s="5">
        <v>81220</v>
      </c>
      <c r="AB372" s="5">
        <v>22935</v>
      </c>
      <c r="AC372" s="5">
        <v>0</v>
      </c>
      <c r="AD372" s="5">
        <v>0</v>
      </c>
      <c r="AE372" s="5">
        <v>0</v>
      </c>
      <c r="AF372" s="7">
        <v>0</v>
      </c>
      <c r="AG372" s="9">
        <v>0</v>
      </c>
      <c r="AH372" s="5">
        <v>0</v>
      </c>
      <c r="AI372" s="15">
        <v>0</v>
      </c>
      <c r="AJ372" s="9">
        <v>0</v>
      </c>
      <c r="AK372" s="5">
        <v>0</v>
      </c>
      <c r="AL372" s="5">
        <v>0</v>
      </c>
      <c r="AM372" s="5">
        <v>0</v>
      </c>
      <c r="AN372" s="5"/>
      <c r="AO372" s="7">
        <v>16589426935</v>
      </c>
      <c r="AP372" s="27"/>
    </row>
    <row r="373" spans="1:42" ht="12" customHeight="1">
      <c r="A373" s="6">
        <v>2012</v>
      </c>
      <c r="B373" s="6" t="s">
        <v>43</v>
      </c>
      <c r="C373" s="4">
        <v>41183</v>
      </c>
      <c r="D373" s="5">
        <v>2967565335</v>
      </c>
      <c r="E373" s="5">
        <v>95092972</v>
      </c>
      <c r="F373" s="5">
        <v>324255757</v>
      </c>
      <c r="G373" s="5">
        <v>1985846767</v>
      </c>
      <c r="H373" s="5">
        <v>195654497</v>
      </c>
      <c r="I373" s="5">
        <v>340937898</v>
      </c>
      <c r="J373" s="5">
        <v>1984534</v>
      </c>
      <c r="K373" s="60">
        <v>908083765</v>
      </c>
      <c r="L373" s="60">
        <v>53836353</v>
      </c>
      <c r="M373" s="5"/>
      <c r="N373" s="9">
        <v>38292902</v>
      </c>
      <c r="O373" s="5">
        <v>126593166</v>
      </c>
      <c r="P373" s="5">
        <v>113845788</v>
      </c>
      <c r="Q373" s="5">
        <v>0</v>
      </c>
      <c r="R373" s="5">
        <v>8568856818</v>
      </c>
      <c r="S373" s="5">
        <v>50727780</v>
      </c>
      <c r="T373" s="5">
        <v>1843109817</v>
      </c>
      <c r="U373" s="9">
        <v>19603061</v>
      </c>
      <c r="V373" s="9">
        <v>44488088</v>
      </c>
      <c r="W373" s="5">
        <v>35343087</v>
      </c>
      <c r="X373" s="5">
        <v>36194222</v>
      </c>
      <c r="Y373" s="5">
        <v>14250425</v>
      </c>
      <c r="Z373" s="7">
        <v>0</v>
      </c>
      <c r="AA373" s="5">
        <v>30516</v>
      </c>
      <c r="AB373" s="5">
        <v>39960</v>
      </c>
      <c r="AC373" s="5">
        <v>0</v>
      </c>
      <c r="AD373" s="5">
        <v>0</v>
      </c>
      <c r="AE373" s="5">
        <v>0</v>
      </c>
      <c r="AF373" s="7">
        <v>0</v>
      </c>
      <c r="AG373" s="9">
        <v>0</v>
      </c>
      <c r="AH373" s="5">
        <v>0</v>
      </c>
      <c r="AI373" s="15">
        <v>2169</v>
      </c>
      <c r="AJ373" s="9">
        <v>10430</v>
      </c>
      <c r="AK373" s="5">
        <v>10021</v>
      </c>
      <c r="AL373" s="5">
        <v>119786</v>
      </c>
      <c r="AM373" s="5">
        <v>0</v>
      </c>
      <c r="AN373" s="5"/>
      <c r="AO373" s="7">
        <v>17759482418</v>
      </c>
      <c r="AP373" s="27"/>
    </row>
    <row r="374" spans="1:42" ht="12" customHeight="1">
      <c r="A374" s="6">
        <v>2012</v>
      </c>
      <c r="B374" s="6" t="s">
        <v>44</v>
      </c>
      <c r="C374" s="4">
        <v>41214</v>
      </c>
      <c r="D374" s="5">
        <v>2135122726</v>
      </c>
      <c r="E374" s="5">
        <v>103398583</v>
      </c>
      <c r="F374" s="5">
        <v>330157859</v>
      </c>
      <c r="G374" s="5">
        <v>2031565967</v>
      </c>
      <c r="H374" s="5">
        <v>134372273</v>
      </c>
      <c r="I374" s="5">
        <v>352859489</v>
      </c>
      <c r="J374" s="5">
        <v>1443781</v>
      </c>
      <c r="K374" s="60">
        <v>907606547</v>
      </c>
      <c r="L374" s="60">
        <v>16892693</v>
      </c>
      <c r="M374" s="5"/>
      <c r="N374" s="9">
        <v>36328544</v>
      </c>
      <c r="O374" s="5">
        <v>6543078</v>
      </c>
      <c r="P374" s="5">
        <v>126561545</v>
      </c>
      <c r="Q374" s="5">
        <v>0</v>
      </c>
      <c r="R374" s="5">
        <v>8804097767</v>
      </c>
      <c r="S374" s="5">
        <v>53659742.729999997</v>
      </c>
      <c r="T374" s="5">
        <v>1576225648</v>
      </c>
      <c r="U374" s="9">
        <v>13205789</v>
      </c>
      <c r="V374" s="9">
        <v>35544687</v>
      </c>
      <c r="W374" s="5">
        <v>39837129</v>
      </c>
      <c r="X374" s="5">
        <v>33334127</v>
      </c>
      <c r="Y374" s="5">
        <v>18751503</v>
      </c>
      <c r="Z374" s="7">
        <v>0</v>
      </c>
      <c r="AA374" s="5">
        <v>8500</v>
      </c>
      <c r="AB374" s="5">
        <v>24646</v>
      </c>
      <c r="AC374" s="5">
        <v>0</v>
      </c>
      <c r="AD374" s="5">
        <v>0</v>
      </c>
      <c r="AE374" s="5">
        <v>0</v>
      </c>
      <c r="AF374" s="7">
        <v>0</v>
      </c>
      <c r="AG374" s="9">
        <v>0</v>
      </c>
      <c r="AH374" s="5">
        <v>0</v>
      </c>
      <c r="AI374" s="15">
        <v>0</v>
      </c>
      <c r="AJ374" s="9">
        <v>2870</v>
      </c>
      <c r="AK374" s="5">
        <v>1520</v>
      </c>
      <c r="AL374" s="5">
        <v>0</v>
      </c>
      <c r="AM374" s="5">
        <v>0</v>
      </c>
      <c r="AN374" s="5"/>
      <c r="AO374" s="7">
        <v>16790680163</v>
      </c>
      <c r="AP374" s="27"/>
    </row>
    <row r="375" spans="1:42" ht="12" customHeight="1">
      <c r="A375" s="6">
        <v>2012</v>
      </c>
      <c r="B375" s="6" t="s">
        <v>45</v>
      </c>
      <c r="C375" s="4">
        <v>41244</v>
      </c>
      <c r="D375" s="5">
        <v>1961394572</v>
      </c>
      <c r="E375" s="5">
        <v>104114577</v>
      </c>
      <c r="F375" s="5">
        <v>341640623</v>
      </c>
      <c r="G375" s="5">
        <v>1987221994</v>
      </c>
      <c r="H375" s="5">
        <v>174226049</v>
      </c>
      <c r="I375" s="5">
        <v>359470702</v>
      </c>
      <c r="J375" s="5">
        <v>798048</v>
      </c>
      <c r="K375" s="60">
        <v>876045045</v>
      </c>
      <c r="L375" s="60">
        <v>9746756</v>
      </c>
      <c r="M375" s="5"/>
      <c r="N375" s="9">
        <v>36179406</v>
      </c>
      <c r="O375" s="5">
        <v>174781638</v>
      </c>
      <c r="P375" s="5">
        <v>154553589</v>
      </c>
      <c r="Q375" s="5">
        <v>0</v>
      </c>
      <c r="R375" s="5">
        <v>9012075589</v>
      </c>
      <c r="S375" s="5">
        <v>50244718</v>
      </c>
      <c r="T375" s="5">
        <v>1915493275</v>
      </c>
      <c r="U375" s="9">
        <v>10660949</v>
      </c>
      <c r="V375" s="9">
        <v>29696150</v>
      </c>
      <c r="W375" s="5">
        <v>42679008</v>
      </c>
      <c r="X375" s="5">
        <v>33965141</v>
      </c>
      <c r="Y375" s="5">
        <v>12461830</v>
      </c>
      <c r="Z375" s="7">
        <v>0</v>
      </c>
      <c r="AA375" s="5">
        <v>9430</v>
      </c>
      <c r="AB375" s="5">
        <v>29679</v>
      </c>
      <c r="AC375" s="5">
        <v>0</v>
      </c>
      <c r="AD375" s="5">
        <v>838</v>
      </c>
      <c r="AE375" s="5">
        <v>0</v>
      </c>
      <c r="AF375" s="7">
        <v>0</v>
      </c>
      <c r="AG375" s="9">
        <v>0</v>
      </c>
      <c r="AH375" s="5">
        <v>0</v>
      </c>
      <c r="AI375" s="15">
        <v>0</v>
      </c>
      <c r="AJ375" s="9">
        <v>0</v>
      </c>
      <c r="AK375" s="5">
        <v>0</v>
      </c>
      <c r="AL375" s="5">
        <v>2509643</v>
      </c>
      <c r="AM375" s="5">
        <v>0</v>
      </c>
      <c r="AN375" s="5"/>
      <c r="AO375" s="7">
        <v>17475772115</v>
      </c>
      <c r="AP375" s="27"/>
    </row>
    <row r="376" spans="1:42" s="35" customFormat="1" ht="12" customHeight="1">
      <c r="A376" s="35">
        <v>2013</v>
      </c>
      <c r="B376" s="35" t="s">
        <v>34</v>
      </c>
      <c r="C376" s="36">
        <v>41275</v>
      </c>
      <c r="D376" s="33">
        <v>2315041770</v>
      </c>
      <c r="E376" s="33">
        <v>99317882</v>
      </c>
      <c r="F376" s="33">
        <v>350360319</v>
      </c>
      <c r="G376" s="33">
        <v>2506703622</v>
      </c>
      <c r="H376" s="33">
        <v>247479487</v>
      </c>
      <c r="I376" s="33">
        <v>289591697</v>
      </c>
      <c r="J376" s="33">
        <v>704271</v>
      </c>
      <c r="K376" s="60">
        <v>899413349</v>
      </c>
      <c r="L376" s="60">
        <v>12833963</v>
      </c>
      <c r="M376" s="33"/>
      <c r="N376" s="37">
        <v>38054465</v>
      </c>
      <c r="O376" s="33">
        <v>3287021</v>
      </c>
      <c r="P376" s="33">
        <v>125417998</v>
      </c>
      <c r="Q376" s="33">
        <v>0</v>
      </c>
      <c r="R376" s="33">
        <v>9942735868</v>
      </c>
      <c r="S376" s="33">
        <v>53180819</v>
      </c>
      <c r="T376" s="33">
        <v>2154701645</v>
      </c>
      <c r="U376" s="37">
        <v>10386850</v>
      </c>
      <c r="V376" s="37">
        <v>28971506</v>
      </c>
      <c r="W376" s="33">
        <v>41627715</v>
      </c>
      <c r="X376" s="33">
        <v>42816444</v>
      </c>
      <c r="Y376" s="33">
        <v>13138826</v>
      </c>
      <c r="Z376" s="34">
        <v>0</v>
      </c>
      <c r="AA376" s="33">
        <v>9705</v>
      </c>
      <c r="AB376" s="33">
        <v>107933</v>
      </c>
      <c r="AC376" s="33">
        <v>0</v>
      </c>
      <c r="AD376" s="33">
        <v>0</v>
      </c>
      <c r="AE376" s="33">
        <v>0</v>
      </c>
      <c r="AF376" s="33">
        <v>0</v>
      </c>
      <c r="AG376" s="33">
        <v>0</v>
      </c>
      <c r="AH376" s="33">
        <v>0</v>
      </c>
      <c r="AI376" s="38">
        <v>0</v>
      </c>
      <c r="AJ376" s="37">
        <v>11430</v>
      </c>
      <c r="AK376" s="33">
        <v>9320</v>
      </c>
      <c r="AL376" s="33">
        <v>8752</v>
      </c>
      <c r="AM376" s="33">
        <v>0</v>
      </c>
      <c r="AN376" s="33"/>
      <c r="AO376" s="34">
        <v>19165772235</v>
      </c>
      <c r="AP376" s="39"/>
    </row>
    <row r="377" spans="1:42" ht="12" customHeight="1">
      <c r="A377" s="6">
        <v>2013</v>
      </c>
      <c r="B377" s="6" t="s">
        <v>35</v>
      </c>
      <c r="C377" s="4">
        <v>41306</v>
      </c>
      <c r="D377" s="5">
        <v>1965402506</v>
      </c>
      <c r="E377" s="5">
        <v>100858980</v>
      </c>
      <c r="F377" s="5">
        <v>305304624</v>
      </c>
      <c r="G377" s="5">
        <v>2127711677</v>
      </c>
      <c r="H377" s="5">
        <v>177909018</v>
      </c>
      <c r="I377" s="5">
        <v>356977003</v>
      </c>
      <c r="J377" s="5">
        <v>223329</v>
      </c>
      <c r="K377" s="60">
        <v>910112450</v>
      </c>
      <c r="L377" s="60">
        <v>5306794</v>
      </c>
      <c r="M377" s="5"/>
      <c r="N377" s="9">
        <v>41144504</v>
      </c>
      <c r="O377" s="5">
        <v>4312477</v>
      </c>
      <c r="P377" s="5">
        <v>92741933</v>
      </c>
      <c r="Q377" s="5">
        <v>0</v>
      </c>
      <c r="R377" s="5">
        <v>8341163859</v>
      </c>
      <c r="S377" s="5">
        <v>55806555.5</v>
      </c>
      <c r="T377" s="5">
        <v>1871154661</v>
      </c>
      <c r="U377" s="9">
        <v>12395168</v>
      </c>
      <c r="V377" s="9">
        <v>30566712</v>
      </c>
      <c r="W377" s="5">
        <v>49064842</v>
      </c>
      <c r="X377" s="5">
        <v>32401287</v>
      </c>
      <c r="Y377" s="5">
        <v>10050375</v>
      </c>
      <c r="Z377" s="7">
        <v>0</v>
      </c>
      <c r="AA377" s="5">
        <v>44902</v>
      </c>
      <c r="AB377" s="5">
        <v>35633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15">
        <v>0</v>
      </c>
      <c r="AJ377" s="9">
        <v>35679</v>
      </c>
      <c r="AK377" s="5">
        <v>35629</v>
      </c>
      <c r="AL377" s="5">
        <v>0</v>
      </c>
      <c r="AM377" s="5">
        <v>0</v>
      </c>
      <c r="AN377" s="5"/>
      <c r="AO377" s="7">
        <v>16506596451</v>
      </c>
      <c r="AP377" s="27"/>
    </row>
    <row r="378" spans="1:42" ht="12" customHeight="1">
      <c r="A378" s="6">
        <v>2013</v>
      </c>
      <c r="B378" s="6" t="s">
        <v>36</v>
      </c>
      <c r="C378" s="4">
        <v>41334</v>
      </c>
      <c r="D378" s="5">
        <v>2002480110</v>
      </c>
      <c r="E378" s="5">
        <v>100747657</v>
      </c>
      <c r="F378" s="5">
        <v>300251669</v>
      </c>
      <c r="G378" s="5">
        <v>1963969709</v>
      </c>
      <c r="H378" s="5">
        <v>199046644</v>
      </c>
      <c r="I378" s="5">
        <v>354008303</v>
      </c>
      <c r="J378" s="5">
        <v>474358</v>
      </c>
      <c r="K378" s="60">
        <v>996243182</v>
      </c>
      <c r="L378" s="60">
        <v>22148165</v>
      </c>
      <c r="M378" s="5"/>
      <c r="N378" s="9">
        <v>40126703</v>
      </c>
      <c r="O378" s="5">
        <v>2047589</v>
      </c>
      <c r="P378" s="5">
        <v>125102932</v>
      </c>
      <c r="Q378" s="5">
        <v>0</v>
      </c>
      <c r="R378" s="5">
        <v>8665105343</v>
      </c>
      <c r="S378" s="5">
        <v>59346573</v>
      </c>
      <c r="T378" s="5">
        <v>1639344480</v>
      </c>
      <c r="U378" s="9">
        <v>11343022</v>
      </c>
      <c r="V378" s="9">
        <v>31434064</v>
      </c>
      <c r="W378" s="5">
        <v>43096971</v>
      </c>
      <c r="X378" s="5">
        <v>35940540</v>
      </c>
      <c r="Y378" s="5">
        <v>9703994</v>
      </c>
      <c r="Z378" s="7">
        <v>0</v>
      </c>
      <c r="AA378" s="5">
        <v>7676</v>
      </c>
      <c r="AB378" s="5">
        <v>68126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15">
        <v>0</v>
      </c>
      <c r="AJ378" s="9">
        <v>0</v>
      </c>
      <c r="AK378" s="5">
        <v>0</v>
      </c>
      <c r="AL378" s="5">
        <v>0</v>
      </c>
      <c r="AM378" s="5">
        <v>0</v>
      </c>
      <c r="AN378" s="5"/>
      <c r="AO378" s="7">
        <v>16587975518</v>
      </c>
      <c r="AP378" s="27"/>
    </row>
    <row r="379" spans="1:42" ht="12" customHeight="1">
      <c r="A379" s="6">
        <v>2013</v>
      </c>
      <c r="B379" s="6" t="s">
        <v>37</v>
      </c>
      <c r="C379" s="4">
        <v>41365</v>
      </c>
      <c r="D379" s="5">
        <v>5543955299</v>
      </c>
      <c r="E379" s="5">
        <v>96330039</v>
      </c>
      <c r="F379" s="5">
        <v>279116857</v>
      </c>
      <c r="G379" s="5">
        <v>2117835286</v>
      </c>
      <c r="H379" s="5">
        <v>164137389</v>
      </c>
      <c r="I379" s="5">
        <v>345100507</v>
      </c>
      <c r="J379" s="5">
        <v>523497</v>
      </c>
      <c r="K379" s="60">
        <v>288300947</v>
      </c>
      <c r="L379" s="60">
        <v>26733397</v>
      </c>
      <c r="M379" s="5"/>
      <c r="N379" s="9">
        <v>39236688</v>
      </c>
      <c r="O379" s="5">
        <v>78495531</v>
      </c>
      <c r="P379" s="5">
        <v>120511339</v>
      </c>
      <c r="Q379" s="5">
        <v>0</v>
      </c>
      <c r="R379" s="5">
        <v>8696225181</v>
      </c>
      <c r="S379" s="5">
        <v>58349408</v>
      </c>
      <c r="T379" s="5">
        <v>1934227896</v>
      </c>
      <c r="U379" s="9">
        <v>9342396</v>
      </c>
      <c r="V379" s="9">
        <v>25742900</v>
      </c>
      <c r="W379" s="5">
        <v>40385493</v>
      </c>
      <c r="X379" s="5">
        <v>40754739</v>
      </c>
      <c r="Y379" s="5">
        <v>17082876</v>
      </c>
      <c r="Z379" s="7">
        <v>0</v>
      </c>
      <c r="AA379" s="5">
        <v>6803</v>
      </c>
      <c r="AB379" s="5">
        <v>20593</v>
      </c>
      <c r="AC379" s="5">
        <v>0</v>
      </c>
      <c r="AD379" s="5">
        <v>826</v>
      </c>
      <c r="AE379" s="5">
        <v>0</v>
      </c>
      <c r="AF379" s="5">
        <v>0</v>
      </c>
      <c r="AG379" s="5">
        <v>0</v>
      </c>
      <c r="AH379" s="5">
        <v>0</v>
      </c>
      <c r="AI379" s="15">
        <v>0</v>
      </c>
      <c r="AJ379" s="9">
        <v>8479</v>
      </c>
      <c r="AK379" s="5">
        <v>3144</v>
      </c>
      <c r="AL379" s="5">
        <v>123458</v>
      </c>
      <c r="AM379" s="5">
        <v>0</v>
      </c>
      <c r="AN379" s="5"/>
      <c r="AO379" s="7">
        <v>19916424802</v>
      </c>
      <c r="AP379" s="27"/>
    </row>
    <row r="380" spans="1:42" ht="12" customHeight="1">
      <c r="A380" s="6">
        <v>2013</v>
      </c>
      <c r="B380" s="6" t="s">
        <v>73</v>
      </c>
      <c r="C380" s="4">
        <v>41395</v>
      </c>
      <c r="D380" s="5">
        <v>2358618241</v>
      </c>
      <c r="E380" s="5">
        <v>109884648</v>
      </c>
      <c r="F380" s="5">
        <v>311036490</v>
      </c>
      <c r="G380" s="5">
        <v>2320615819</v>
      </c>
      <c r="H380" s="5">
        <v>353354063</v>
      </c>
      <c r="I380" s="5">
        <v>345439422</v>
      </c>
      <c r="J380" s="5">
        <v>329357</v>
      </c>
      <c r="K380" s="60">
        <v>1184631288</v>
      </c>
      <c r="L380" s="60">
        <v>38735361</v>
      </c>
      <c r="M380" s="5"/>
      <c r="N380" s="9">
        <v>41636408</v>
      </c>
      <c r="O380" s="5">
        <v>6107895</v>
      </c>
      <c r="P380" s="5">
        <v>125089202</v>
      </c>
      <c r="Q380" s="5">
        <v>0</v>
      </c>
      <c r="R380" s="5">
        <v>9198926988</v>
      </c>
      <c r="S380" s="5">
        <v>59142457.890000001</v>
      </c>
      <c r="T380" s="5">
        <v>1943473308</v>
      </c>
      <c r="U380" s="9">
        <v>13521902</v>
      </c>
      <c r="V380" s="9">
        <v>36674642</v>
      </c>
      <c r="W380" s="5">
        <v>44706038</v>
      </c>
      <c r="X380" s="5">
        <v>38242092</v>
      </c>
      <c r="Y380" s="5">
        <v>13453789</v>
      </c>
      <c r="Z380" s="7">
        <v>0</v>
      </c>
      <c r="AA380" s="5">
        <v>5076</v>
      </c>
      <c r="AB380" s="5">
        <v>27500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15">
        <v>0</v>
      </c>
      <c r="AJ380" s="9">
        <v>0</v>
      </c>
      <c r="AK380" s="5">
        <v>0</v>
      </c>
      <c r="AL380" s="5">
        <v>0</v>
      </c>
      <c r="AM380" s="5">
        <v>0</v>
      </c>
      <c r="AN380" s="5"/>
      <c r="AO380" s="7">
        <v>18536454139</v>
      </c>
      <c r="AP380" s="27"/>
    </row>
    <row r="381" spans="1:42" ht="12" customHeight="1">
      <c r="A381" s="6">
        <v>2013</v>
      </c>
      <c r="B381" s="6" t="s">
        <v>39</v>
      </c>
      <c r="C381" s="4">
        <v>41426</v>
      </c>
      <c r="D381" s="5">
        <v>2392146771</v>
      </c>
      <c r="E381" s="5">
        <v>48813917</v>
      </c>
      <c r="F381" s="5">
        <v>293447195</v>
      </c>
      <c r="G381" s="5">
        <v>1634455479</v>
      </c>
      <c r="H381" s="5">
        <v>152055222</v>
      </c>
      <c r="I381" s="5">
        <v>235635220</v>
      </c>
      <c r="J381" s="5">
        <v>692367</v>
      </c>
      <c r="K381" s="60">
        <v>957818755</v>
      </c>
      <c r="L381" s="60">
        <v>60453477</v>
      </c>
      <c r="M381" s="5"/>
      <c r="N381" s="9">
        <v>40270033</v>
      </c>
      <c r="O381" s="5">
        <v>2142293</v>
      </c>
      <c r="P381" s="5">
        <v>110375765</v>
      </c>
      <c r="Q381" s="5">
        <v>0</v>
      </c>
      <c r="R381" s="5">
        <v>8149547317</v>
      </c>
      <c r="S381" s="5">
        <v>58349614.119999997</v>
      </c>
      <c r="T381" s="5">
        <v>1408555763</v>
      </c>
      <c r="U381" s="9">
        <v>10369098</v>
      </c>
      <c r="V381" s="9">
        <v>22355725</v>
      </c>
      <c r="W381" s="5">
        <v>24335416</v>
      </c>
      <c r="X381" s="5">
        <v>30593562</v>
      </c>
      <c r="Y381" s="5">
        <v>8370563</v>
      </c>
      <c r="Z381" s="7">
        <v>0</v>
      </c>
      <c r="AA381" s="5">
        <v>7210</v>
      </c>
      <c r="AB381" s="5">
        <v>25874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15">
        <v>0</v>
      </c>
      <c r="AJ381" s="9">
        <v>0</v>
      </c>
      <c r="AK381" s="5">
        <v>0</v>
      </c>
      <c r="AL381" s="5">
        <v>3000</v>
      </c>
      <c r="AM381" s="5">
        <v>0</v>
      </c>
      <c r="AN381" s="5"/>
      <c r="AO381" s="7">
        <v>15630280750</v>
      </c>
      <c r="AP381" s="27"/>
    </row>
    <row r="382" spans="1:42" ht="12" customHeight="1">
      <c r="A382" s="6">
        <v>2013</v>
      </c>
      <c r="B382" s="6" t="s">
        <v>40</v>
      </c>
      <c r="C382" s="4">
        <v>41456</v>
      </c>
      <c r="D382" s="5">
        <v>2386506397</v>
      </c>
      <c r="E382" s="5">
        <v>96684109</v>
      </c>
      <c r="F382" s="5">
        <v>347662409</v>
      </c>
      <c r="G382" s="5">
        <v>1936216514</v>
      </c>
      <c r="H382" s="5">
        <v>257160565</v>
      </c>
      <c r="I382" s="5">
        <v>219760845</v>
      </c>
      <c r="J382" s="5">
        <v>5304815</v>
      </c>
      <c r="K382" s="60">
        <v>956667119</v>
      </c>
      <c r="L382" s="60">
        <v>6642307</v>
      </c>
      <c r="M382" s="5"/>
      <c r="N382" s="9">
        <v>40224707</v>
      </c>
      <c r="O382" s="5">
        <v>2260673</v>
      </c>
      <c r="P382" s="5">
        <v>140813445</v>
      </c>
      <c r="Q382" s="5">
        <v>0</v>
      </c>
      <c r="R382" s="5">
        <v>9797485793</v>
      </c>
      <c r="S382" s="5">
        <v>57775387</v>
      </c>
      <c r="T382" s="5">
        <v>1908242197</v>
      </c>
      <c r="U382" s="9">
        <v>24052314</v>
      </c>
      <c r="V382" s="9">
        <v>54981473</v>
      </c>
      <c r="W382" s="5">
        <v>24642044</v>
      </c>
      <c r="X382" s="5">
        <v>32049547</v>
      </c>
      <c r="Y382" s="5">
        <v>7234621</v>
      </c>
      <c r="Z382" s="7">
        <v>0</v>
      </c>
      <c r="AA382" s="5">
        <v>13980</v>
      </c>
      <c r="AB382" s="5">
        <v>78817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15">
        <v>0</v>
      </c>
      <c r="AJ382" s="9">
        <v>15984</v>
      </c>
      <c r="AK382" s="5">
        <v>0</v>
      </c>
      <c r="AL382" s="5">
        <v>73113</v>
      </c>
      <c r="AM382" s="5">
        <v>0</v>
      </c>
      <c r="AN382" s="5"/>
      <c r="AO382" s="7">
        <v>18308917158</v>
      </c>
      <c r="AP382" s="27"/>
    </row>
    <row r="383" spans="1:42" ht="12" customHeight="1">
      <c r="A383" s="6">
        <v>2013</v>
      </c>
      <c r="B383" s="6" t="s">
        <v>41</v>
      </c>
      <c r="C383" s="4">
        <v>41487</v>
      </c>
      <c r="D383" s="5">
        <v>2482701350</v>
      </c>
      <c r="E383" s="5">
        <v>77443370</v>
      </c>
      <c r="F383" s="5">
        <v>479110438</v>
      </c>
      <c r="G383" s="5">
        <v>2071344531</v>
      </c>
      <c r="H383" s="5">
        <v>177718451</v>
      </c>
      <c r="I383" s="5">
        <v>441220066</v>
      </c>
      <c r="J383" s="5">
        <v>254819</v>
      </c>
      <c r="K383" s="60">
        <v>911388821</v>
      </c>
      <c r="L383" s="60">
        <v>8274050</v>
      </c>
      <c r="M383" s="5"/>
      <c r="N383" s="9">
        <v>39080050</v>
      </c>
      <c r="O383" s="5">
        <v>2702505</v>
      </c>
      <c r="P383" s="5">
        <v>136692930</v>
      </c>
      <c r="Q383" s="5">
        <v>0</v>
      </c>
      <c r="R383" s="5">
        <v>8959582696</v>
      </c>
      <c r="S383" s="5">
        <v>56308465</v>
      </c>
      <c r="T383" s="5">
        <v>1482575029</v>
      </c>
      <c r="U383" s="9">
        <v>16712133</v>
      </c>
      <c r="V383" s="9">
        <v>40047625</v>
      </c>
      <c r="W383" s="5">
        <v>25369309</v>
      </c>
      <c r="X383" s="5">
        <v>33488347</v>
      </c>
      <c r="Y383" s="5">
        <v>-12568573</v>
      </c>
      <c r="Z383" s="7">
        <v>0</v>
      </c>
      <c r="AA383" s="5">
        <v>10943</v>
      </c>
      <c r="AB383" s="5">
        <v>25721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15">
        <v>0</v>
      </c>
      <c r="AJ383" s="9">
        <v>1736</v>
      </c>
      <c r="AK383" s="5">
        <v>586</v>
      </c>
      <c r="AL383" s="5">
        <v>0</v>
      </c>
      <c r="AM383" s="5">
        <v>0</v>
      </c>
      <c r="AN383" s="5"/>
      <c r="AO383" s="7">
        <v>17416958649</v>
      </c>
      <c r="AP383" s="27"/>
    </row>
    <row r="384" spans="1:42" ht="12" customHeight="1">
      <c r="A384" s="6">
        <v>2013</v>
      </c>
      <c r="B384" s="6" t="s">
        <v>42</v>
      </c>
      <c r="C384" s="4">
        <v>41518</v>
      </c>
      <c r="D384" s="5">
        <v>2573887167</v>
      </c>
      <c r="E384" s="5">
        <v>102917017</v>
      </c>
      <c r="F384" s="5">
        <v>292219651</v>
      </c>
      <c r="G384" s="5">
        <v>2177176240</v>
      </c>
      <c r="H384" s="5">
        <v>214376347</v>
      </c>
      <c r="I384" s="5">
        <v>420493087</v>
      </c>
      <c r="J384" s="5">
        <v>822008</v>
      </c>
      <c r="K384" s="60">
        <v>1007239033</v>
      </c>
      <c r="L384" s="60">
        <v>11043631</v>
      </c>
      <c r="M384" s="5"/>
      <c r="N384" s="9">
        <v>41884989</v>
      </c>
      <c r="O384" s="5">
        <v>75290505</v>
      </c>
      <c r="P384" s="5">
        <v>111203645</v>
      </c>
      <c r="Q384" s="5">
        <v>0</v>
      </c>
      <c r="R384" s="5">
        <v>9611933643</v>
      </c>
      <c r="S384" s="5">
        <v>57034725</v>
      </c>
      <c r="T384" s="5">
        <v>1774467112</v>
      </c>
      <c r="U384" s="9">
        <v>19771510</v>
      </c>
      <c r="V384" s="9">
        <v>51405723</v>
      </c>
      <c r="W384" s="5">
        <v>27787073</v>
      </c>
      <c r="X384" s="5">
        <v>29550953</v>
      </c>
      <c r="Y384" s="5">
        <v>8788817</v>
      </c>
      <c r="Z384" s="7">
        <v>0</v>
      </c>
      <c r="AA384" s="5">
        <v>26256</v>
      </c>
      <c r="AB384" s="5">
        <v>24746</v>
      </c>
      <c r="AC384" s="5">
        <v>0</v>
      </c>
      <c r="AD384" s="5">
        <v>0</v>
      </c>
      <c r="AE384" s="5">
        <v>34037</v>
      </c>
      <c r="AF384" s="5">
        <v>0</v>
      </c>
      <c r="AG384" s="5">
        <v>0</v>
      </c>
      <c r="AH384" s="5">
        <v>0</v>
      </c>
      <c r="AI384" s="15">
        <v>0</v>
      </c>
      <c r="AJ384" s="9">
        <v>1988</v>
      </c>
      <c r="AK384" s="5">
        <v>0</v>
      </c>
      <c r="AL384" s="5">
        <v>0</v>
      </c>
      <c r="AM384" s="5">
        <v>0</v>
      </c>
      <c r="AN384" s="5"/>
      <c r="AO384" s="7">
        <v>18600991325</v>
      </c>
      <c r="AP384" s="27"/>
    </row>
    <row r="385" spans="1:42" ht="12" customHeight="1">
      <c r="A385" s="6">
        <v>2013</v>
      </c>
      <c r="B385" s="6" t="s">
        <v>43</v>
      </c>
      <c r="C385" s="4">
        <v>41548</v>
      </c>
      <c r="D385" s="5">
        <v>2745228051</v>
      </c>
      <c r="E385" s="5">
        <v>153147753</v>
      </c>
      <c r="F385" s="5">
        <v>492021297</v>
      </c>
      <c r="G385" s="5">
        <v>2498077034</v>
      </c>
      <c r="H385" s="5">
        <v>239318242</v>
      </c>
      <c r="I385" s="5">
        <v>418849858</v>
      </c>
      <c r="J385" s="5">
        <v>271490</v>
      </c>
      <c r="K385" s="5">
        <v>1097023146</v>
      </c>
      <c r="L385" s="5">
        <v>22259608</v>
      </c>
      <c r="M385" s="5">
        <v>3337554</v>
      </c>
      <c r="N385" s="9">
        <v>42292527</v>
      </c>
      <c r="O385" s="5">
        <v>111971924</v>
      </c>
      <c r="P385" s="5">
        <v>134702095</v>
      </c>
      <c r="Q385" s="5">
        <v>0</v>
      </c>
      <c r="R385" s="5">
        <v>11335969276</v>
      </c>
      <c r="S385" s="5">
        <v>60239311</v>
      </c>
      <c r="T385" s="5">
        <v>2511484155</v>
      </c>
      <c r="U385" s="9">
        <v>36685455</v>
      </c>
      <c r="V385" s="9">
        <v>74065431</v>
      </c>
      <c r="W385" s="5">
        <v>46680601</v>
      </c>
      <c r="X385" s="5">
        <v>34827455</v>
      </c>
      <c r="Y385" s="5">
        <v>8846755</v>
      </c>
      <c r="Z385" s="7">
        <v>0</v>
      </c>
      <c r="AA385" s="5">
        <v>5687</v>
      </c>
      <c r="AB385" s="5">
        <v>71361</v>
      </c>
      <c r="AC385" s="5">
        <v>0</v>
      </c>
      <c r="AD385" s="5">
        <v>0</v>
      </c>
      <c r="AE385" s="5">
        <v>0</v>
      </c>
      <c r="AF385" s="5">
        <v>150007</v>
      </c>
      <c r="AG385" s="5">
        <v>0</v>
      </c>
      <c r="AH385" s="5">
        <v>0</v>
      </c>
      <c r="AI385" s="15">
        <v>0</v>
      </c>
      <c r="AJ385" s="9">
        <v>19659</v>
      </c>
      <c r="AK385" s="5">
        <v>15704</v>
      </c>
      <c r="AL385" s="5">
        <v>0</v>
      </c>
      <c r="AM385" s="5">
        <v>0</v>
      </c>
      <c r="AN385" s="5"/>
      <c r="AO385" s="7">
        <v>22078402278</v>
      </c>
      <c r="AP385" s="27"/>
    </row>
    <row r="386" spans="1:42" ht="12" customHeight="1">
      <c r="A386" s="6">
        <v>2013</v>
      </c>
      <c r="B386" s="6" t="s">
        <v>44</v>
      </c>
      <c r="C386" s="4">
        <v>41579</v>
      </c>
      <c r="D386" s="5">
        <v>3114478602</v>
      </c>
      <c r="E386" s="5">
        <v>106426116</v>
      </c>
      <c r="F386" s="5">
        <v>453347811</v>
      </c>
      <c r="G386" s="5">
        <v>2383997669</v>
      </c>
      <c r="H386" s="5">
        <v>238523238</v>
      </c>
      <c r="I386" s="5">
        <v>413211374</v>
      </c>
      <c r="J386" s="5">
        <v>219069</v>
      </c>
      <c r="K386" s="5">
        <v>976470455</v>
      </c>
      <c r="L386" s="5">
        <v>291431004</v>
      </c>
      <c r="M386" s="5">
        <v>136531789</v>
      </c>
      <c r="N386" s="9">
        <v>39968204</v>
      </c>
      <c r="O386" s="5">
        <v>18411104</v>
      </c>
      <c r="P386" s="5">
        <v>144584978</v>
      </c>
      <c r="Q386" s="5">
        <v>0</v>
      </c>
      <c r="R386" s="5">
        <v>10730553979</v>
      </c>
      <c r="S386" s="5">
        <v>55897403</v>
      </c>
      <c r="T386" s="5">
        <v>1763104471</v>
      </c>
      <c r="U386" s="9">
        <v>14728781</v>
      </c>
      <c r="V386" s="9">
        <v>60822057</v>
      </c>
      <c r="W386" s="5">
        <v>61397133</v>
      </c>
      <c r="X386" s="5">
        <v>35973109</v>
      </c>
      <c r="Y386" s="5">
        <v>9422034</v>
      </c>
      <c r="Z386" s="7">
        <v>0</v>
      </c>
      <c r="AA386" s="5">
        <v>3360</v>
      </c>
      <c r="AB386" s="5">
        <v>28546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15">
        <v>0</v>
      </c>
      <c r="AJ386" s="9">
        <v>11075</v>
      </c>
      <c r="AK386" s="5">
        <v>10722</v>
      </c>
      <c r="AL386" s="5">
        <v>572394</v>
      </c>
      <c r="AM386" s="5">
        <v>0</v>
      </c>
      <c r="AN386" s="5"/>
      <c r="AO386" s="7">
        <v>21055388893</v>
      </c>
      <c r="AP386" s="27"/>
    </row>
    <row r="387" spans="1:42" ht="12" customHeight="1">
      <c r="A387" s="6">
        <v>2013</v>
      </c>
      <c r="B387" s="6" t="s">
        <v>45</v>
      </c>
      <c r="C387" s="4">
        <v>41609</v>
      </c>
      <c r="D387" s="5">
        <v>2213545067</v>
      </c>
      <c r="E387" s="5">
        <v>96406253</v>
      </c>
      <c r="F387" s="5">
        <v>374436856</v>
      </c>
      <c r="G387" s="5">
        <v>2309469315</v>
      </c>
      <c r="H387" s="5">
        <v>257741031</v>
      </c>
      <c r="I387" s="5">
        <v>445030294</v>
      </c>
      <c r="J387" s="5">
        <v>702098</v>
      </c>
      <c r="K387" s="5">
        <v>1012630562</v>
      </c>
      <c r="L387" s="5">
        <v>120679854</v>
      </c>
      <c r="M387" s="5">
        <v>74589679</v>
      </c>
      <c r="N387" s="9">
        <v>35973212</v>
      </c>
      <c r="O387" s="5">
        <v>184011341</v>
      </c>
      <c r="P387" s="5">
        <v>148995913</v>
      </c>
      <c r="Q387" s="5">
        <v>0</v>
      </c>
      <c r="R387" s="5">
        <v>10524103188</v>
      </c>
      <c r="S387" s="5">
        <v>54824152</v>
      </c>
      <c r="T387" s="5">
        <v>2293519038</v>
      </c>
      <c r="U387" s="9">
        <v>11849954</v>
      </c>
      <c r="V387" s="9">
        <v>32393953</v>
      </c>
      <c r="W387" s="5">
        <v>40464755</v>
      </c>
      <c r="X387" s="5">
        <v>35141942</v>
      </c>
      <c r="Y387" s="5">
        <v>11857739</v>
      </c>
      <c r="Z387" s="7">
        <v>0</v>
      </c>
      <c r="AA387" s="5">
        <v>3679</v>
      </c>
      <c r="AB387" s="5">
        <v>32163</v>
      </c>
      <c r="AC387" s="5">
        <v>0</v>
      </c>
      <c r="AD387" s="5">
        <v>0</v>
      </c>
      <c r="AE387" s="5">
        <v>1906</v>
      </c>
      <c r="AF387" s="5">
        <v>0</v>
      </c>
      <c r="AG387" s="5">
        <v>0</v>
      </c>
      <c r="AH387" s="5">
        <v>0</v>
      </c>
      <c r="AI387" s="15">
        <v>0</v>
      </c>
      <c r="AJ387" s="9">
        <v>28929</v>
      </c>
      <c r="AK387" s="5">
        <v>0</v>
      </c>
      <c r="AL387" s="5">
        <v>0</v>
      </c>
      <c r="AM387" s="5">
        <v>0</v>
      </c>
      <c r="AN387" s="5"/>
      <c r="AO387" s="7">
        <v>20267747952</v>
      </c>
      <c r="AP387" s="27"/>
    </row>
    <row r="388" spans="1:42" s="57" customFormat="1" ht="10.5" customHeight="1">
      <c r="A388" s="57">
        <v>2014</v>
      </c>
      <c r="B388" s="57" t="s">
        <v>34</v>
      </c>
      <c r="C388" s="36">
        <v>41640</v>
      </c>
      <c r="D388" s="33">
        <v>2573147681</v>
      </c>
      <c r="E388" s="33">
        <v>101557280</v>
      </c>
      <c r="F388" s="33">
        <v>468746325</v>
      </c>
      <c r="G388" s="33">
        <v>3148362862</v>
      </c>
      <c r="H388" s="33">
        <v>437954080</v>
      </c>
      <c r="I388" s="33">
        <v>351279145</v>
      </c>
      <c r="J388" s="33">
        <v>1737509</v>
      </c>
      <c r="K388" s="33">
        <v>814706860</v>
      </c>
      <c r="L388" s="33">
        <v>68222258</v>
      </c>
      <c r="M388" s="33">
        <v>38795040</v>
      </c>
      <c r="N388" s="37">
        <v>39697516</v>
      </c>
      <c r="O388" s="33">
        <v>4038885</v>
      </c>
      <c r="P388" s="33">
        <v>129898496</v>
      </c>
      <c r="Q388" s="33">
        <v>0</v>
      </c>
      <c r="R388" s="33">
        <v>11861227664</v>
      </c>
      <c r="S388" s="33">
        <v>57057613</v>
      </c>
      <c r="T388" s="33">
        <v>2441602093</v>
      </c>
      <c r="U388" s="37">
        <v>12108884</v>
      </c>
      <c r="V388" s="37">
        <v>35617696</v>
      </c>
      <c r="W388" s="33">
        <v>50667944</v>
      </c>
      <c r="X388" s="33">
        <v>38448807</v>
      </c>
      <c r="Y388" s="33">
        <v>8792885</v>
      </c>
      <c r="Z388" s="34">
        <v>0</v>
      </c>
      <c r="AA388" s="33">
        <v>0</v>
      </c>
      <c r="AB388" s="33">
        <v>27983</v>
      </c>
      <c r="AC388" s="33">
        <v>0</v>
      </c>
      <c r="AD388" s="33">
        <v>0</v>
      </c>
      <c r="AE388" s="33">
        <v>0</v>
      </c>
      <c r="AF388" s="33">
        <v>0</v>
      </c>
      <c r="AG388" s="33">
        <v>0</v>
      </c>
      <c r="AH388" s="33">
        <v>0</v>
      </c>
      <c r="AI388" s="38">
        <v>0</v>
      </c>
      <c r="AJ388" s="37">
        <v>0</v>
      </c>
      <c r="AK388" s="33">
        <v>0</v>
      </c>
      <c r="AL388" s="33">
        <v>13256</v>
      </c>
      <c r="AM388" s="33">
        <v>0</v>
      </c>
      <c r="AN388" s="33"/>
      <c r="AO388" s="34">
        <v>22693252535</v>
      </c>
    </row>
    <row r="389" spans="1:42" s="47" customFormat="1" ht="10.5" customHeight="1">
      <c r="A389" s="47">
        <v>2014</v>
      </c>
      <c r="B389" s="47" t="s">
        <v>35</v>
      </c>
      <c r="C389" s="4">
        <v>41671</v>
      </c>
      <c r="D389" s="5">
        <v>2492854598</v>
      </c>
      <c r="E389" s="5">
        <v>114583173</v>
      </c>
      <c r="F389" s="5">
        <v>337485975</v>
      </c>
      <c r="G389" s="5">
        <v>2625619945</v>
      </c>
      <c r="H389" s="5">
        <v>261295388</v>
      </c>
      <c r="I389" s="5">
        <v>409867042</v>
      </c>
      <c r="J389" s="5">
        <v>737526</v>
      </c>
      <c r="K389" s="5">
        <v>988398726</v>
      </c>
      <c r="L389" s="5">
        <v>89551692</v>
      </c>
      <c r="M389" s="5">
        <v>47881701</v>
      </c>
      <c r="N389" s="9">
        <v>43371278</v>
      </c>
      <c r="O389" s="5">
        <v>7670101</v>
      </c>
      <c r="P389" s="5">
        <v>106330588</v>
      </c>
      <c r="Q389" s="5">
        <v>0</v>
      </c>
      <c r="R389" s="5">
        <v>10248059158</v>
      </c>
      <c r="S389" s="5">
        <v>62598786</v>
      </c>
      <c r="T389" s="5">
        <v>2258032010</v>
      </c>
      <c r="U389" s="9">
        <v>12049820</v>
      </c>
      <c r="V389" s="9">
        <v>34540026</v>
      </c>
      <c r="W389" s="5">
        <v>58893614</v>
      </c>
      <c r="X389" s="5">
        <v>32619245</v>
      </c>
      <c r="Y389" s="5">
        <v>9094572</v>
      </c>
      <c r="Z389" s="7">
        <v>0</v>
      </c>
      <c r="AA389" s="5">
        <v>515</v>
      </c>
      <c r="AB389" s="5">
        <v>25942</v>
      </c>
      <c r="AC389" s="5">
        <v>0</v>
      </c>
      <c r="AD389" s="5">
        <v>1600</v>
      </c>
      <c r="AE389" s="5">
        <v>0</v>
      </c>
      <c r="AF389" s="5">
        <v>0</v>
      </c>
      <c r="AG389" s="5">
        <v>0</v>
      </c>
      <c r="AH389" s="5">
        <v>0</v>
      </c>
      <c r="AI389" s="15">
        <v>0</v>
      </c>
      <c r="AJ389" s="9">
        <v>51836</v>
      </c>
      <c r="AK389" s="5">
        <v>44671</v>
      </c>
      <c r="AL389" s="5">
        <v>0</v>
      </c>
      <c r="AM389" s="5">
        <v>0</v>
      </c>
      <c r="AN389" s="5"/>
      <c r="AO389" s="7">
        <v>20225918194</v>
      </c>
    </row>
    <row r="390" spans="1:42" s="47" customFormat="1" ht="10.5" customHeight="1">
      <c r="A390" s="47">
        <v>2014</v>
      </c>
      <c r="B390" s="47" t="s">
        <v>36</v>
      </c>
      <c r="C390" s="4">
        <v>41699</v>
      </c>
      <c r="D390" s="5">
        <v>2192597234</v>
      </c>
      <c r="E390" s="5">
        <v>90254681</v>
      </c>
      <c r="F390" s="5">
        <v>344857367</v>
      </c>
      <c r="G390" s="5">
        <v>2574091626</v>
      </c>
      <c r="H390" s="5">
        <v>211217453</v>
      </c>
      <c r="I390" s="5">
        <v>413939001</v>
      </c>
      <c r="J390" s="5">
        <v>597781</v>
      </c>
      <c r="K390" s="5">
        <v>1055629032</v>
      </c>
      <c r="L390" s="5">
        <v>39095119</v>
      </c>
      <c r="M390" s="5">
        <v>22012428</v>
      </c>
      <c r="N390" s="9">
        <v>41353280</v>
      </c>
      <c r="O390" s="5">
        <v>3072793</v>
      </c>
      <c r="P390" s="5">
        <v>99750791</v>
      </c>
      <c r="Q390" s="5">
        <v>0</v>
      </c>
      <c r="R390" s="5">
        <v>10172446237</v>
      </c>
      <c r="S390" s="5">
        <v>64407480</v>
      </c>
      <c r="T390" s="5">
        <v>2089471002</v>
      </c>
      <c r="U390" s="9">
        <v>13518689</v>
      </c>
      <c r="V390" s="9">
        <v>37103576</v>
      </c>
      <c r="W390" s="5">
        <v>63313318</v>
      </c>
      <c r="X390" s="5">
        <v>35248269</v>
      </c>
      <c r="Y390" s="5">
        <v>11036955</v>
      </c>
      <c r="Z390" s="7">
        <v>0</v>
      </c>
      <c r="AA390" s="5">
        <v>1091</v>
      </c>
      <c r="AB390" s="5">
        <v>40437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15">
        <v>0</v>
      </c>
      <c r="AJ390" s="9">
        <v>18867</v>
      </c>
      <c r="AK390" s="5">
        <v>3829</v>
      </c>
      <c r="AL390" s="5">
        <v>155900</v>
      </c>
      <c r="AM390" s="5">
        <v>0</v>
      </c>
      <c r="AN390" s="5"/>
      <c r="AO390" s="7">
        <v>19554462811</v>
      </c>
    </row>
    <row r="391" spans="1:42" s="47" customFormat="1" ht="10.5" customHeight="1">
      <c r="A391" s="47">
        <v>2014</v>
      </c>
      <c r="B391" s="47" t="s">
        <v>37</v>
      </c>
      <c r="C391" s="4">
        <v>41730</v>
      </c>
      <c r="D391" s="5">
        <v>3047272469</v>
      </c>
      <c r="E391" s="5">
        <v>131488615</v>
      </c>
      <c r="F391" s="5">
        <v>378694141</v>
      </c>
      <c r="G391" s="5">
        <v>2328175492</v>
      </c>
      <c r="H391" s="5">
        <v>314910703</v>
      </c>
      <c r="I391" s="5">
        <v>422869442</v>
      </c>
      <c r="J391" s="5">
        <v>313709</v>
      </c>
      <c r="K391" s="5">
        <v>1090307954</v>
      </c>
      <c r="L391" s="5">
        <v>105327328</v>
      </c>
      <c r="M391" s="5">
        <v>55998513</v>
      </c>
      <c r="N391" s="9">
        <v>40786846</v>
      </c>
      <c r="O391" s="5">
        <v>109379308</v>
      </c>
      <c r="P391" s="5">
        <v>115530264</v>
      </c>
      <c r="Q391" s="5">
        <v>0</v>
      </c>
      <c r="R391" s="5">
        <v>10067082299</v>
      </c>
      <c r="S391" s="5">
        <v>62723943</v>
      </c>
      <c r="T391" s="5">
        <v>2075737085</v>
      </c>
      <c r="U391" s="9">
        <v>11811784</v>
      </c>
      <c r="V391" s="9">
        <v>0</v>
      </c>
      <c r="W391" s="5">
        <v>54908142</v>
      </c>
      <c r="X391" s="5">
        <v>45939897</v>
      </c>
      <c r="Y391" s="5">
        <v>18198858</v>
      </c>
      <c r="Z391" s="7">
        <v>0</v>
      </c>
      <c r="AA391" s="5">
        <v>77</v>
      </c>
      <c r="AB391" s="5">
        <v>27141</v>
      </c>
      <c r="AC391" s="5">
        <v>0</v>
      </c>
      <c r="AD391" s="5">
        <v>913</v>
      </c>
      <c r="AE391" s="5">
        <v>0</v>
      </c>
      <c r="AF391" s="5">
        <v>0</v>
      </c>
      <c r="AG391" s="5">
        <v>0</v>
      </c>
      <c r="AH391" s="5">
        <v>0</v>
      </c>
      <c r="AI391" s="15">
        <v>0</v>
      </c>
      <c r="AJ391" s="9">
        <v>72163</v>
      </c>
      <c r="AK391" s="5">
        <v>4656</v>
      </c>
      <c r="AL391" s="5">
        <v>0</v>
      </c>
      <c r="AM391" s="5">
        <v>0</v>
      </c>
      <c r="AN391" s="5"/>
      <c r="AO391" s="7">
        <v>20497811768</v>
      </c>
    </row>
    <row r="392" spans="1:42" s="47" customFormat="1" ht="10.5" customHeight="1">
      <c r="A392" s="47">
        <v>2014</v>
      </c>
      <c r="B392" s="47" t="s">
        <v>73</v>
      </c>
      <c r="C392" s="4">
        <v>41760</v>
      </c>
      <c r="D392" s="5">
        <v>2100630840</v>
      </c>
      <c r="E392" s="5">
        <v>113040571</v>
      </c>
      <c r="F392" s="5">
        <v>443687290</v>
      </c>
      <c r="G392" s="5">
        <v>2672693644</v>
      </c>
      <c r="H392" s="5">
        <v>294257012</v>
      </c>
      <c r="I392" s="5">
        <v>415793417</v>
      </c>
      <c r="J392" s="5">
        <v>307493</v>
      </c>
      <c r="K392" s="5">
        <v>1404554449</v>
      </c>
      <c r="L392" s="5">
        <v>124594425</v>
      </c>
      <c r="M392" s="5">
        <v>72325479</v>
      </c>
      <c r="N392" s="9">
        <v>42617728</v>
      </c>
      <c r="O392" s="5">
        <v>1072204</v>
      </c>
      <c r="P392" s="5">
        <v>125069623</v>
      </c>
      <c r="Q392" s="5">
        <v>0</v>
      </c>
      <c r="R392" s="5">
        <v>10929934220</v>
      </c>
      <c r="S392" s="5">
        <v>63338617</v>
      </c>
      <c r="T392" s="5">
        <v>1764486400</v>
      </c>
      <c r="U392" s="9">
        <v>16058351</v>
      </c>
      <c r="V392" s="9">
        <v>40726551</v>
      </c>
      <c r="W392" s="5">
        <v>39636673</v>
      </c>
      <c r="X392" s="5">
        <v>50504659</v>
      </c>
      <c r="Y392" s="5">
        <v>8692892</v>
      </c>
      <c r="Z392" s="7">
        <v>0</v>
      </c>
      <c r="AA392" s="5">
        <v>303</v>
      </c>
      <c r="AB392" s="5">
        <v>32592</v>
      </c>
      <c r="AC392" s="5">
        <v>0</v>
      </c>
      <c r="AD392" s="5">
        <v>265934</v>
      </c>
      <c r="AE392" s="5">
        <v>0</v>
      </c>
      <c r="AF392" s="5">
        <v>0</v>
      </c>
      <c r="AG392" s="5">
        <v>0</v>
      </c>
      <c r="AH392" s="5">
        <v>0</v>
      </c>
      <c r="AI392" s="15">
        <v>0</v>
      </c>
      <c r="AJ392" s="9">
        <v>1250</v>
      </c>
      <c r="AK392" s="5">
        <v>0</v>
      </c>
      <c r="AL392" s="5">
        <v>0</v>
      </c>
      <c r="AM392" s="5">
        <v>0</v>
      </c>
      <c r="AN392" s="5"/>
      <c r="AO392" s="7">
        <v>20723871897</v>
      </c>
    </row>
    <row r="393" spans="1:42" s="47" customFormat="1" ht="10.5" customHeight="1">
      <c r="A393" s="47">
        <v>2014</v>
      </c>
      <c r="B393" s="47" t="s">
        <v>39</v>
      </c>
      <c r="C393" s="4">
        <v>41791</v>
      </c>
      <c r="D393" s="5">
        <v>2059100427</v>
      </c>
      <c r="E393" s="5">
        <v>124256956</v>
      </c>
      <c r="F393" s="5">
        <v>373293171</v>
      </c>
      <c r="G393" s="5">
        <v>2033880395</v>
      </c>
      <c r="H393" s="5">
        <v>253342948</v>
      </c>
      <c r="I393" s="5">
        <v>474538823</v>
      </c>
      <c r="J393" s="5">
        <v>565694</v>
      </c>
      <c r="K393" s="5">
        <v>1086157265</v>
      </c>
      <c r="L393" s="5">
        <v>64320924</v>
      </c>
      <c r="M393" s="5">
        <v>43208700</v>
      </c>
      <c r="N393" s="9">
        <v>42085496</v>
      </c>
      <c r="O393" s="5">
        <v>2729822</v>
      </c>
      <c r="P393" s="5">
        <v>118419201</v>
      </c>
      <c r="Q393" s="5">
        <v>0</v>
      </c>
      <c r="R393" s="5">
        <v>9818615946</v>
      </c>
      <c r="S393" s="5">
        <v>63352089</v>
      </c>
      <c r="T393" s="5">
        <v>2049517257</v>
      </c>
      <c r="U393" s="9">
        <v>26219501</v>
      </c>
      <c r="V393" s="9">
        <v>64565229</v>
      </c>
      <c r="W393" s="5">
        <v>56408187</v>
      </c>
      <c r="X393" s="5">
        <v>46979413</v>
      </c>
      <c r="Y393" s="5">
        <v>8999468</v>
      </c>
      <c r="Z393" s="7">
        <v>0</v>
      </c>
      <c r="AA393" s="5">
        <v>304040</v>
      </c>
      <c r="AB393" s="5">
        <v>38458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15">
        <v>0</v>
      </c>
      <c r="AJ393" s="9">
        <v>520389</v>
      </c>
      <c r="AK393" s="5">
        <v>0</v>
      </c>
      <c r="AL393" s="5">
        <v>0</v>
      </c>
      <c r="AM393" s="5">
        <v>0</v>
      </c>
      <c r="AN393" s="5"/>
      <c r="AO393" s="7">
        <v>18799106179</v>
      </c>
    </row>
    <row r="394" spans="1:42" s="47" customFormat="1" ht="10.5" customHeight="1">
      <c r="A394" s="47">
        <v>2014</v>
      </c>
      <c r="B394" s="47" t="s">
        <v>40</v>
      </c>
      <c r="C394" s="4">
        <v>41821</v>
      </c>
      <c r="D394" s="5">
        <v>2044768011</v>
      </c>
      <c r="E394" s="5">
        <v>127909927</v>
      </c>
      <c r="F394" s="5">
        <v>457152792</v>
      </c>
      <c r="G394" s="5">
        <v>2423294631</v>
      </c>
      <c r="H394" s="5">
        <v>325303916</v>
      </c>
      <c r="I394" s="5">
        <v>450053528</v>
      </c>
      <c r="J394" s="5">
        <v>100215</v>
      </c>
      <c r="K394" s="5">
        <v>1123497186</v>
      </c>
      <c r="L394" s="5">
        <v>53428039</v>
      </c>
      <c r="M394" s="5">
        <v>30879082</v>
      </c>
      <c r="N394" s="9">
        <v>42595568</v>
      </c>
      <c r="O394" s="5">
        <v>3967535</v>
      </c>
      <c r="P394" s="5">
        <v>122623194</v>
      </c>
      <c r="Q394" s="5">
        <v>0</v>
      </c>
      <c r="R394" s="5">
        <v>11230132293</v>
      </c>
      <c r="S394" s="5">
        <v>63106152</v>
      </c>
      <c r="T394" s="5">
        <v>2159218424</v>
      </c>
      <c r="U394" s="9">
        <v>28503619</v>
      </c>
      <c r="V394" s="9">
        <v>65006681</v>
      </c>
      <c r="W394" s="5">
        <v>57308292</v>
      </c>
      <c r="X394" s="5">
        <v>51492936</v>
      </c>
      <c r="Y394" s="5">
        <v>9021199</v>
      </c>
      <c r="Z394" s="7">
        <v>0</v>
      </c>
      <c r="AA394" s="5">
        <v>158670</v>
      </c>
      <c r="AB394" s="5">
        <v>145228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15">
        <v>0</v>
      </c>
      <c r="AJ394" s="9">
        <v>22036</v>
      </c>
      <c r="AK394" s="5">
        <v>0</v>
      </c>
      <c r="AL394" s="5">
        <v>176770</v>
      </c>
      <c r="AM394" s="5">
        <v>0</v>
      </c>
      <c r="AN394" s="5"/>
      <c r="AO394" s="7">
        <v>20880576480</v>
      </c>
    </row>
    <row r="395" spans="1:42" s="47" customFormat="1" ht="10.5" customHeight="1">
      <c r="A395" s="47">
        <v>2014</v>
      </c>
      <c r="B395" s="47" t="s">
        <v>41</v>
      </c>
      <c r="C395" s="4">
        <v>41852</v>
      </c>
      <c r="D395" s="5">
        <v>2236958678</v>
      </c>
      <c r="E395" s="5">
        <v>122657465</v>
      </c>
      <c r="F395" s="5">
        <v>460161238</v>
      </c>
      <c r="G395" s="5">
        <v>2370557357</v>
      </c>
      <c r="H395" s="5">
        <v>200794452</v>
      </c>
      <c r="I395" s="5">
        <v>524027900</v>
      </c>
      <c r="J395" s="5">
        <v>175082</v>
      </c>
      <c r="K395" s="5">
        <v>1074345736</v>
      </c>
      <c r="L395" s="5">
        <v>82600393</v>
      </c>
      <c r="M395" s="5">
        <v>48662405</v>
      </c>
      <c r="N395" s="9">
        <v>42342681</v>
      </c>
      <c r="O395" s="5">
        <v>2558547</v>
      </c>
      <c r="P395" s="5">
        <v>133277401</v>
      </c>
      <c r="Q395" s="5">
        <v>0</v>
      </c>
      <c r="R395" s="5">
        <v>10324137284</v>
      </c>
      <c r="S395" s="5">
        <v>60309974</v>
      </c>
      <c r="T395" s="5">
        <v>1662350754</v>
      </c>
      <c r="U395" s="9">
        <v>23582484</v>
      </c>
      <c r="V395" s="9">
        <v>60556178</v>
      </c>
      <c r="W395" s="5">
        <v>59472508</v>
      </c>
      <c r="X395" s="5">
        <v>42449241</v>
      </c>
      <c r="Y395" s="5">
        <v>9004612</v>
      </c>
      <c r="Z395" s="7">
        <v>0</v>
      </c>
      <c r="AA395" s="5">
        <v>1668</v>
      </c>
      <c r="AB395" s="5">
        <v>31191</v>
      </c>
      <c r="AC395" s="5">
        <v>0</v>
      </c>
      <c r="AD395" s="5">
        <v>0</v>
      </c>
      <c r="AE395" s="5">
        <v>11390</v>
      </c>
      <c r="AF395" s="5">
        <v>0</v>
      </c>
      <c r="AG395" s="5">
        <v>0</v>
      </c>
      <c r="AH395" s="5">
        <v>0</v>
      </c>
      <c r="AI395" s="15">
        <v>0</v>
      </c>
      <c r="AJ395" s="9">
        <v>2903</v>
      </c>
      <c r="AK395" s="5">
        <v>2903</v>
      </c>
      <c r="AL395" s="5">
        <v>0</v>
      </c>
      <c r="AM395" s="5">
        <v>0</v>
      </c>
      <c r="AN395" s="5"/>
      <c r="AO395" s="7">
        <v>19562120999</v>
      </c>
    </row>
    <row r="396" spans="1:42" s="47" customFormat="1" ht="10.5" customHeight="1">
      <c r="A396" s="47">
        <v>2014</v>
      </c>
      <c r="B396" s="47" t="s">
        <v>42</v>
      </c>
      <c r="C396" s="4">
        <v>41883</v>
      </c>
      <c r="D396" s="5">
        <v>2559710497</v>
      </c>
      <c r="E396" s="5">
        <v>121696759</v>
      </c>
      <c r="F396" s="5">
        <v>457834195</v>
      </c>
      <c r="G396" s="5">
        <v>2716097602</v>
      </c>
      <c r="H396" s="5">
        <v>196333869</v>
      </c>
      <c r="I396" s="5">
        <v>509307120</v>
      </c>
      <c r="J396" s="5">
        <v>1143127</v>
      </c>
      <c r="K396" s="5">
        <v>1150567821</v>
      </c>
      <c r="L396" s="5">
        <v>57516149</v>
      </c>
      <c r="M396" s="5">
        <v>41139829</v>
      </c>
      <c r="N396" s="9">
        <v>42232877</v>
      </c>
      <c r="O396" s="5">
        <v>101185543</v>
      </c>
      <c r="P396" s="5">
        <v>129806589</v>
      </c>
      <c r="Q396" s="5">
        <v>0</v>
      </c>
      <c r="R396" s="5">
        <v>11227446740</v>
      </c>
      <c r="S396" s="5">
        <v>62694292</v>
      </c>
      <c r="T396" s="5">
        <v>2282005957</v>
      </c>
      <c r="U396" s="9">
        <v>15187440</v>
      </c>
      <c r="V396" s="9">
        <v>46321172</v>
      </c>
      <c r="W396" s="5">
        <v>55916125</v>
      </c>
      <c r="X396" s="5">
        <v>43009144</v>
      </c>
      <c r="Y396" s="5">
        <v>11199611</v>
      </c>
      <c r="Z396" s="7">
        <v>0</v>
      </c>
      <c r="AA396" s="5">
        <v>74</v>
      </c>
      <c r="AB396" s="5">
        <v>27937</v>
      </c>
      <c r="AC396" s="5">
        <v>0</v>
      </c>
      <c r="AD396" s="5">
        <v>0</v>
      </c>
      <c r="AE396" s="5">
        <v>16539</v>
      </c>
      <c r="AF396" s="5">
        <v>0</v>
      </c>
      <c r="AG396" s="5">
        <v>0</v>
      </c>
      <c r="AH396" s="5">
        <v>0</v>
      </c>
      <c r="AI396" s="15">
        <v>0</v>
      </c>
      <c r="AJ396" s="9">
        <v>1324</v>
      </c>
      <c r="AK396" s="5">
        <v>1324</v>
      </c>
      <c r="AL396" s="5">
        <v>0</v>
      </c>
      <c r="AM396" s="5">
        <v>0</v>
      </c>
      <c r="AN396" s="5"/>
      <c r="AO396" s="7">
        <v>21851667515</v>
      </c>
    </row>
    <row r="397" spans="1:42" s="47" customFormat="1" ht="10.5" customHeight="1">
      <c r="A397" s="47">
        <v>2014</v>
      </c>
      <c r="B397" s="47" t="s">
        <v>43</v>
      </c>
      <c r="C397" s="4">
        <v>41913</v>
      </c>
      <c r="D397" s="5">
        <v>3140375503</v>
      </c>
      <c r="E397" s="5">
        <v>111288208</v>
      </c>
      <c r="F397" s="5">
        <v>378853378</v>
      </c>
      <c r="G397" s="5">
        <v>2865057952</v>
      </c>
      <c r="H397" s="5">
        <v>281503435</v>
      </c>
      <c r="I397" s="5">
        <v>502632396</v>
      </c>
      <c r="J397" s="5">
        <v>134170</v>
      </c>
      <c r="K397" s="5">
        <v>1101920242</v>
      </c>
      <c r="L397" s="5">
        <v>102491535</v>
      </c>
      <c r="M397" s="5">
        <v>50800029</v>
      </c>
      <c r="N397" s="9">
        <v>42456336</v>
      </c>
      <c r="O397" s="5">
        <v>143322615</v>
      </c>
      <c r="P397" s="5">
        <v>119415992</v>
      </c>
      <c r="Q397" s="5">
        <v>0</v>
      </c>
      <c r="R397" s="5">
        <v>10947880539</v>
      </c>
      <c r="S397" s="5">
        <v>62019315.82</v>
      </c>
      <c r="T397" s="5">
        <v>2017770447</v>
      </c>
      <c r="U397" s="9">
        <v>22991273</v>
      </c>
      <c r="V397" s="9">
        <v>54946565</v>
      </c>
      <c r="W397" s="5">
        <v>62205076</v>
      </c>
      <c r="X397" s="5">
        <v>44776510</v>
      </c>
      <c r="Y397" s="5">
        <v>9716496</v>
      </c>
      <c r="Z397" s="7">
        <v>0</v>
      </c>
      <c r="AA397" s="5">
        <v>74</v>
      </c>
      <c r="AB397" s="5">
        <v>76416</v>
      </c>
      <c r="AC397" s="5">
        <v>0</v>
      </c>
      <c r="AD397" s="5">
        <v>0</v>
      </c>
      <c r="AE397" s="5">
        <v>6661</v>
      </c>
      <c r="AF397" s="5">
        <v>0</v>
      </c>
      <c r="AG397" s="5">
        <v>0</v>
      </c>
      <c r="AH397" s="5">
        <v>0</v>
      </c>
      <c r="AI397" s="15">
        <v>0</v>
      </c>
      <c r="AJ397" s="9">
        <v>3394</v>
      </c>
      <c r="AK397" s="5">
        <v>3295</v>
      </c>
      <c r="AL397" s="5">
        <v>21129</v>
      </c>
      <c r="AM397" s="5">
        <v>0</v>
      </c>
      <c r="AN397" s="5"/>
      <c r="AO397" s="7">
        <v>22093549587</v>
      </c>
    </row>
    <row r="398" spans="1:42" s="47" customFormat="1" ht="10.5" customHeight="1">
      <c r="A398" s="47">
        <v>2014</v>
      </c>
      <c r="B398" s="47" t="s">
        <v>44</v>
      </c>
      <c r="C398" s="4">
        <v>41944</v>
      </c>
      <c r="D398" s="5">
        <v>2577430663</v>
      </c>
      <c r="E398" s="5">
        <v>126731824</v>
      </c>
      <c r="F398" s="5">
        <v>468397344</v>
      </c>
      <c r="G398" s="5">
        <v>2799609231</v>
      </c>
      <c r="H398" s="5">
        <v>220713039</v>
      </c>
      <c r="I398" s="5">
        <v>494846097</v>
      </c>
      <c r="J398" s="5">
        <v>95460</v>
      </c>
      <c r="K398" s="5">
        <v>1062608068</v>
      </c>
      <c r="L398" s="5">
        <v>85918878</v>
      </c>
      <c r="M398" s="5">
        <v>40119082</v>
      </c>
      <c r="N398" s="9">
        <v>39885153</v>
      </c>
      <c r="O398" s="5">
        <v>9465391</v>
      </c>
      <c r="P398" s="5">
        <v>107164774</v>
      </c>
      <c r="Q398" s="5">
        <v>0</v>
      </c>
      <c r="R398" s="5">
        <v>11067305139</v>
      </c>
      <c r="S398" s="5">
        <v>59518363</v>
      </c>
      <c r="T398" s="5">
        <v>2101446395</v>
      </c>
      <c r="U398" s="9">
        <v>15100843</v>
      </c>
      <c r="V398" s="9">
        <v>48396887</v>
      </c>
      <c r="W398" s="5">
        <v>77430985</v>
      </c>
      <c r="X398" s="5">
        <v>46606003</v>
      </c>
      <c r="Y398" s="5">
        <v>26347593</v>
      </c>
      <c r="Z398" s="7">
        <v>0</v>
      </c>
      <c r="AA398" s="5">
        <v>10146</v>
      </c>
      <c r="AB398" s="5">
        <v>28125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15">
        <v>0</v>
      </c>
      <c r="AJ398" s="9">
        <v>2950</v>
      </c>
      <c r="AK398" s="5">
        <v>2950</v>
      </c>
      <c r="AL398" s="5">
        <v>608</v>
      </c>
      <c r="AM398" s="5">
        <v>0</v>
      </c>
      <c r="AN398" s="5"/>
      <c r="AO398" s="7">
        <v>21472572250</v>
      </c>
    </row>
    <row r="399" spans="1:42" s="47" customFormat="1" ht="10.5" customHeight="1">
      <c r="A399" s="47">
        <v>2014</v>
      </c>
      <c r="B399" s="47" t="s">
        <v>45</v>
      </c>
      <c r="C399" s="4">
        <v>41974</v>
      </c>
      <c r="D399" s="5">
        <v>2382154511</v>
      </c>
      <c r="E399" s="5">
        <v>122184463</v>
      </c>
      <c r="F399" s="5">
        <v>398168825</v>
      </c>
      <c r="G399" s="5">
        <v>2807988474</v>
      </c>
      <c r="H399" s="5">
        <v>239213253</v>
      </c>
      <c r="I399" s="5">
        <v>549137132</v>
      </c>
      <c r="J399" s="5">
        <v>233627</v>
      </c>
      <c r="K399" s="5">
        <v>1126520830</v>
      </c>
      <c r="L399" s="5">
        <v>47501800</v>
      </c>
      <c r="M399" s="5">
        <v>49673422</v>
      </c>
      <c r="N399" s="9">
        <v>42493883</v>
      </c>
      <c r="O399" s="5">
        <v>240568707</v>
      </c>
      <c r="P399" s="5">
        <v>134271590</v>
      </c>
      <c r="Q399" s="5">
        <v>0</v>
      </c>
      <c r="R399" s="5">
        <v>11092313280</v>
      </c>
      <c r="S399" s="5">
        <v>60093821</v>
      </c>
      <c r="T399" s="5">
        <v>2724795437</v>
      </c>
      <c r="U399" s="9">
        <v>11585681</v>
      </c>
      <c r="V399" s="9">
        <v>39558931</v>
      </c>
      <c r="W399" s="5">
        <v>54888548</v>
      </c>
      <c r="X399" s="5">
        <v>42213713</v>
      </c>
      <c r="Y399" s="5">
        <v>11624271</v>
      </c>
      <c r="Z399" s="7">
        <v>0</v>
      </c>
      <c r="AA399" s="5">
        <v>74</v>
      </c>
      <c r="AB399" s="5">
        <v>26976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15">
        <v>0</v>
      </c>
      <c r="AJ399" s="9">
        <v>9789</v>
      </c>
      <c r="AK399" s="5">
        <v>9789</v>
      </c>
      <c r="AL399" s="5">
        <v>452</v>
      </c>
      <c r="AM399" s="5">
        <v>0</v>
      </c>
      <c r="AN399" s="5"/>
      <c r="AO399" s="7">
        <v>22187626067</v>
      </c>
    </row>
    <row r="400" spans="1:42" s="57" customFormat="1" ht="10.5" customHeight="1">
      <c r="A400" s="57">
        <v>2015</v>
      </c>
      <c r="B400" s="57" t="s">
        <v>34</v>
      </c>
      <c r="C400" s="36">
        <v>42005</v>
      </c>
      <c r="D400" s="33">
        <v>2731268347</v>
      </c>
      <c r="E400" s="33">
        <v>122356177</v>
      </c>
      <c r="F400" s="33">
        <v>517613042</v>
      </c>
      <c r="G400" s="33">
        <v>3227573627</v>
      </c>
      <c r="H400" s="33">
        <v>425699940</v>
      </c>
      <c r="I400" s="33">
        <v>435433529</v>
      </c>
      <c r="J400" s="33">
        <v>413235</v>
      </c>
      <c r="K400" s="33">
        <v>1124980382</v>
      </c>
      <c r="L400" s="33">
        <v>57849919</v>
      </c>
      <c r="M400" s="33">
        <v>39929187</v>
      </c>
      <c r="N400" s="37">
        <v>39954563</v>
      </c>
      <c r="O400" s="33">
        <v>3339018</v>
      </c>
      <c r="P400" s="33">
        <v>120191725</v>
      </c>
      <c r="Q400" s="33">
        <v>0</v>
      </c>
      <c r="R400" s="33">
        <v>12086729142</v>
      </c>
      <c r="S400" s="33">
        <v>59973245</v>
      </c>
      <c r="T400" s="33">
        <v>2251949764</v>
      </c>
      <c r="U400" s="37">
        <v>12616317</v>
      </c>
      <c r="V400" s="37">
        <v>32997895</v>
      </c>
      <c r="W400" s="33">
        <v>62972448</v>
      </c>
      <c r="X400" s="33">
        <v>48356870</v>
      </c>
      <c r="Y400" s="33">
        <v>7458715</v>
      </c>
      <c r="Z400" s="34">
        <v>0</v>
      </c>
      <c r="AA400" s="33">
        <v>74</v>
      </c>
      <c r="AB400" s="33">
        <v>27765</v>
      </c>
      <c r="AC400" s="33">
        <v>0</v>
      </c>
      <c r="AD400" s="33">
        <v>0</v>
      </c>
      <c r="AE400" s="33">
        <v>0</v>
      </c>
      <c r="AF400" s="33">
        <v>0</v>
      </c>
      <c r="AG400" s="33">
        <v>0</v>
      </c>
      <c r="AH400" s="33">
        <v>0</v>
      </c>
      <c r="AI400" s="38">
        <v>0</v>
      </c>
      <c r="AJ400" s="37">
        <v>0</v>
      </c>
      <c r="AK400" s="55">
        <v>0</v>
      </c>
      <c r="AL400" s="55">
        <v>315</v>
      </c>
      <c r="AM400" s="55">
        <v>0</v>
      </c>
      <c r="AN400" s="55"/>
      <c r="AO400" s="34">
        <v>23411542692</v>
      </c>
    </row>
    <row r="401" spans="1:44" s="47" customFormat="1" ht="10.5" customHeight="1">
      <c r="A401" s="47">
        <v>2015</v>
      </c>
      <c r="B401" s="47" t="s">
        <v>35</v>
      </c>
      <c r="C401" s="4">
        <v>42036</v>
      </c>
      <c r="D401" s="5">
        <v>2528887556</v>
      </c>
      <c r="E401" s="5">
        <v>97349568</v>
      </c>
      <c r="F401" s="5">
        <v>418533738</v>
      </c>
      <c r="G401" s="5">
        <v>2608349788</v>
      </c>
      <c r="H401" s="5">
        <v>194353698</v>
      </c>
      <c r="I401" s="5">
        <v>493578956</v>
      </c>
      <c r="J401" s="5">
        <v>404723</v>
      </c>
      <c r="K401" s="5">
        <v>1111708263</v>
      </c>
      <c r="L401" s="5">
        <v>65531766</v>
      </c>
      <c r="M401" s="5">
        <v>39634711</v>
      </c>
      <c r="N401" s="9">
        <v>48573047</v>
      </c>
      <c r="O401" s="5">
        <v>16614246</v>
      </c>
      <c r="P401" s="5">
        <v>109794497</v>
      </c>
      <c r="Q401" s="5">
        <v>0</v>
      </c>
      <c r="R401" s="5">
        <v>10452116463</v>
      </c>
      <c r="S401" s="5">
        <v>66675921</v>
      </c>
      <c r="T401" s="5">
        <v>2474041503</v>
      </c>
      <c r="U401" s="9">
        <v>11042083</v>
      </c>
      <c r="V401" s="9">
        <v>31573094</v>
      </c>
      <c r="W401" s="5">
        <v>57810826</v>
      </c>
      <c r="X401" s="5">
        <v>40298577</v>
      </c>
      <c r="Y401" s="5">
        <v>8175907</v>
      </c>
      <c r="Z401" s="7">
        <v>0</v>
      </c>
      <c r="AA401" s="5">
        <v>1374</v>
      </c>
      <c r="AB401" s="5">
        <v>26451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15">
        <v>0</v>
      </c>
      <c r="AJ401" s="9">
        <v>3540</v>
      </c>
      <c r="AK401" s="56">
        <v>0</v>
      </c>
      <c r="AL401" s="56">
        <v>0</v>
      </c>
      <c r="AM401" s="56">
        <v>0</v>
      </c>
      <c r="AN401" s="56"/>
      <c r="AO401" s="7">
        <v>20855547733</v>
      </c>
    </row>
    <row r="402" spans="1:44" s="47" customFormat="1" ht="10.5" customHeight="1">
      <c r="A402" s="47">
        <v>2015</v>
      </c>
      <c r="B402" s="47" t="s">
        <v>36</v>
      </c>
      <c r="C402" s="4">
        <v>42064</v>
      </c>
      <c r="D402" s="5">
        <v>2624074829</v>
      </c>
      <c r="E402" s="5">
        <v>117310577</v>
      </c>
      <c r="F402" s="5">
        <v>423031423</v>
      </c>
      <c r="G402" s="5">
        <v>3283954414</v>
      </c>
      <c r="H402" s="5">
        <v>186802188</v>
      </c>
      <c r="I402" s="5">
        <v>496231849</v>
      </c>
      <c r="J402" s="5">
        <v>321219</v>
      </c>
      <c r="K402" s="5">
        <v>1193739385</v>
      </c>
      <c r="L402" s="5">
        <v>95589186</v>
      </c>
      <c r="M402" s="5">
        <v>47650146</v>
      </c>
      <c r="N402" s="9">
        <v>47068750</v>
      </c>
      <c r="O402" s="5">
        <v>8497242</v>
      </c>
      <c r="P402" s="5">
        <v>145875945</v>
      </c>
      <c r="Q402" s="5">
        <v>0</v>
      </c>
      <c r="R402" s="5">
        <v>11830078247</v>
      </c>
      <c r="S402" s="5">
        <v>70193613</v>
      </c>
      <c r="T402" s="5">
        <v>2897770778</v>
      </c>
      <c r="U402" s="9">
        <v>12004007</v>
      </c>
      <c r="V402" s="9">
        <v>32849157</v>
      </c>
      <c r="W402" s="5">
        <v>57324688</v>
      </c>
      <c r="X402" s="5">
        <v>49623097</v>
      </c>
      <c r="Y402" s="5">
        <v>8289635</v>
      </c>
      <c r="Z402" s="7">
        <v>0</v>
      </c>
      <c r="AA402" s="5">
        <v>34681</v>
      </c>
      <c r="AB402" s="5">
        <v>25650</v>
      </c>
      <c r="AC402" s="5">
        <v>0</v>
      </c>
      <c r="AD402" s="5">
        <v>141569</v>
      </c>
      <c r="AE402" s="5">
        <v>0</v>
      </c>
      <c r="AF402" s="5">
        <v>0</v>
      </c>
      <c r="AG402" s="5">
        <v>0</v>
      </c>
      <c r="AH402" s="5">
        <v>0</v>
      </c>
      <c r="AI402" s="15">
        <v>0</v>
      </c>
      <c r="AJ402" s="9">
        <v>1350</v>
      </c>
      <c r="AK402" s="56">
        <v>0</v>
      </c>
      <c r="AL402" s="56">
        <v>0</v>
      </c>
      <c r="AM402" s="56">
        <v>0</v>
      </c>
      <c r="AN402" s="56"/>
      <c r="AO402" s="7">
        <v>23615969528</v>
      </c>
    </row>
    <row r="403" spans="1:44" s="47" customFormat="1" ht="10.5" customHeight="1">
      <c r="A403" s="47">
        <v>2015</v>
      </c>
      <c r="B403" s="47" t="s">
        <v>37</v>
      </c>
      <c r="C403" s="4">
        <v>42095</v>
      </c>
      <c r="D403" s="5">
        <v>4754041736</v>
      </c>
      <c r="E403" s="5">
        <v>111456752</v>
      </c>
      <c r="F403" s="5">
        <v>416752333</v>
      </c>
      <c r="G403" s="5">
        <v>2987190828</v>
      </c>
      <c r="H403" s="5">
        <v>273337583</v>
      </c>
      <c r="I403" s="5">
        <v>494183279</v>
      </c>
      <c r="J403" s="5">
        <v>381505</v>
      </c>
      <c r="K403" s="5">
        <v>1102338935</v>
      </c>
      <c r="L403" s="5">
        <v>57158321</v>
      </c>
      <c r="M403" s="5">
        <v>37266951</v>
      </c>
      <c r="N403" s="9">
        <v>43558838</v>
      </c>
      <c r="O403" s="5">
        <v>1927125</v>
      </c>
      <c r="P403" s="5">
        <v>97222826</v>
      </c>
      <c r="Q403" s="5">
        <v>0</v>
      </c>
      <c r="R403" s="5">
        <v>10971224014</v>
      </c>
      <c r="S403" s="5">
        <v>70084348.609999999</v>
      </c>
      <c r="T403" s="5">
        <v>2386471381</v>
      </c>
      <c r="U403" s="9">
        <v>11885514</v>
      </c>
      <c r="V403" s="9">
        <v>35928510</v>
      </c>
      <c r="W403" s="5">
        <v>60369156</v>
      </c>
      <c r="X403" s="5">
        <v>50583991</v>
      </c>
      <c r="Y403" s="5">
        <v>20160833</v>
      </c>
      <c r="Z403" s="7">
        <v>0</v>
      </c>
      <c r="AA403" s="5">
        <v>1324</v>
      </c>
      <c r="AB403" s="5">
        <v>15086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15">
        <v>0</v>
      </c>
      <c r="AJ403" s="9">
        <v>2701</v>
      </c>
      <c r="AK403" s="56">
        <v>675</v>
      </c>
      <c r="AL403" s="56">
        <v>0</v>
      </c>
      <c r="AM403" s="56">
        <v>0</v>
      </c>
      <c r="AN403" s="56"/>
      <c r="AO403" s="7">
        <v>23973187220</v>
      </c>
    </row>
    <row r="404" spans="1:44" s="47" customFormat="1" ht="10.5" customHeight="1">
      <c r="A404" s="47">
        <v>2015</v>
      </c>
      <c r="B404" s="47" t="s">
        <v>73</v>
      </c>
      <c r="C404" s="4">
        <v>42125</v>
      </c>
      <c r="D404" s="5">
        <v>2350732352</v>
      </c>
      <c r="E404" s="5">
        <v>121491300</v>
      </c>
      <c r="F404" s="5">
        <v>477239734</v>
      </c>
      <c r="G404" s="5">
        <v>2816768029</v>
      </c>
      <c r="H404" s="5">
        <v>357258610</v>
      </c>
      <c r="I404" s="5">
        <v>499170503</v>
      </c>
      <c r="J404" s="5">
        <v>277158</v>
      </c>
      <c r="K404" s="5">
        <v>1565403704</v>
      </c>
      <c r="L404" s="5">
        <v>167594477</v>
      </c>
      <c r="M404" s="5">
        <v>64561551</v>
      </c>
      <c r="N404" s="9">
        <v>48797162</v>
      </c>
      <c r="O404" s="5">
        <v>25508661</v>
      </c>
      <c r="P404" s="5">
        <v>128294547</v>
      </c>
      <c r="Q404" s="5">
        <v>0</v>
      </c>
      <c r="R404" s="5">
        <v>10926425673</v>
      </c>
      <c r="S404" s="5">
        <v>67755934</v>
      </c>
      <c r="T404" s="5">
        <v>2226704105</v>
      </c>
      <c r="U404" s="9">
        <v>13302943</v>
      </c>
      <c r="V404" s="9">
        <v>37457205</v>
      </c>
      <c r="W404" s="5">
        <v>61782988</v>
      </c>
      <c r="X404" s="5">
        <v>46468537</v>
      </c>
      <c r="Y404" s="5">
        <v>6918396</v>
      </c>
      <c r="Z404" s="7">
        <v>0</v>
      </c>
      <c r="AA404" s="5">
        <v>259</v>
      </c>
      <c r="AB404" s="5">
        <v>9886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15">
        <v>0</v>
      </c>
      <c r="AJ404" s="9">
        <v>960</v>
      </c>
      <c r="AK404" s="56">
        <v>620</v>
      </c>
      <c r="AL404" s="56">
        <v>0</v>
      </c>
      <c r="AM404" s="56">
        <v>0</v>
      </c>
      <c r="AN404" s="56"/>
      <c r="AO404" s="7">
        <v>22023338766</v>
      </c>
    </row>
    <row r="405" spans="1:44" s="47" customFormat="1" ht="10.5" customHeight="1">
      <c r="A405" s="47">
        <v>2015</v>
      </c>
      <c r="B405" s="47" t="s">
        <v>39</v>
      </c>
      <c r="C405" s="4">
        <v>42156</v>
      </c>
      <c r="D405" s="5">
        <v>2725516949</v>
      </c>
      <c r="E405" s="5">
        <v>119112420</v>
      </c>
      <c r="F405" s="5">
        <v>546881542</v>
      </c>
      <c r="G405" s="5">
        <v>2528925366</v>
      </c>
      <c r="H405" s="5">
        <v>245187050</v>
      </c>
      <c r="I405" s="5">
        <v>572311969</v>
      </c>
      <c r="J405" s="5">
        <v>168003</v>
      </c>
      <c r="K405" s="5">
        <v>1236409144</v>
      </c>
      <c r="L405" s="5">
        <v>68354108</v>
      </c>
      <c r="M405" s="5">
        <v>41585156</v>
      </c>
      <c r="N405" s="9">
        <v>43731770</v>
      </c>
      <c r="O405" s="5">
        <v>1442521</v>
      </c>
      <c r="P405" s="5">
        <v>150001758</v>
      </c>
      <c r="Q405" s="5">
        <v>0</v>
      </c>
      <c r="R405" s="5">
        <v>11075978476</v>
      </c>
      <c r="S405" s="5">
        <v>67977584</v>
      </c>
      <c r="T405" s="5">
        <v>2537724269</v>
      </c>
      <c r="U405" s="9">
        <v>19482470</v>
      </c>
      <c r="V405" s="9">
        <v>48140500</v>
      </c>
      <c r="W405" s="5">
        <v>60713317</v>
      </c>
      <c r="X405" s="5">
        <v>47149679</v>
      </c>
      <c r="Y405" s="5">
        <v>7028860</v>
      </c>
      <c r="Z405" s="7">
        <v>0</v>
      </c>
      <c r="AA405" s="5">
        <v>67</v>
      </c>
      <c r="AB405" s="5">
        <v>10783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15">
        <v>0</v>
      </c>
      <c r="AJ405" s="9">
        <v>8786</v>
      </c>
      <c r="AK405" s="5">
        <v>5250</v>
      </c>
      <c r="AL405" s="56">
        <v>0</v>
      </c>
      <c r="AM405" s="5">
        <v>0</v>
      </c>
      <c r="AN405" s="5"/>
      <c r="AO405" s="7">
        <v>22144870238</v>
      </c>
    </row>
    <row r="406" spans="1:44" s="47" customFormat="1" ht="10.5" customHeight="1">
      <c r="A406" s="47">
        <v>2015</v>
      </c>
      <c r="B406" s="47" t="s">
        <v>40</v>
      </c>
      <c r="C406" s="4">
        <v>42186</v>
      </c>
      <c r="D406" s="5">
        <v>2712529490</v>
      </c>
      <c r="E406" s="5">
        <v>118743864</v>
      </c>
      <c r="F406" s="5">
        <v>528602132</v>
      </c>
      <c r="G406" s="5">
        <v>2746321508</v>
      </c>
      <c r="H406" s="5">
        <v>506444079</v>
      </c>
      <c r="I406" s="5">
        <v>535241195</v>
      </c>
      <c r="J406" s="5">
        <v>118988</v>
      </c>
      <c r="K406" s="5">
        <v>1184469704</v>
      </c>
      <c r="L406" s="5">
        <v>59752126</v>
      </c>
      <c r="M406" s="5">
        <v>41291741</v>
      </c>
      <c r="N406" s="9">
        <v>43448720</v>
      </c>
      <c r="O406" s="5">
        <v>2369151</v>
      </c>
      <c r="P406" s="5">
        <v>150551293</v>
      </c>
      <c r="Q406" s="5">
        <v>0</v>
      </c>
      <c r="R406" s="5">
        <v>11945733571</v>
      </c>
      <c r="S406" s="5">
        <v>68245456</v>
      </c>
      <c r="T406" s="5">
        <v>1858777151</v>
      </c>
      <c r="U406" s="9">
        <v>23533305</v>
      </c>
      <c r="V406" s="9">
        <v>56797252</v>
      </c>
      <c r="W406" s="5">
        <v>58527097</v>
      </c>
      <c r="X406" s="5">
        <v>49517163</v>
      </c>
      <c r="Y406" s="5">
        <v>7821917</v>
      </c>
      <c r="Z406" s="7">
        <v>0</v>
      </c>
      <c r="AA406" s="5">
        <v>297</v>
      </c>
      <c r="AB406" s="5">
        <v>14813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15">
        <v>0</v>
      </c>
      <c r="AJ406" s="9">
        <v>15838</v>
      </c>
      <c r="AK406" s="5">
        <v>4391</v>
      </c>
      <c r="AL406" s="56">
        <v>0</v>
      </c>
      <c r="AM406" s="5">
        <v>0</v>
      </c>
      <c r="AN406" s="5"/>
      <c r="AO406" s="7">
        <v>22705646638</v>
      </c>
    </row>
    <row r="407" spans="1:44" s="47" customFormat="1" ht="10.5" customHeight="1">
      <c r="A407" s="47">
        <v>2015</v>
      </c>
      <c r="B407" s="47" t="s">
        <v>41</v>
      </c>
      <c r="C407" s="4">
        <v>42217</v>
      </c>
      <c r="D407" s="5">
        <v>2851705580</v>
      </c>
      <c r="E407" s="5">
        <v>141264395</v>
      </c>
      <c r="F407" s="5">
        <v>513824653</v>
      </c>
      <c r="G407" s="5">
        <v>2597914817</v>
      </c>
      <c r="H407" s="5">
        <v>293548418</v>
      </c>
      <c r="I407" s="5">
        <v>606250022</v>
      </c>
      <c r="J407" s="5">
        <v>123067</v>
      </c>
      <c r="K407" s="5">
        <v>1208627228</v>
      </c>
      <c r="L407" s="5">
        <v>66465944</v>
      </c>
      <c r="M407" s="5">
        <v>35739249</v>
      </c>
      <c r="N407" s="9">
        <v>44182805</v>
      </c>
      <c r="O407" s="5">
        <v>5874699</v>
      </c>
      <c r="P407" s="5">
        <v>123179853</v>
      </c>
      <c r="Q407" s="5">
        <v>0</v>
      </c>
      <c r="R407" s="5">
        <v>10790734632</v>
      </c>
      <c r="S407" s="5">
        <v>64486734</v>
      </c>
      <c r="T407" s="5">
        <v>2171520959</v>
      </c>
      <c r="U407" s="9">
        <v>30106049</v>
      </c>
      <c r="V407" s="9">
        <v>72071920</v>
      </c>
      <c r="W407" s="5">
        <v>72300225</v>
      </c>
      <c r="X407" s="5">
        <v>46575387</v>
      </c>
      <c r="Y407" s="5">
        <v>5495015</v>
      </c>
      <c r="Z407" s="7">
        <v>0</v>
      </c>
      <c r="AA407" s="5">
        <v>67</v>
      </c>
      <c r="AB407" s="5">
        <v>31912</v>
      </c>
      <c r="AC407" s="5">
        <v>0</v>
      </c>
      <c r="AD407" s="5">
        <v>0</v>
      </c>
      <c r="AE407" s="5">
        <v>1684</v>
      </c>
      <c r="AF407" s="5">
        <v>0</v>
      </c>
      <c r="AG407" s="5">
        <v>0</v>
      </c>
      <c r="AH407" s="5">
        <v>0</v>
      </c>
      <c r="AI407" s="15">
        <v>0</v>
      </c>
      <c r="AJ407" s="9">
        <v>455</v>
      </c>
      <c r="AK407" s="5">
        <v>455</v>
      </c>
      <c r="AL407" s="56">
        <v>0</v>
      </c>
      <c r="AM407" s="5">
        <v>0</v>
      </c>
      <c r="AN407" s="5"/>
      <c r="AO407" s="7">
        <v>21733466519</v>
      </c>
    </row>
    <row r="408" spans="1:44" s="47" customFormat="1" ht="10.5" customHeight="1">
      <c r="A408" s="47">
        <v>2015</v>
      </c>
      <c r="B408" s="47" t="s">
        <v>42</v>
      </c>
      <c r="C408" s="4">
        <v>42248</v>
      </c>
      <c r="D408" s="5">
        <v>2638987017</v>
      </c>
      <c r="E408" s="5">
        <v>127558150</v>
      </c>
      <c r="F408" s="5">
        <v>480663191</v>
      </c>
      <c r="G408" s="5">
        <v>2963484338</v>
      </c>
      <c r="H408" s="5">
        <v>493590987</v>
      </c>
      <c r="I408" s="5">
        <v>624857169</v>
      </c>
      <c r="J408" s="5">
        <v>296412</v>
      </c>
      <c r="K408" s="5">
        <v>1244107443</v>
      </c>
      <c r="L408" s="5">
        <v>39392324</v>
      </c>
      <c r="M408" s="5">
        <v>35618064</v>
      </c>
      <c r="N408" s="9">
        <v>41825549</v>
      </c>
      <c r="O408" s="5">
        <v>115312957</v>
      </c>
      <c r="P408" s="5">
        <v>123737290</v>
      </c>
      <c r="Q408" s="5">
        <v>0</v>
      </c>
      <c r="R408" s="5">
        <v>12226502738</v>
      </c>
      <c r="S408" s="5">
        <v>65398752</v>
      </c>
      <c r="T408" s="5">
        <v>2810325408</v>
      </c>
      <c r="U408" s="9">
        <v>14980266</v>
      </c>
      <c r="V408" s="9">
        <v>57014020</v>
      </c>
      <c r="W408" s="5">
        <v>63366129</v>
      </c>
      <c r="X408" s="5">
        <v>48629119</v>
      </c>
      <c r="Y408" s="5">
        <v>5751433</v>
      </c>
      <c r="Z408" s="7">
        <v>0</v>
      </c>
      <c r="AA408" s="5">
        <v>565</v>
      </c>
      <c r="AB408" s="5">
        <v>11133</v>
      </c>
      <c r="AC408" s="5">
        <v>0</v>
      </c>
      <c r="AD408" s="5">
        <v>0</v>
      </c>
      <c r="AE408" s="5">
        <v>4385</v>
      </c>
      <c r="AF408" s="5">
        <v>0</v>
      </c>
      <c r="AG408" s="5">
        <v>0</v>
      </c>
      <c r="AH408" s="5">
        <v>0</v>
      </c>
      <c r="AI408" s="15">
        <v>0</v>
      </c>
      <c r="AJ408" s="9">
        <v>45239</v>
      </c>
      <c r="AK408" s="5">
        <v>45239</v>
      </c>
      <c r="AL408" s="56">
        <v>29</v>
      </c>
      <c r="AM408" s="5">
        <v>0</v>
      </c>
      <c r="AN408" s="5">
        <v>43475494</v>
      </c>
      <c r="AO408" s="7">
        <v>24271579208</v>
      </c>
      <c r="AP408" s="58"/>
      <c r="AQ408" s="58"/>
      <c r="AR408" s="58"/>
    </row>
    <row r="409" spans="1:44" s="47" customFormat="1" ht="10.5" customHeight="1">
      <c r="A409" s="47">
        <v>2015</v>
      </c>
      <c r="B409" s="47" t="s">
        <v>43</v>
      </c>
      <c r="C409" s="4">
        <v>42278</v>
      </c>
      <c r="D409" s="5">
        <v>3208923528</v>
      </c>
      <c r="E409" s="5">
        <v>126288217</v>
      </c>
      <c r="F409" s="5">
        <v>485153922</v>
      </c>
      <c r="G409" s="5">
        <v>3225834781</v>
      </c>
      <c r="H409" s="5">
        <v>299592628</v>
      </c>
      <c r="I409" s="5">
        <v>595243809</v>
      </c>
      <c r="J409" s="5">
        <v>28832</v>
      </c>
      <c r="K409" s="5">
        <v>1063046576</v>
      </c>
      <c r="L409" s="5">
        <v>78346868</v>
      </c>
      <c r="M409" s="5">
        <v>33742991</v>
      </c>
      <c r="N409" s="9">
        <v>41037276</v>
      </c>
      <c r="O409" s="5">
        <v>153325971</v>
      </c>
      <c r="P409" s="5">
        <v>135895340</v>
      </c>
      <c r="Q409" s="5">
        <v>0</v>
      </c>
      <c r="R409" s="5">
        <v>11427313482</v>
      </c>
      <c r="S409" s="5">
        <v>67633154</v>
      </c>
      <c r="T409" s="5">
        <v>1826266735</v>
      </c>
      <c r="U409" s="9">
        <v>25456266</v>
      </c>
      <c r="V409" s="9">
        <v>62984286</v>
      </c>
      <c r="W409" s="5">
        <v>65856546</v>
      </c>
      <c r="X409" s="5">
        <v>53116069</v>
      </c>
      <c r="Y409" s="5">
        <v>6685452</v>
      </c>
      <c r="Z409" s="7">
        <v>0</v>
      </c>
      <c r="AA409" s="5">
        <v>417475</v>
      </c>
      <c r="AB409" s="5">
        <v>123811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15">
        <v>0</v>
      </c>
      <c r="AJ409" s="9">
        <v>28434</v>
      </c>
      <c r="AK409" s="5">
        <v>0</v>
      </c>
      <c r="AL409" s="56">
        <v>0</v>
      </c>
      <c r="AM409" s="5">
        <v>0</v>
      </c>
      <c r="AN409" s="5">
        <v>126742474</v>
      </c>
      <c r="AO409" s="7">
        <v>22983057494</v>
      </c>
      <c r="AP409" s="58"/>
      <c r="AQ409" s="58"/>
      <c r="AR409" s="58"/>
    </row>
    <row r="410" spans="1:44" s="47" customFormat="1" ht="10.5" customHeight="1">
      <c r="A410" s="47">
        <v>2015</v>
      </c>
      <c r="B410" s="47" t="s">
        <v>44</v>
      </c>
      <c r="C410" s="4">
        <v>42309</v>
      </c>
      <c r="D410" s="5">
        <v>2809510946</v>
      </c>
      <c r="E410" s="5">
        <v>132625446</v>
      </c>
      <c r="F410" s="5">
        <v>521205462</v>
      </c>
      <c r="G410" s="5">
        <v>2934766722</v>
      </c>
      <c r="H410" s="5">
        <v>267937955</v>
      </c>
      <c r="I410" s="5">
        <v>592621425</v>
      </c>
      <c r="J410" s="5">
        <v>7954</v>
      </c>
      <c r="K410" s="5">
        <v>978793809</v>
      </c>
      <c r="L410" s="5">
        <v>69420908</v>
      </c>
      <c r="M410" s="5">
        <v>28241867</v>
      </c>
      <c r="N410" s="9">
        <v>38325333</v>
      </c>
      <c r="O410" s="5">
        <v>8979058</v>
      </c>
      <c r="P410" s="5">
        <v>139134066</v>
      </c>
      <c r="Q410" s="5">
        <v>0</v>
      </c>
      <c r="R410" s="5">
        <v>11821231378</v>
      </c>
      <c r="S410" s="5">
        <v>64094233.200000003</v>
      </c>
      <c r="T410" s="5">
        <v>2327592518</v>
      </c>
      <c r="U410" s="9">
        <v>14821848</v>
      </c>
      <c r="V410" s="9">
        <v>42218544</v>
      </c>
      <c r="W410" s="5">
        <v>65810875</v>
      </c>
      <c r="X410" s="5">
        <v>51773699</v>
      </c>
      <c r="Y410" s="5">
        <v>5325451</v>
      </c>
      <c r="Z410" s="7">
        <v>0</v>
      </c>
      <c r="AA410" s="5">
        <v>133</v>
      </c>
      <c r="AB410" s="5">
        <v>11444</v>
      </c>
      <c r="AC410" s="5">
        <v>0</v>
      </c>
      <c r="AD410" s="5">
        <v>0</v>
      </c>
      <c r="AE410" s="5">
        <v>1684</v>
      </c>
      <c r="AF410" s="5">
        <v>0</v>
      </c>
      <c r="AG410" s="5">
        <v>0</v>
      </c>
      <c r="AH410" s="5">
        <v>0</v>
      </c>
      <c r="AI410" s="9">
        <v>0</v>
      </c>
      <c r="AJ410" s="9">
        <v>14342</v>
      </c>
      <c r="AK410" s="5">
        <v>3410</v>
      </c>
      <c r="AL410" s="5">
        <v>0</v>
      </c>
      <c r="AM410" s="5">
        <v>0</v>
      </c>
      <c r="AN410" s="5">
        <v>120133125</v>
      </c>
      <c r="AO410" s="7">
        <v>22920885286</v>
      </c>
      <c r="AP410" s="58"/>
      <c r="AQ410" s="58"/>
      <c r="AR410" s="58"/>
    </row>
    <row r="411" spans="1:44" s="47" customFormat="1" ht="10.5" customHeight="1">
      <c r="A411" s="47">
        <v>2015</v>
      </c>
      <c r="B411" s="47" t="s">
        <v>45</v>
      </c>
      <c r="C411" s="4">
        <v>42339</v>
      </c>
      <c r="D411" s="5">
        <v>2784233949</v>
      </c>
      <c r="E411" s="5">
        <v>131824663</v>
      </c>
      <c r="F411" s="5">
        <v>508398287</v>
      </c>
      <c r="G411" s="5">
        <v>2959725567</v>
      </c>
      <c r="H411" s="5">
        <v>330997112</v>
      </c>
      <c r="I411" s="5">
        <v>631166823</v>
      </c>
      <c r="J411" s="5">
        <v>122141</v>
      </c>
      <c r="K411" s="5">
        <v>1153475252</v>
      </c>
      <c r="L411" s="5">
        <v>60417237</v>
      </c>
      <c r="M411" s="5">
        <v>58044828</v>
      </c>
      <c r="N411" s="9">
        <v>41078553</v>
      </c>
      <c r="O411" s="5">
        <v>262636657</v>
      </c>
      <c r="P411" s="5">
        <v>177285156</v>
      </c>
      <c r="Q411" s="5">
        <v>0</v>
      </c>
      <c r="R411" s="5">
        <v>11872596128</v>
      </c>
      <c r="S411" s="5">
        <v>63671599.5</v>
      </c>
      <c r="T411" s="5">
        <v>3204865878</v>
      </c>
      <c r="U411" s="9">
        <v>13303073</v>
      </c>
      <c r="V411" s="9">
        <v>42986685</v>
      </c>
      <c r="W411" s="5">
        <v>76336880</v>
      </c>
      <c r="X411" s="5">
        <v>49776730</v>
      </c>
      <c r="Y411" s="5">
        <v>4919398</v>
      </c>
      <c r="Z411" s="7">
        <v>0</v>
      </c>
      <c r="AA411" s="5">
        <v>2827</v>
      </c>
      <c r="AB411" s="5">
        <v>12062</v>
      </c>
      <c r="AC411" s="5">
        <v>0</v>
      </c>
      <c r="AD411" s="5">
        <v>0</v>
      </c>
      <c r="AE411" s="5">
        <v>2079</v>
      </c>
      <c r="AF411" s="5">
        <v>0</v>
      </c>
      <c r="AG411" s="5">
        <v>0</v>
      </c>
      <c r="AH411" s="5">
        <v>0</v>
      </c>
      <c r="AI411" s="9">
        <v>0</v>
      </c>
      <c r="AJ411" s="9">
        <v>2573</v>
      </c>
      <c r="AK411" s="5">
        <v>2573</v>
      </c>
      <c r="AL411" s="5">
        <v>1274</v>
      </c>
      <c r="AM411" s="5">
        <v>0</v>
      </c>
      <c r="AN411" s="5">
        <v>121283970</v>
      </c>
      <c r="AO411" s="7">
        <v>24423541697</v>
      </c>
      <c r="AP411" s="58"/>
      <c r="AQ411" s="58"/>
      <c r="AR411" s="58"/>
    </row>
    <row r="412" spans="1:44" s="57" customFormat="1" ht="10.5" customHeight="1">
      <c r="A412" s="57">
        <v>2016</v>
      </c>
      <c r="B412" s="57" t="s">
        <v>34</v>
      </c>
      <c r="C412" s="36">
        <v>42370</v>
      </c>
      <c r="D412" s="33">
        <v>3476519682</v>
      </c>
      <c r="E412" s="33">
        <v>128444762</v>
      </c>
      <c r="F412" s="33">
        <v>583479056</v>
      </c>
      <c r="G412" s="33">
        <v>3706917113</v>
      </c>
      <c r="H412" s="33">
        <v>611849297</v>
      </c>
      <c r="I412" s="33">
        <v>532539096</v>
      </c>
      <c r="J412" s="33">
        <v>6515</v>
      </c>
      <c r="K412" s="33">
        <v>1252308785</v>
      </c>
      <c r="L412" s="33">
        <v>50952314</v>
      </c>
      <c r="M412" s="33">
        <v>37875957</v>
      </c>
      <c r="N412" s="37">
        <v>43924492</v>
      </c>
      <c r="O412" s="33">
        <v>3395120</v>
      </c>
      <c r="P412" s="33">
        <v>104174633</v>
      </c>
      <c r="Q412" s="33">
        <v>0</v>
      </c>
      <c r="R412" s="33">
        <v>12978881240</v>
      </c>
      <c r="S412" s="33">
        <v>62762126</v>
      </c>
      <c r="T412" s="33">
        <v>2391034033</v>
      </c>
      <c r="U412" s="37">
        <v>15005773</v>
      </c>
      <c r="V412" s="37">
        <v>36763098</v>
      </c>
      <c r="W412" s="33">
        <v>74549644</v>
      </c>
      <c r="X412" s="33">
        <v>58176745</v>
      </c>
      <c r="Y412" s="64">
        <v>5224805</v>
      </c>
      <c r="Z412" s="34">
        <v>0</v>
      </c>
      <c r="AA412" s="33">
        <v>2701</v>
      </c>
      <c r="AB412" s="33">
        <v>34917</v>
      </c>
      <c r="AC412" s="33">
        <v>0</v>
      </c>
      <c r="AD412" s="33">
        <v>0</v>
      </c>
      <c r="AE412" s="33">
        <v>4402</v>
      </c>
      <c r="AF412" s="33">
        <v>0</v>
      </c>
      <c r="AG412" s="33">
        <v>0</v>
      </c>
      <c r="AH412" s="33">
        <v>0</v>
      </c>
      <c r="AI412" s="33">
        <v>0</v>
      </c>
      <c r="AJ412" s="37">
        <v>0</v>
      </c>
      <c r="AK412" s="37">
        <v>0</v>
      </c>
      <c r="AL412" s="37">
        <v>0</v>
      </c>
      <c r="AM412" s="37">
        <v>0</v>
      </c>
      <c r="AN412" s="37">
        <v>3255990</v>
      </c>
      <c r="AO412" s="34">
        <v>26151879586</v>
      </c>
      <c r="AP412" s="59">
        <f>+[3]Cuenta2017!$AB$7-[3]Cuenta2017!$AB$108-[3]Cuenta2017!$AB$123-[3]Cuenta2017!$AB$136-[3]Cuenta2017!$AB$139-[3]Cuenta2017!$AB$140-[3]Cuenta2017!$AB$143</f>
        <v>0</v>
      </c>
      <c r="AQ412" s="62">
        <f t="shared" ref="AQ412:AQ418" si="7">+SUM(D412:AM412)-S412</f>
        <v>26092064180</v>
      </c>
      <c r="AR412" s="62">
        <f t="shared" ref="AR412:AR431" si="8">+AQ412-AP412</f>
        <v>26092064180</v>
      </c>
    </row>
    <row r="413" spans="1:44" s="47" customFormat="1" ht="10.5" customHeight="1">
      <c r="A413" s="47">
        <v>2016</v>
      </c>
      <c r="B413" s="47" t="s">
        <v>35</v>
      </c>
      <c r="C413" s="4">
        <v>42401</v>
      </c>
      <c r="D413" s="5">
        <v>3017727791</v>
      </c>
      <c r="E413" s="5">
        <v>121722519</v>
      </c>
      <c r="F413" s="5">
        <v>492565734</v>
      </c>
      <c r="G413" s="5">
        <v>3018689794</v>
      </c>
      <c r="H413" s="5">
        <v>373015714</v>
      </c>
      <c r="I413" s="5">
        <v>555784597</v>
      </c>
      <c r="J413" s="5">
        <v>234233</v>
      </c>
      <c r="K413" s="5">
        <v>1244826615</v>
      </c>
      <c r="L413" s="5">
        <v>76369012</v>
      </c>
      <c r="M413" s="5">
        <v>38178021</v>
      </c>
      <c r="N413" s="9">
        <v>47588027</v>
      </c>
      <c r="O413" s="5">
        <v>8416804</v>
      </c>
      <c r="P413" s="5">
        <v>84977680</v>
      </c>
      <c r="Q413" s="5">
        <v>0</v>
      </c>
      <c r="R413" s="5">
        <v>12224394395</v>
      </c>
      <c r="S413" s="5">
        <v>71763152.25</v>
      </c>
      <c r="T413" s="5">
        <v>2558884823</v>
      </c>
      <c r="U413" s="9">
        <v>16590563</v>
      </c>
      <c r="V413" s="9">
        <v>34426737</v>
      </c>
      <c r="W413" s="5">
        <v>65738087</v>
      </c>
      <c r="X413" s="5">
        <v>48239872</v>
      </c>
      <c r="Y413" s="64">
        <v>4428001</v>
      </c>
      <c r="Z413" s="7">
        <v>0</v>
      </c>
      <c r="AA413" s="5">
        <v>278</v>
      </c>
      <c r="AB413" s="5">
        <v>21076</v>
      </c>
      <c r="AC413" s="5">
        <v>0</v>
      </c>
      <c r="AD413" s="5">
        <v>2952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1289565</v>
      </c>
      <c r="AO413" s="7">
        <v>24080819200</v>
      </c>
      <c r="AP413" s="59">
        <f>+[3]Cuenta2017!$AB$7-[3]Cuenta2017!$AB$108-[3]Cuenta2017!$AB$123-[3]Cuenta2017!$AB$136-[3]Cuenta2017!$AB$139-[3]Cuenta2017!$AB$140-[3]Cuenta2017!$AB$143</f>
        <v>0</v>
      </c>
      <c r="AQ413" s="58">
        <f t="shared" si="7"/>
        <v>24032823325</v>
      </c>
      <c r="AR413" s="58">
        <f t="shared" si="8"/>
        <v>24032823325</v>
      </c>
    </row>
    <row r="414" spans="1:44" s="47" customFormat="1" ht="10.5" customHeight="1">
      <c r="A414" s="47">
        <v>2016</v>
      </c>
      <c r="B414" s="47" t="s">
        <v>36</v>
      </c>
      <c r="C414" s="4">
        <v>42430</v>
      </c>
      <c r="D414" s="5">
        <v>3318079168</v>
      </c>
      <c r="E414" s="5">
        <v>110519050</v>
      </c>
      <c r="F414" s="5">
        <v>471482331</v>
      </c>
      <c r="G414" s="5">
        <v>3192114426</v>
      </c>
      <c r="H414" s="5">
        <v>347418101</v>
      </c>
      <c r="I414" s="5">
        <v>555379508</v>
      </c>
      <c r="J414" s="5">
        <v>28989</v>
      </c>
      <c r="K414" s="5">
        <v>1318947349</v>
      </c>
      <c r="L414" s="5">
        <v>37787338</v>
      </c>
      <c r="M414" s="5">
        <v>29455730</v>
      </c>
      <c r="N414" s="9">
        <v>45213719</v>
      </c>
      <c r="O414" s="5">
        <v>3778138</v>
      </c>
      <c r="P414" s="5">
        <v>124855013</v>
      </c>
      <c r="Q414" s="5">
        <v>0</v>
      </c>
      <c r="R414" s="5">
        <v>12160863704</v>
      </c>
      <c r="S414" s="5">
        <v>73274981</v>
      </c>
      <c r="T414" s="5">
        <v>2986789816</v>
      </c>
      <c r="U414" s="9">
        <v>11576177</v>
      </c>
      <c r="V414" s="9">
        <v>29470992</v>
      </c>
      <c r="W414" s="5">
        <v>75323537</v>
      </c>
      <c r="X414" s="5">
        <v>56388174</v>
      </c>
      <c r="Y414" s="64">
        <v>5946311</v>
      </c>
      <c r="Z414" s="7">
        <v>0</v>
      </c>
      <c r="AA414" s="5">
        <v>365</v>
      </c>
      <c r="AB414" s="5">
        <v>10219</v>
      </c>
      <c r="AC414" s="5">
        <v>0</v>
      </c>
      <c r="AD414" s="5">
        <v>28857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9">
        <v>25900</v>
      </c>
      <c r="AK414" s="9">
        <v>0</v>
      </c>
      <c r="AL414" s="9">
        <v>0</v>
      </c>
      <c r="AM414" s="9">
        <v>0</v>
      </c>
      <c r="AN414" s="9">
        <v>2043358</v>
      </c>
      <c r="AO414" s="7">
        <v>24947317173</v>
      </c>
      <c r="AP414" s="59">
        <f>+[3]Cuenta2017!$AB$7-[3]Cuenta2017!$AB$108-[3]Cuenta2017!$AB$123-[3]Cuenta2017!$AB$136-[3]Cuenta2017!$AB$139-[3]Cuenta2017!$AB$140-[3]Cuenta2017!$AB$143</f>
        <v>0</v>
      </c>
      <c r="AQ414" s="58">
        <f t="shared" si="7"/>
        <v>24881482912</v>
      </c>
      <c r="AR414" s="58">
        <f t="shared" si="8"/>
        <v>24881482912</v>
      </c>
    </row>
    <row r="415" spans="1:44" s="47" customFormat="1" ht="10.5" customHeight="1">
      <c r="A415" s="47">
        <v>2016</v>
      </c>
      <c r="B415" s="47" t="s">
        <v>37</v>
      </c>
      <c r="C415" s="4">
        <v>42461</v>
      </c>
      <c r="D415" s="5">
        <v>7676585258</v>
      </c>
      <c r="E415" s="5">
        <v>107882689</v>
      </c>
      <c r="F415" s="5">
        <v>516382284</v>
      </c>
      <c r="G415" s="5">
        <v>4061254743</v>
      </c>
      <c r="H415" s="5">
        <v>350802341</v>
      </c>
      <c r="I415" s="5">
        <v>555185767</v>
      </c>
      <c r="J415" s="5">
        <v>88490</v>
      </c>
      <c r="K415" s="5">
        <v>846127821</v>
      </c>
      <c r="L415" s="5">
        <v>50717208</v>
      </c>
      <c r="M415" s="5">
        <v>38235898</v>
      </c>
      <c r="N415" s="9">
        <v>42893002</v>
      </c>
      <c r="O415" s="5">
        <v>5400934</v>
      </c>
      <c r="P415" s="5">
        <v>114559842</v>
      </c>
      <c r="Q415" s="5">
        <v>0</v>
      </c>
      <c r="R415" s="5">
        <v>11715905019</v>
      </c>
      <c r="S415" s="5">
        <v>72969930</v>
      </c>
      <c r="T415" s="5">
        <v>2256562614</v>
      </c>
      <c r="U415" s="9">
        <v>10994039</v>
      </c>
      <c r="V415" s="9">
        <v>37346626</v>
      </c>
      <c r="W415" s="5">
        <v>71537107</v>
      </c>
      <c r="X415" s="5">
        <v>52533816</v>
      </c>
      <c r="Y415" s="64">
        <v>11194338</v>
      </c>
      <c r="Z415" s="7">
        <v>0</v>
      </c>
      <c r="AA415" s="5">
        <v>1543</v>
      </c>
      <c r="AB415" s="5">
        <v>13405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9">
        <v>0</v>
      </c>
      <c r="AJ415" s="9">
        <v>1300</v>
      </c>
      <c r="AK415" s="5">
        <v>1300</v>
      </c>
      <c r="AL415" s="5">
        <v>0</v>
      </c>
      <c r="AM415" s="5">
        <v>0</v>
      </c>
      <c r="AN415" s="5">
        <v>7287685</v>
      </c>
      <c r="AO415" s="7">
        <v>28597037147</v>
      </c>
      <c r="AP415" s="59">
        <f>+[3]Cuenta2017!$AB$7-[3]Cuenta2017!$AB$108-[3]Cuenta2017!$AB$123-[3]Cuenta2017!$AB$136-[3]Cuenta2017!$AB$139-[3]Cuenta2017!$AB$140-[3]Cuenta2017!$AB$143</f>
        <v>0</v>
      </c>
      <c r="AQ415" s="58">
        <f t="shared" si="7"/>
        <v>28522207384</v>
      </c>
      <c r="AR415" s="58">
        <f t="shared" si="8"/>
        <v>28522207384</v>
      </c>
    </row>
    <row r="416" spans="1:44" s="47" customFormat="1" ht="10.5" customHeight="1">
      <c r="A416" s="47">
        <v>2016</v>
      </c>
      <c r="B416" s="47" t="s">
        <v>73</v>
      </c>
      <c r="C416" s="4">
        <v>42491</v>
      </c>
      <c r="D416" s="5">
        <v>3409945514</v>
      </c>
      <c r="E416" s="5">
        <v>114065525</v>
      </c>
      <c r="F416" s="5">
        <v>533788440</v>
      </c>
      <c r="G416" s="5">
        <v>3258078645</v>
      </c>
      <c r="H416" s="5">
        <v>340032465</v>
      </c>
      <c r="I416" s="5">
        <v>558748736</v>
      </c>
      <c r="J416" s="5">
        <v>46017</v>
      </c>
      <c r="K416" s="5">
        <v>1714191962</v>
      </c>
      <c r="L416" s="5">
        <v>173911574</v>
      </c>
      <c r="M416" s="5">
        <v>62301668</v>
      </c>
      <c r="N416" s="9">
        <v>46140734</v>
      </c>
      <c r="O416" s="5">
        <v>47668862</v>
      </c>
      <c r="P416" s="5">
        <v>125373612</v>
      </c>
      <c r="Q416" s="5">
        <v>0</v>
      </c>
      <c r="R416" s="5">
        <v>12169095429</v>
      </c>
      <c r="S416" s="5">
        <v>74626879</v>
      </c>
      <c r="T416" s="5">
        <v>2763630666</v>
      </c>
      <c r="U416" s="9">
        <v>12518121</v>
      </c>
      <c r="V416" s="9">
        <v>35253716</v>
      </c>
      <c r="W416" s="5">
        <v>74697258</v>
      </c>
      <c r="X416" s="5">
        <v>53617450</v>
      </c>
      <c r="Y416" s="64">
        <v>4993440</v>
      </c>
      <c r="Z416" s="7">
        <v>0</v>
      </c>
      <c r="AA416" s="5">
        <v>1863</v>
      </c>
      <c r="AB416" s="5">
        <v>13412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9">
        <v>0</v>
      </c>
      <c r="AJ416" s="9">
        <v>6414</v>
      </c>
      <c r="AK416" s="5">
        <v>6414</v>
      </c>
      <c r="AL416" s="5">
        <v>0</v>
      </c>
      <c r="AM416" s="5">
        <v>0</v>
      </c>
      <c r="AN416" s="5">
        <v>72436858</v>
      </c>
      <c r="AO416" s="7">
        <v>25600801052</v>
      </c>
      <c r="AP416" s="59">
        <f>+[3]Cuenta2017!$AB$7-[3]Cuenta2017!$AB$108-[3]Cuenta2017!$AB$123-[3]Cuenta2017!$AB$136-[3]Cuenta2017!$AB$139-[3]Cuenta2017!$AB$140-[3]Cuenta2017!$AB$143</f>
        <v>0</v>
      </c>
      <c r="AQ416" s="58">
        <f t="shared" si="7"/>
        <v>25498127937</v>
      </c>
      <c r="AR416" s="58">
        <f t="shared" si="8"/>
        <v>25498127937</v>
      </c>
    </row>
    <row r="417" spans="1:44" s="47" customFormat="1" ht="10.5" customHeight="1">
      <c r="A417" s="47">
        <v>2016</v>
      </c>
      <c r="B417" s="47" t="s">
        <v>39</v>
      </c>
      <c r="C417" s="4">
        <v>42522</v>
      </c>
      <c r="D417" s="5">
        <v>3461008301</v>
      </c>
      <c r="E417" s="5">
        <v>115688037</v>
      </c>
      <c r="F417" s="5">
        <v>548754902</v>
      </c>
      <c r="G417" s="5">
        <v>2874970917</v>
      </c>
      <c r="H417" s="5">
        <v>333894237</v>
      </c>
      <c r="I417" s="5">
        <v>644637892</v>
      </c>
      <c r="J417" s="5">
        <v>16149</v>
      </c>
      <c r="K417" s="5">
        <f>1385851538+19883801</f>
        <v>1405735339</v>
      </c>
      <c r="L417" s="5">
        <v>63272199</v>
      </c>
      <c r="M417" s="5">
        <v>41352301</v>
      </c>
      <c r="N417" s="9">
        <v>43158979</v>
      </c>
      <c r="O417" s="5">
        <v>484115</v>
      </c>
      <c r="P417" s="5">
        <v>159021085</v>
      </c>
      <c r="Q417" s="5">
        <v>0</v>
      </c>
      <c r="R417" s="5">
        <v>11374232673</v>
      </c>
      <c r="S417" s="5">
        <v>73269978</v>
      </c>
      <c r="T417" s="5">
        <v>2009676999</v>
      </c>
      <c r="U417" s="9">
        <v>15890247</v>
      </c>
      <c r="V417" s="9">
        <v>45243789</v>
      </c>
      <c r="W417" s="5">
        <v>67545558</v>
      </c>
      <c r="X417" s="5">
        <v>55324350</v>
      </c>
      <c r="Y417" s="64">
        <v>3708622</v>
      </c>
      <c r="Z417" s="7">
        <v>0</v>
      </c>
      <c r="AA417" s="5">
        <v>67</v>
      </c>
      <c r="AB417" s="5">
        <v>11152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9">
        <v>0</v>
      </c>
      <c r="AJ417" s="9">
        <v>3329</v>
      </c>
      <c r="AK417" s="5">
        <v>378</v>
      </c>
      <c r="AL417" s="5">
        <v>0</v>
      </c>
      <c r="AM417" s="5">
        <v>0</v>
      </c>
      <c r="AN417" s="5">
        <v>102916194</v>
      </c>
      <c r="AO417" s="7">
        <v>23324997194</v>
      </c>
      <c r="AP417" s="59">
        <f>+[3]Cuenta2017!$AB$7-[3]Cuenta2017!$AB$108-[3]Cuenta2017!$AB$123-[3]Cuenta2017!$AB$136-[3]Cuenta2017!$AB$139-[3]Cuenta2017!$AB$140-[3]Cuenta2017!$AB$143</f>
        <v>0</v>
      </c>
      <c r="AQ417" s="58">
        <f t="shared" si="7"/>
        <v>23263631617</v>
      </c>
      <c r="AR417" s="58">
        <f t="shared" si="8"/>
        <v>23263631617</v>
      </c>
    </row>
    <row r="418" spans="1:44" s="47" customFormat="1" ht="10.5" customHeight="1">
      <c r="A418" s="47">
        <v>2016</v>
      </c>
      <c r="B418" s="47" t="s">
        <v>40</v>
      </c>
      <c r="C418" s="4">
        <v>42552</v>
      </c>
      <c r="D418" s="5">
        <v>3524502780</v>
      </c>
      <c r="E418" s="5">
        <v>137538847</v>
      </c>
      <c r="F418" s="5">
        <v>591602149</v>
      </c>
      <c r="G418" s="5">
        <v>3064557710</v>
      </c>
      <c r="H418" s="5">
        <v>527277385</v>
      </c>
      <c r="I418" s="5">
        <v>594325983</v>
      </c>
      <c r="J418" s="5">
        <v>5280</v>
      </c>
      <c r="K418" s="5">
        <f>1319025866+12900695</f>
        <v>1331926561</v>
      </c>
      <c r="L418" s="5">
        <v>37185230</v>
      </c>
      <c r="M418" s="5">
        <v>34436407</v>
      </c>
      <c r="N418" s="9">
        <v>45073487</v>
      </c>
      <c r="O418" s="5">
        <v>4417138</v>
      </c>
      <c r="P418" s="5">
        <v>144966189</v>
      </c>
      <c r="Q418" s="5">
        <v>0</v>
      </c>
      <c r="R418" s="5">
        <v>12584897690</v>
      </c>
      <c r="S418" s="5">
        <v>71791343</v>
      </c>
      <c r="T418" s="5">
        <v>2099108961</v>
      </c>
      <c r="U418" s="9">
        <v>25016450</v>
      </c>
      <c r="V418" s="9">
        <v>57227714</v>
      </c>
      <c r="W418" s="5">
        <v>72990090</v>
      </c>
      <c r="X418" s="5">
        <v>45309159</v>
      </c>
      <c r="Y418" s="64">
        <v>4026006</v>
      </c>
      <c r="Z418" s="7">
        <v>0</v>
      </c>
      <c r="AA418" s="5">
        <v>67</v>
      </c>
      <c r="AB418" s="5">
        <v>2355</v>
      </c>
      <c r="AC418" s="5">
        <v>0</v>
      </c>
      <c r="AD418" s="5">
        <v>17618</v>
      </c>
      <c r="AE418" s="5">
        <v>0</v>
      </c>
      <c r="AF418" s="5">
        <v>0</v>
      </c>
      <c r="AG418" s="5">
        <v>0</v>
      </c>
      <c r="AH418" s="5">
        <v>0</v>
      </c>
      <c r="AI418" s="9">
        <v>0</v>
      </c>
      <c r="AJ418" s="9">
        <v>5352</v>
      </c>
      <c r="AK418" s="5">
        <v>5352</v>
      </c>
      <c r="AL418" s="5">
        <v>3869</v>
      </c>
      <c r="AM418" s="5">
        <v>0</v>
      </c>
      <c r="AN418" s="5">
        <v>2371571</v>
      </c>
      <c r="AO418" s="7">
        <v>25013665996</v>
      </c>
      <c r="AP418" s="59">
        <f>+[3]Cuenta2017!$AB$7-[3]Cuenta2017!$AB$108-[3]Cuenta2017!$AB$123-[3]Cuenta2017!$AB$136-[3]Cuenta2017!$AB$139-[3]Cuenta2017!$AB$140-[3]Cuenta2017!$AB$143</f>
        <v>0</v>
      </c>
      <c r="AQ418" s="58">
        <f t="shared" si="7"/>
        <v>24926425829</v>
      </c>
      <c r="AR418" s="58">
        <f t="shared" si="8"/>
        <v>24926425829</v>
      </c>
    </row>
    <row r="419" spans="1:44" s="47" customFormat="1" ht="10.5" customHeight="1">
      <c r="A419" s="47">
        <v>2016</v>
      </c>
      <c r="B419" s="47" t="s">
        <v>41</v>
      </c>
      <c r="C419" s="4">
        <v>42583</v>
      </c>
      <c r="D419" s="5">
        <v>3528104232</v>
      </c>
      <c r="E419" s="5">
        <v>127007594</v>
      </c>
      <c r="F419" s="5">
        <v>575740860</v>
      </c>
      <c r="G419" s="5">
        <v>2850676423</v>
      </c>
      <c r="H419" s="5">
        <v>283111539</v>
      </c>
      <c r="I419" s="5">
        <v>679746474</v>
      </c>
      <c r="J419" s="5">
        <v>56610</v>
      </c>
      <c r="K419" s="5">
        <f>1399145428+1770537</f>
        <v>1400915965</v>
      </c>
      <c r="L419" s="5">
        <v>68940258</v>
      </c>
      <c r="M419" s="5">
        <v>41999981</v>
      </c>
      <c r="N419" s="9">
        <v>45583580</v>
      </c>
      <c r="O419" s="5">
        <v>4470984</v>
      </c>
      <c r="P419" s="5">
        <v>148459871</v>
      </c>
      <c r="Q419" s="5">
        <v>0</v>
      </c>
      <c r="R419" s="5">
        <v>12089868164</v>
      </c>
      <c r="S419" s="5">
        <v>70385139</v>
      </c>
      <c r="T419" s="5">
        <v>2733101367</v>
      </c>
      <c r="U419" s="9">
        <v>28153991</v>
      </c>
      <c r="V419" s="9">
        <v>63826758</v>
      </c>
      <c r="W419" s="5">
        <v>65768091</v>
      </c>
      <c r="X419" s="5">
        <v>50894824</v>
      </c>
      <c r="Y419" s="64">
        <v>3974878</v>
      </c>
      <c r="Z419" s="7">
        <v>0</v>
      </c>
      <c r="AA419" s="5">
        <v>0</v>
      </c>
      <c r="AB419" s="5">
        <v>3510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9">
        <v>0</v>
      </c>
      <c r="AJ419" s="9">
        <v>2951</v>
      </c>
      <c r="AK419" s="5">
        <v>0</v>
      </c>
      <c r="AL419" s="5">
        <v>0</v>
      </c>
      <c r="AM419" s="5">
        <v>0</v>
      </c>
      <c r="AN419" s="5">
        <v>3725238</v>
      </c>
      <c r="AO419" s="7">
        <v>24891163283</v>
      </c>
      <c r="AP419" s="59">
        <f>+[3]Cuenta2017!$AB$7-[3]Cuenta2017!$AB$108-[3]Cuenta2017!$AB$123-[3]Cuenta2017!$AB$136-[3]Cuenta2017!$AB$139-[3]Cuenta2017!$AB$140-[3]Cuenta2017!$AB$143</f>
        <v>0</v>
      </c>
      <c r="AQ419" s="58">
        <f>+SUM(D419:AM419)-S419</f>
        <v>24790408905</v>
      </c>
      <c r="AR419" s="58">
        <f t="shared" si="8"/>
        <v>24790408905</v>
      </c>
    </row>
    <row r="420" spans="1:44" s="47" customFormat="1" ht="10.5" customHeight="1">
      <c r="A420" s="47">
        <v>2016</v>
      </c>
      <c r="B420" s="47" t="s">
        <v>42</v>
      </c>
      <c r="C420" s="4">
        <v>42614</v>
      </c>
      <c r="D420" s="5">
        <v>3469602852</v>
      </c>
      <c r="E420" s="5">
        <v>121680716</v>
      </c>
      <c r="F420" s="5">
        <v>568585112</v>
      </c>
      <c r="G420" s="5">
        <v>3567673548</v>
      </c>
      <c r="H420" s="5">
        <v>391669826</v>
      </c>
      <c r="I420" s="5">
        <v>718867076</v>
      </c>
      <c r="J420" s="5">
        <v>55310</v>
      </c>
      <c r="K420" s="5">
        <f>1400652467+5272</f>
        <v>1400657739</v>
      </c>
      <c r="L420" s="5">
        <v>40162198</v>
      </c>
      <c r="M420" s="5">
        <v>39068515</v>
      </c>
      <c r="N420" s="9">
        <v>45107174</v>
      </c>
      <c r="O420" s="5">
        <v>126817434</v>
      </c>
      <c r="P420" s="5">
        <v>136660142</v>
      </c>
      <c r="Q420" s="5">
        <v>0</v>
      </c>
      <c r="R420" s="5">
        <v>12798423783</v>
      </c>
      <c r="S420" s="5">
        <v>69314696</v>
      </c>
      <c r="T420" s="5">
        <v>2226137399</v>
      </c>
      <c r="U420" s="9">
        <v>16250749</v>
      </c>
      <c r="V420" s="9">
        <v>51409558</v>
      </c>
      <c r="W420" s="5">
        <v>70195779</v>
      </c>
      <c r="X420" s="5">
        <v>58062472</v>
      </c>
      <c r="Y420" s="64">
        <v>10697929</v>
      </c>
      <c r="Z420" s="7">
        <v>0</v>
      </c>
      <c r="AA420" s="5">
        <v>280</v>
      </c>
      <c r="AB420" s="5">
        <v>2594</v>
      </c>
      <c r="AC420" s="5">
        <v>0</v>
      </c>
      <c r="AD420" s="5">
        <v>738</v>
      </c>
      <c r="AE420" s="5">
        <v>0</v>
      </c>
      <c r="AF420" s="5">
        <v>0</v>
      </c>
      <c r="AG420" s="5">
        <v>0</v>
      </c>
      <c r="AH420" s="5">
        <v>0</v>
      </c>
      <c r="AI420" s="9">
        <v>0</v>
      </c>
      <c r="AJ420" s="9">
        <v>202</v>
      </c>
      <c r="AK420" s="5">
        <v>202</v>
      </c>
      <c r="AL420" s="5">
        <v>0</v>
      </c>
      <c r="AM420" s="5">
        <v>0</v>
      </c>
      <c r="AN420" s="5">
        <v>56269043</v>
      </c>
      <c r="AO420" s="7">
        <v>25952855924</v>
      </c>
      <c r="AP420" s="59">
        <f>+[3]Cuenta2017!$AB$7-[3]Cuenta2017!$AB$108-[3]Cuenta2017!$AB$123-[3]Cuenta2017!$AB$136-[3]Cuenta2017!$AB$139-[3]Cuenta2017!$AB$140-[3]Cuenta2017!$AB$143</f>
        <v>0</v>
      </c>
      <c r="AQ420" s="58">
        <f>+SUM(D420:AM420)-S420</f>
        <v>25857789327</v>
      </c>
      <c r="AR420" s="58">
        <f t="shared" si="8"/>
        <v>25857789327</v>
      </c>
    </row>
    <row r="421" spans="1:44" s="47" customFormat="1" ht="10.5" customHeight="1">
      <c r="A421" s="47">
        <v>2016</v>
      </c>
      <c r="B421" s="47" t="s">
        <v>43</v>
      </c>
      <c r="C421" s="4">
        <v>42644</v>
      </c>
      <c r="D421" s="5">
        <v>3714541492</v>
      </c>
      <c r="E421" s="5">
        <v>133864874</v>
      </c>
      <c r="F421" s="5">
        <v>634158839</v>
      </c>
      <c r="G421" s="5">
        <v>3629933872</v>
      </c>
      <c r="H421" s="5">
        <v>305248260</v>
      </c>
      <c r="I421" s="5">
        <v>659845733</v>
      </c>
      <c r="J421" s="5">
        <v>260811</v>
      </c>
      <c r="K421" s="5">
        <f>1291157787+1256869</f>
        <v>1292414656</v>
      </c>
      <c r="L421" s="5">
        <v>111780171</v>
      </c>
      <c r="M421" s="5">
        <v>49985936</v>
      </c>
      <c r="N421" s="9">
        <v>41818843</v>
      </c>
      <c r="O421" s="5">
        <v>170246814</v>
      </c>
      <c r="P421" s="5">
        <v>145417410</v>
      </c>
      <c r="Q421" s="5">
        <v>0</v>
      </c>
      <c r="R421" s="5">
        <v>11476893767</v>
      </c>
      <c r="S421" s="5">
        <v>70590026</v>
      </c>
      <c r="T421" s="5">
        <v>2518123978</v>
      </c>
      <c r="U421" s="9">
        <v>21747149</v>
      </c>
      <c r="V421" s="9">
        <v>44720830</v>
      </c>
      <c r="W421" s="5">
        <v>69104016</v>
      </c>
      <c r="X421" s="5">
        <v>47818518</v>
      </c>
      <c r="Y421" s="64">
        <v>6361084</v>
      </c>
      <c r="Z421" s="7">
        <v>0</v>
      </c>
      <c r="AA421" s="5">
        <v>0</v>
      </c>
      <c r="AB421" s="5">
        <v>2525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9">
        <v>0</v>
      </c>
      <c r="AJ421" s="9">
        <v>0</v>
      </c>
      <c r="AK421" s="5">
        <v>0</v>
      </c>
      <c r="AL421" s="5">
        <v>1248722</v>
      </c>
      <c r="AM421" s="5">
        <v>0</v>
      </c>
      <c r="AN421" s="5">
        <v>76867916</v>
      </c>
      <c r="AO421" s="7">
        <v>25136441967</v>
      </c>
      <c r="AP421" s="59">
        <f>+[3]Cuenta2017!$AB$7-[3]Cuenta2017!$AB$108-[3]Cuenta2017!$AB$123-[3]Cuenta2017!$AB$136-[3]Cuenta2017!$AB$139-[3]Cuenta2017!$AB$140-[3]Cuenta2017!$AB$143</f>
        <v>0</v>
      </c>
      <c r="AQ421" s="58" t="e">
        <f>+[2]Cuenta2016!$AA$7-[2]Cuenta2016!$AA$108-[2]Cuenta2016!$AA$113-[2]Cuenta2016!$AA$115-[2]Cuenta2016!$AA$121-[2]Cuenta2016!$AA$123</f>
        <v>#REF!</v>
      </c>
      <c r="AR421" s="58" t="e">
        <f t="shared" si="8"/>
        <v>#REF!</v>
      </c>
    </row>
    <row r="422" spans="1:44" s="47" customFormat="1" ht="10.5" customHeight="1">
      <c r="A422" s="47">
        <v>2016</v>
      </c>
      <c r="B422" s="47" t="s">
        <v>44</v>
      </c>
      <c r="C422" s="4">
        <v>42675</v>
      </c>
      <c r="D422" s="5">
        <v>3405052739</v>
      </c>
      <c r="E422" s="5">
        <v>138780829</v>
      </c>
      <c r="F422" s="63">
        <v>621125294</v>
      </c>
      <c r="G422" s="63">
        <v>3157923911</v>
      </c>
      <c r="H422" s="63">
        <v>285019910</v>
      </c>
      <c r="I422" s="63">
        <v>670240658</v>
      </c>
      <c r="J422" s="5">
        <v>4411</v>
      </c>
      <c r="K422" s="5">
        <f>1406264712+770031</f>
        <v>1407034743</v>
      </c>
      <c r="L422" s="5">
        <v>93918391</v>
      </c>
      <c r="M422" s="5">
        <v>44092568</v>
      </c>
      <c r="N422" s="9">
        <v>45371525</v>
      </c>
      <c r="O422" s="5">
        <v>11495828</v>
      </c>
      <c r="P422" s="5">
        <v>174179345</v>
      </c>
      <c r="Q422" s="5">
        <v>0</v>
      </c>
      <c r="R422" s="5">
        <v>12986444775</v>
      </c>
      <c r="S422" s="5">
        <v>70103656</v>
      </c>
      <c r="T422" s="5">
        <v>3136944291</v>
      </c>
      <c r="U422" s="9">
        <v>13942113</v>
      </c>
      <c r="V422" s="9">
        <v>49860461</v>
      </c>
      <c r="W422" s="5">
        <v>65934676</v>
      </c>
      <c r="X422" s="5">
        <v>59012814</v>
      </c>
      <c r="Y422" s="64">
        <v>3273661</v>
      </c>
      <c r="Z422" s="7">
        <v>0</v>
      </c>
      <c r="AA422" s="5">
        <v>0</v>
      </c>
      <c r="AB422" s="5">
        <v>10812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9">
        <v>0</v>
      </c>
      <c r="AJ422" s="9">
        <v>0</v>
      </c>
      <c r="AK422" s="5">
        <v>0</v>
      </c>
      <c r="AL422" s="5">
        <v>0</v>
      </c>
      <c r="AM422" s="5">
        <v>0</v>
      </c>
      <c r="AN422" s="5">
        <v>8426726</v>
      </c>
      <c r="AO422" s="7">
        <v>26436983776</v>
      </c>
      <c r="AP422" s="59">
        <f>+[3]Cuenta2017!$AB$7-[3]Cuenta2017!$AB$108-[3]Cuenta2017!$AB$123-[3]Cuenta2017!$AB$136-[3]Cuenta2017!$AB$139-[3]Cuenta2017!$AB$140-[3]Cuenta2017!$AB$143</f>
        <v>0</v>
      </c>
      <c r="AQ422" s="58">
        <f t="shared" ref="AQ422:AQ428" si="9">+SUM(D422:AM422)-S422</f>
        <v>26369663755</v>
      </c>
      <c r="AR422" s="58">
        <f t="shared" si="8"/>
        <v>26369663755</v>
      </c>
    </row>
    <row r="423" spans="1:44" s="47" customFormat="1" ht="10.5" customHeight="1">
      <c r="A423" s="47">
        <v>2016</v>
      </c>
      <c r="B423" s="47" t="s">
        <v>45</v>
      </c>
      <c r="C423" s="4">
        <v>42705</v>
      </c>
      <c r="D423" s="5">
        <v>3459310219</v>
      </c>
      <c r="E423" s="5">
        <v>145159510</v>
      </c>
      <c r="F423" s="5">
        <v>723918614</v>
      </c>
      <c r="G423" s="5">
        <v>3499820367</v>
      </c>
      <c r="H423" s="5">
        <v>374135029</v>
      </c>
      <c r="I423" s="5">
        <v>754408945</v>
      </c>
      <c r="J423" s="5">
        <v>105519</v>
      </c>
      <c r="K423" s="5">
        <f>1350453968+1627819</f>
        <v>1352081787</v>
      </c>
      <c r="L423" s="5">
        <v>46973020</v>
      </c>
      <c r="M423" s="5">
        <v>53820334</v>
      </c>
      <c r="N423" s="9">
        <v>46341577</v>
      </c>
      <c r="O423" s="5">
        <v>297511742</v>
      </c>
      <c r="P423" s="5">
        <v>261834426</v>
      </c>
      <c r="Q423" s="5">
        <v>0</v>
      </c>
      <c r="R423" s="5">
        <v>13453080466</v>
      </c>
      <c r="S423" s="5">
        <v>69240270</v>
      </c>
      <c r="T423" s="5">
        <v>2621522741</v>
      </c>
      <c r="U423" s="9">
        <v>14124464</v>
      </c>
      <c r="V423" s="9">
        <v>36915697</v>
      </c>
      <c r="W423" s="5">
        <v>71439362</v>
      </c>
      <c r="X423" s="5">
        <v>72245691</v>
      </c>
      <c r="Y423" s="64">
        <v>9120065</v>
      </c>
      <c r="Z423" s="7">
        <v>0</v>
      </c>
      <c r="AA423" s="5">
        <v>6307</v>
      </c>
      <c r="AB423" s="5">
        <v>8182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9">
        <v>0</v>
      </c>
      <c r="AJ423" s="9">
        <v>1750</v>
      </c>
      <c r="AK423" s="5">
        <v>1750</v>
      </c>
      <c r="AL423" s="5">
        <v>3483</v>
      </c>
      <c r="AM423" s="5">
        <v>0</v>
      </c>
      <c r="AN423" s="5">
        <v>122835833</v>
      </c>
      <c r="AO423" s="7">
        <v>27384362944</v>
      </c>
      <c r="AP423" s="59">
        <f>+[3]Cuenta2017!$AB$7-[3]Cuenta2017!$AB$108-[3]Cuenta2017!$AB$123-[3]Cuenta2017!$AB$136-[3]Cuenta2017!$AB$139-[3]Cuenta2017!$AB$140-[3]Cuenta2017!$AB$143</f>
        <v>0</v>
      </c>
      <c r="AQ423" s="58">
        <f t="shared" si="9"/>
        <v>27293891047</v>
      </c>
      <c r="AR423" s="58">
        <f>+AQ423-AP423</f>
        <v>27293891047</v>
      </c>
    </row>
    <row r="424" spans="1:44" s="66" customFormat="1" ht="10.5" customHeight="1">
      <c r="A424" s="66">
        <v>2017</v>
      </c>
      <c r="B424" s="66" t="s">
        <v>34</v>
      </c>
      <c r="C424" s="67">
        <v>42736</v>
      </c>
      <c r="D424" s="73">
        <v>3700945517</v>
      </c>
      <c r="E424" s="68">
        <v>146776437</v>
      </c>
      <c r="F424" s="68">
        <v>642294961</v>
      </c>
      <c r="G424" s="68">
        <v>4910789874</v>
      </c>
      <c r="H424" s="68">
        <v>668559673</v>
      </c>
      <c r="I424" s="68">
        <v>554404182</v>
      </c>
      <c r="J424" s="68">
        <v>21806</v>
      </c>
      <c r="K424" s="68">
        <f>1226638607+3545595</f>
        <v>1230184202</v>
      </c>
      <c r="L424" s="68">
        <v>50547286</v>
      </c>
      <c r="M424" s="68">
        <v>45891212</v>
      </c>
      <c r="N424" s="69">
        <v>43357187</v>
      </c>
      <c r="O424" s="68">
        <v>3256973</v>
      </c>
      <c r="P424" s="68">
        <v>137406281</v>
      </c>
      <c r="Q424" s="68">
        <v>0</v>
      </c>
      <c r="R424" s="68">
        <v>14365397286</v>
      </c>
      <c r="S424" s="73">
        <v>68311999</v>
      </c>
      <c r="T424" s="68">
        <v>3478709161</v>
      </c>
      <c r="U424" s="69">
        <v>14596711</v>
      </c>
      <c r="V424" s="69">
        <v>72809989</v>
      </c>
      <c r="W424" s="68">
        <v>84799034</v>
      </c>
      <c r="X424" s="68">
        <v>56760913</v>
      </c>
      <c r="Y424" s="68">
        <v>4564131</v>
      </c>
      <c r="Z424" s="70">
        <v>0</v>
      </c>
      <c r="AA424" s="68">
        <v>35931</v>
      </c>
      <c r="AB424" s="68">
        <v>10718</v>
      </c>
      <c r="AC424" s="68">
        <v>0</v>
      </c>
      <c r="AD424" s="68">
        <v>0</v>
      </c>
      <c r="AE424" s="68">
        <v>0</v>
      </c>
      <c r="AF424" s="68">
        <v>0</v>
      </c>
      <c r="AG424" s="68">
        <v>0</v>
      </c>
      <c r="AH424" s="68">
        <v>0</v>
      </c>
      <c r="AI424" s="69">
        <v>0</v>
      </c>
      <c r="AJ424" s="69">
        <v>0</v>
      </c>
      <c r="AK424" s="68">
        <v>0</v>
      </c>
      <c r="AL424" s="68">
        <v>5227</v>
      </c>
      <c r="AM424" s="68">
        <v>0</v>
      </c>
      <c r="AN424" s="68">
        <v>1500935</v>
      </c>
      <c r="AO424" s="70">
        <v>30274735627</v>
      </c>
      <c r="AP424" s="71">
        <f>+[3]Cuenta2017!$AB$7-[3]Cuenta2017!$AB$108-[3]Cuenta2017!$AB$123-[3]Cuenta2017!$AB$136-[3]Cuenta2017!$AB$139-[3]Cuenta2017!$AB$140-[3]Cuenta2017!$AB$143</f>
        <v>0</v>
      </c>
      <c r="AQ424" s="72">
        <f t="shared" si="9"/>
        <v>30212124692</v>
      </c>
      <c r="AR424" s="72">
        <f t="shared" si="8"/>
        <v>30212124692</v>
      </c>
    </row>
    <row r="425" spans="1:44" s="47" customFormat="1" ht="10.5" customHeight="1">
      <c r="A425" s="47">
        <v>2017</v>
      </c>
      <c r="B425" s="47" t="s">
        <v>35</v>
      </c>
      <c r="C425" s="4">
        <v>42767</v>
      </c>
      <c r="D425" s="73">
        <v>3584676762</v>
      </c>
      <c r="E425" s="5">
        <v>124234258</v>
      </c>
      <c r="F425" s="5">
        <v>494670794</v>
      </c>
      <c r="G425" s="5">
        <v>3957579502</v>
      </c>
      <c r="H425" s="5">
        <v>291066529</v>
      </c>
      <c r="I425" s="5">
        <v>737215704</v>
      </c>
      <c r="J425" s="5">
        <v>478833</v>
      </c>
      <c r="K425" s="5">
        <f>1400799418+4376644</f>
        <v>1405176062</v>
      </c>
      <c r="L425" s="5">
        <v>89936082</v>
      </c>
      <c r="M425" s="5">
        <v>49279101</v>
      </c>
      <c r="N425" s="9">
        <v>49737609</v>
      </c>
      <c r="O425" s="5">
        <v>10023695</v>
      </c>
      <c r="P425" s="5">
        <v>102597956</v>
      </c>
      <c r="Q425" s="5">
        <v>0</v>
      </c>
      <c r="R425" s="5">
        <v>12735824760</v>
      </c>
      <c r="S425" s="73">
        <v>75144556</v>
      </c>
      <c r="T425" s="5">
        <v>2726342308</v>
      </c>
      <c r="U425" s="9">
        <v>14702072</v>
      </c>
      <c r="V425" s="9">
        <v>37957254</v>
      </c>
      <c r="W425" s="5">
        <v>81927233</v>
      </c>
      <c r="X425" s="5">
        <v>44845632</v>
      </c>
      <c r="Y425" s="64">
        <v>8994266</v>
      </c>
      <c r="Z425" s="7">
        <v>0</v>
      </c>
      <c r="AA425" s="5">
        <v>6035</v>
      </c>
      <c r="AB425" s="5">
        <v>4490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9">
        <v>0</v>
      </c>
      <c r="AJ425" s="9">
        <v>1232</v>
      </c>
      <c r="AK425" s="5">
        <v>1232</v>
      </c>
      <c r="AL425" s="5">
        <v>8371</v>
      </c>
      <c r="AM425" s="5">
        <v>0</v>
      </c>
      <c r="AN425" s="5">
        <v>1035248</v>
      </c>
      <c r="AO425" s="7">
        <v>26609939939</v>
      </c>
      <c r="AP425" s="59">
        <f>+[3]Cuenta2017!$R$7-[3]Cuenta2017!$R$108-[3]Cuenta2017!$R$139-[3]Cuenta2017!$R$140-[3]Cuenta2017!$R$143</f>
        <v>26547287772</v>
      </c>
      <c r="AQ425" s="58">
        <f t="shared" si="9"/>
        <v>26547287772</v>
      </c>
      <c r="AR425" s="58">
        <f t="shared" si="8"/>
        <v>0</v>
      </c>
    </row>
    <row r="426" spans="1:44" s="47" customFormat="1" ht="10.5" customHeight="1">
      <c r="A426" s="47">
        <v>2017</v>
      </c>
      <c r="B426" s="47" t="s">
        <v>36</v>
      </c>
      <c r="C426" s="4">
        <v>42795</v>
      </c>
      <c r="D426" s="73">
        <v>3772779911</v>
      </c>
      <c r="E426" s="5">
        <v>113128379</v>
      </c>
      <c r="F426" s="5">
        <v>419816040</v>
      </c>
      <c r="G426" s="5">
        <v>5459337835</v>
      </c>
      <c r="H426" s="5">
        <v>334027661</v>
      </c>
      <c r="I426" s="5">
        <v>738844734</v>
      </c>
      <c r="J426" s="5">
        <v>69732</v>
      </c>
      <c r="K426" s="5">
        <f>1412149118+17540241</f>
        <v>1429689359</v>
      </c>
      <c r="L426" s="5">
        <v>47212687</v>
      </c>
      <c r="M426" s="5">
        <v>38119647</v>
      </c>
      <c r="N426" s="9">
        <v>48561478</v>
      </c>
      <c r="O426" s="5">
        <v>4338837</v>
      </c>
      <c r="P426" s="5">
        <v>156587285</v>
      </c>
      <c r="Q426" s="5">
        <v>0</v>
      </c>
      <c r="R426" s="5">
        <v>13632531240</v>
      </c>
      <c r="S426" s="73">
        <v>82086848</v>
      </c>
      <c r="T426" s="5">
        <v>2968881782</v>
      </c>
      <c r="U426" s="9">
        <v>12324594</v>
      </c>
      <c r="V426" s="9">
        <v>29781491</v>
      </c>
      <c r="W426" s="5">
        <v>77270783</v>
      </c>
      <c r="X426" s="5">
        <v>60261846</v>
      </c>
      <c r="Y426" s="64">
        <v>3789960</v>
      </c>
      <c r="Z426" s="7">
        <v>0</v>
      </c>
      <c r="AA426" s="5">
        <v>53500</v>
      </c>
      <c r="AB426" s="5">
        <v>1683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9">
        <v>0</v>
      </c>
      <c r="AJ426" s="9">
        <v>315</v>
      </c>
      <c r="AK426" s="5">
        <v>315</v>
      </c>
      <c r="AL426" s="5">
        <v>0</v>
      </c>
      <c r="AM426" s="5">
        <v>0</v>
      </c>
      <c r="AN426" s="5">
        <v>3260831</v>
      </c>
      <c r="AO426" s="7">
        <v>29425791006</v>
      </c>
      <c r="AP426" s="59">
        <f>+[3]Cuenta2017!$S$7-[3]Cuenta2017!$S$108-[3]Cuenta2017!$S$136-[3]Cuenta2017!$S$139-[3]Cuenta2017!$S$140-[3]Cuenta2017!$S$143</f>
        <v>29347411094</v>
      </c>
      <c r="AQ426" s="58">
        <f t="shared" si="9"/>
        <v>29347411094</v>
      </c>
      <c r="AR426" s="58">
        <f t="shared" si="8"/>
        <v>0</v>
      </c>
    </row>
    <row r="427" spans="1:44" s="47" customFormat="1" ht="10.5" customHeight="1">
      <c r="A427" s="47">
        <v>2017</v>
      </c>
      <c r="B427" s="47" t="s">
        <v>37</v>
      </c>
      <c r="C427" s="4">
        <v>42826</v>
      </c>
      <c r="D427" s="73">
        <v>8555388705</v>
      </c>
      <c r="E427" s="5">
        <v>115048814</v>
      </c>
      <c r="F427" s="5">
        <v>605964530</v>
      </c>
      <c r="G427" s="5">
        <v>4161001733</v>
      </c>
      <c r="H427" s="5">
        <v>456840142</v>
      </c>
      <c r="I427" s="5">
        <v>722594426</v>
      </c>
      <c r="J427" s="5">
        <v>13498</v>
      </c>
      <c r="K427" s="5">
        <f>575735586+16341883</f>
        <v>592077469</v>
      </c>
      <c r="L427" s="5">
        <v>46256609</v>
      </c>
      <c r="M427" s="5">
        <v>36443792</v>
      </c>
      <c r="N427" s="9">
        <v>43869842</v>
      </c>
      <c r="O427" s="5">
        <v>57532</v>
      </c>
      <c r="P427" s="5">
        <v>135427220</v>
      </c>
      <c r="Q427" s="5">
        <v>0</v>
      </c>
      <c r="R427" s="5">
        <v>12695857698</v>
      </c>
      <c r="S427" s="73">
        <v>74861288</v>
      </c>
      <c r="T427" s="5">
        <v>2699339298</v>
      </c>
      <c r="U427" s="9">
        <v>11525624</v>
      </c>
      <c r="V427" s="9">
        <v>28873449</v>
      </c>
      <c r="W427" s="5">
        <v>77496251</v>
      </c>
      <c r="X427" s="5">
        <v>46702213</v>
      </c>
      <c r="Y427" s="5">
        <v>18085200</v>
      </c>
      <c r="Z427" s="7">
        <v>0</v>
      </c>
      <c r="AA427" s="5">
        <v>2560</v>
      </c>
      <c r="AB427" s="5">
        <v>73734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9">
        <v>0</v>
      </c>
      <c r="AJ427" s="9">
        <v>0</v>
      </c>
      <c r="AK427" s="5">
        <v>0</v>
      </c>
      <c r="AL427" s="5">
        <v>0</v>
      </c>
      <c r="AM427" s="5">
        <v>0</v>
      </c>
      <c r="AN427" s="5">
        <v>7327008</v>
      </c>
      <c r="AO427" s="7">
        <v>31100650441</v>
      </c>
      <c r="AP427" s="59">
        <f>+[4]Cuenta2017!$T$7-[4]Cuenta2017!$T$110-[4]Cuenta2017!$T$125-[4]Cuenta2017!$T$138-[4]Cuenta2017!$T$142-[4]Cuenta2017!$T$143-[4]Cuenta2017!$T$144-[4]Cuenta2017!$T$146</f>
        <v>31048940339</v>
      </c>
      <c r="AQ427" s="58">
        <f t="shared" si="9"/>
        <v>31048940339</v>
      </c>
      <c r="AR427" s="58">
        <f t="shared" si="8"/>
        <v>0</v>
      </c>
    </row>
    <row r="428" spans="1:44" s="47" customFormat="1" ht="10.5" customHeight="1">
      <c r="A428" s="47">
        <v>2017</v>
      </c>
      <c r="B428" s="47" t="s">
        <v>38</v>
      </c>
      <c r="C428" s="4">
        <v>42856</v>
      </c>
      <c r="D428" s="73">
        <v>3728741507</v>
      </c>
      <c r="E428" s="5">
        <v>104840023</v>
      </c>
      <c r="F428" s="5">
        <v>598914165</v>
      </c>
      <c r="G428" s="5">
        <v>5033341545</v>
      </c>
      <c r="H428" s="5">
        <v>357581184</v>
      </c>
      <c r="I428" s="5">
        <v>731795972</v>
      </c>
      <c r="J428" s="5">
        <v>7158</v>
      </c>
      <c r="K428" s="5">
        <f>1822785103+134725778</f>
        <v>1957510881</v>
      </c>
      <c r="L428" s="5">
        <v>103858634</v>
      </c>
      <c r="M428" s="5">
        <v>62056496</v>
      </c>
      <c r="N428" s="9">
        <v>48808924</v>
      </c>
      <c r="O428" s="5">
        <v>103996019</v>
      </c>
      <c r="P428" s="5">
        <v>161498451</v>
      </c>
      <c r="Q428" s="5">
        <v>0</v>
      </c>
      <c r="R428" s="5">
        <v>14041482689</v>
      </c>
      <c r="S428" s="73">
        <v>78163700</v>
      </c>
      <c r="T428" s="5">
        <v>3578589394</v>
      </c>
      <c r="U428" s="9">
        <v>12934693</v>
      </c>
      <c r="V428" s="9">
        <v>56771023</v>
      </c>
      <c r="W428" s="5">
        <v>68562883</v>
      </c>
      <c r="X428" s="5">
        <v>57911571</v>
      </c>
      <c r="Y428" s="5">
        <v>4109020</v>
      </c>
      <c r="Z428" s="7">
        <v>0</v>
      </c>
      <c r="AA428" s="5">
        <v>0</v>
      </c>
      <c r="AB428" s="5">
        <v>60533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9">
        <v>0</v>
      </c>
      <c r="AJ428" s="9">
        <v>1084</v>
      </c>
      <c r="AK428" s="5">
        <v>281</v>
      </c>
      <c r="AL428" s="5">
        <v>0</v>
      </c>
      <c r="AM428" s="5">
        <v>0</v>
      </c>
      <c r="AN428" s="5">
        <v>86450435</v>
      </c>
      <c r="AO428" s="7">
        <v>30883958389</v>
      </c>
      <c r="AP428" s="59">
        <f>+[4]Cuenta2017!$U$7-[4]Cuenta2017!$U$108-[4]Cuenta2017!$U$125-[4]Cuenta2017!$U$138-[4]Cuenta2017!$U$142-[4]Cuenta2017!$U$143-[4]Cuenta2017!$U$144-[4]Cuenta2017!$U$146</f>
        <v>30813374130</v>
      </c>
      <c r="AQ428" s="58">
        <f t="shared" si="9"/>
        <v>30813374130</v>
      </c>
      <c r="AR428" s="58">
        <f t="shared" si="8"/>
        <v>0</v>
      </c>
    </row>
    <row r="429" spans="1:44" s="47" customFormat="1" ht="10.5" customHeight="1">
      <c r="A429" s="47">
        <v>2017</v>
      </c>
      <c r="B429" s="47" t="s">
        <v>39</v>
      </c>
      <c r="C429" s="4">
        <v>42887</v>
      </c>
      <c r="D429" s="73">
        <v>3829670032</v>
      </c>
      <c r="E429" s="5">
        <v>128490774</v>
      </c>
      <c r="F429" s="5">
        <v>670431223</v>
      </c>
      <c r="G429" s="5">
        <v>3978175472</v>
      </c>
      <c r="H429" s="5">
        <v>346720870</v>
      </c>
      <c r="I429" s="5">
        <v>825373364</v>
      </c>
      <c r="J429" s="5">
        <v>426940</v>
      </c>
      <c r="K429" s="5">
        <v>1501257328</v>
      </c>
      <c r="L429" s="5">
        <v>55582861</v>
      </c>
      <c r="M429" s="5">
        <v>38273695</v>
      </c>
      <c r="N429" s="9">
        <v>46741220</v>
      </c>
      <c r="O429" s="5">
        <v>-99282</v>
      </c>
      <c r="P429" s="5">
        <v>184726336</v>
      </c>
      <c r="Q429" s="5">
        <v>0</v>
      </c>
      <c r="R429" s="5">
        <v>12530153351</v>
      </c>
      <c r="S429" s="73">
        <v>80834583</v>
      </c>
      <c r="T429" s="5">
        <v>2287198207</v>
      </c>
      <c r="U429" s="9">
        <v>15955432</v>
      </c>
      <c r="V429" s="9">
        <v>42983378</v>
      </c>
      <c r="W429" s="5">
        <v>74493693</v>
      </c>
      <c r="X429" s="5">
        <v>51032686</v>
      </c>
      <c r="Y429" s="5">
        <v>3624481</v>
      </c>
      <c r="Z429" s="7">
        <v>0</v>
      </c>
      <c r="AA429" s="5">
        <v>2583</v>
      </c>
      <c r="AB429" s="5">
        <v>74418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9">
        <v>0</v>
      </c>
      <c r="AJ429" s="9">
        <v>4436</v>
      </c>
      <c r="AK429" s="5">
        <v>423</v>
      </c>
      <c r="AL429" s="5">
        <v>0</v>
      </c>
      <c r="AM429" s="5">
        <v>0</v>
      </c>
      <c r="AN429" s="5">
        <v>102477111</v>
      </c>
      <c r="AO429" s="7">
        <v>26705400180</v>
      </c>
      <c r="AP429" s="59">
        <f>+[4]Cuenta2017!$V$7-[4]Cuenta2017!$V$108-[4]Cuenta2017!$V$125-[4]Cuenta2017!$V$138-[4]Cuenta2017!$V$142-[4]Cuenta2017!$V$143-[4]Cuenta2017!$V$144-[4]Cuenta2017!$V$146</f>
        <v>26611293921</v>
      </c>
      <c r="AQ429" s="58">
        <f t="shared" ref="AQ429:AQ434" si="10">+SUM(D429:AM429)-S429</f>
        <v>26611293921</v>
      </c>
      <c r="AR429" s="58">
        <f t="shared" si="8"/>
        <v>0</v>
      </c>
    </row>
    <row r="430" spans="1:44" s="47" customFormat="1" ht="10.5" customHeight="1">
      <c r="A430" s="47">
        <v>2017</v>
      </c>
      <c r="B430" s="47" t="s">
        <v>40</v>
      </c>
      <c r="C430" s="4">
        <v>42917</v>
      </c>
      <c r="D430" s="73">
        <v>3750502689</v>
      </c>
      <c r="E430" s="5">
        <v>150119724</v>
      </c>
      <c r="F430" s="5">
        <v>696127283</v>
      </c>
      <c r="G430" s="5">
        <v>4217424399</v>
      </c>
      <c r="H430" s="5">
        <v>453720638</v>
      </c>
      <c r="I430" s="5">
        <v>765049452</v>
      </c>
      <c r="J430" s="5">
        <v>32899</v>
      </c>
      <c r="K430" s="5">
        <f>1422426912+7016648</f>
        <v>1429443560</v>
      </c>
      <c r="L430" s="5">
        <v>39896925</v>
      </c>
      <c r="M430" s="5">
        <v>38938887</v>
      </c>
      <c r="N430" s="9">
        <v>47258913</v>
      </c>
      <c r="O430" s="5">
        <v>1747334</v>
      </c>
      <c r="P430" s="5">
        <v>161553955</v>
      </c>
      <c r="Q430" s="5">
        <v>0</v>
      </c>
      <c r="R430" s="5">
        <v>13304677021</v>
      </c>
      <c r="S430" s="73">
        <v>76854599</v>
      </c>
      <c r="T430" s="5">
        <v>2467011285</v>
      </c>
      <c r="U430" s="9">
        <v>20597569</v>
      </c>
      <c r="V430" s="9">
        <v>54722689</v>
      </c>
      <c r="W430" s="5">
        <v>72615042</v>
      </c>
      <c r="X430" s="5">
        <v>60341854</v>
      </c>
      <c r="Y430" s="5">
        <v>5417224</v>
      </c>
      <c r="Z430" s="7">
        <v>0</v>
      </c>
      <c r="AA430" s="5">
        <v>5795</v>
      </c>
      <c r="AB430" s="5">
        <v>77227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9">
        <v>0</v>
      </c>
      <c r="AJ430" s="9">
        <v>2394</v>
      </c>
      <c r="AK430" s="5">
        <v>0</v>
      </c>
      <c r="AL430" s="5">
        <v>0</v>
      </c>
      <c r="AM430" s="5">
        <v>0</v>
      </c>
      <c r="AN430" s="5">
        <v>2338963</v>
      </c>
      <c r="AO430" s="7">
        <v>27830974235</v>
      </c>
      <c r="AP430" s="59">
        <f>+[4]Cuenta2017!$W$7-[4]Cuenta2017!$W$108-[4]Cuenta2017!$W$142-[4]Cuenta2017!$W$143-[4]Cuenta2017!$W$146</f>
        <v>27737284758</v>
      </c>
      <c r="AQ430" s="58">
        <f t="shared" si="10"/>
        <v>27737284758</v>
      </c>
      <c r="AR430" s="58">
        <f t="shared" si="8"/>
        <v>0</v>
      </c>
    </row>
    <row r="431" spans="1:44" s="47" customFormat="1" ht="10.5" customHeight="1">
      <c r="A431" s="47">
        <v>2017</v>
      </c>
      <c r="B431" s="47" t="s">
        <v>41</v>
      </c>
      <c r="C431" s="4">
        <v>42948</v>
      </c>
      <c r="D431" s="5">
        <v>3772773255</v>
      </c>
      <c r="E431" s="5">
        <v>129987809</v>
      </c>
      <c r="F431" s="5">
        <v>814186925</v>
      </c>
      <c r="G431" s="5">
        <v>4087629822</v>
      </c>
      <c r="H431" s="5">
        <v>397835630</v>
      </c>
      <c r="I431" s="5">
        <v>878720442</v>
      </c>
      <c r="J431" s="5">
        <v>8496</v>
      </c>
      <c r="K431" s="5">
        <f>1443994029+6708122</f>
        <v>1450702151</v>
      </c>
      <c r="L431" s="5">
        <v>70036838</v>
      </c>
      <c r="M431" s="5">
        <v>40250255</v>
      </c>
      <c r="N431" s="9">
        <v>48293252</v>
      </c>
      <c r="O431" s="5">
        <v>4582638</v>
      </c>
      <c r="P431" s="5">
        <v>157512884</v>
      </c>
      <c r="Q431" s="5">
        <v>0</v>
      </c>
      <c r="R431" s="5">
        <v>13509803867</v>
      </c>
      <c r="S431" s="73">
        <v>77114354</v>
      </c>
      <c r="T431" s="5">
        <v>3215664935</v>
      </c>
      <c r="U431" s="9">
        <v>31678797</v>
      </c>
      <c r="V431" s="9">
        <v>72195317</v>
      </c>
      <c r="W431" s="5">
        <v>75585863</v>
      </c>
      <c r="X431" s="5">
        <v>53094249</v>
      </c>
      <c r="Y431" s="5">
        <v>6814588</v>
      </c>
      <c r="Z431" s="7">
        <v>0</v>
      </c>
      <c r="AA431" s="5">
        <v>134286</v>
      </c>
      <c r="AB431" s="5">
        <v>2023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9">
        <v>0</v>
      </c>
      <c r="AJ431" s="9">
        <v>2398</v>
      </c>
      <c r="AK431" s="5">
        <v>3210</v>
      </c>
      <c r="AL431" s="5">
        <v>0</v>
      </c>
      <c r="AM431" s="5">
        <v>0</v>
      </c>
      <c r="AN431" s="5">
        <v>4430493</v>
      </c>
      <c r="AO431" s="7">
        <v>28922969735</v>
      </c>
      <c r="AP431" s="59">
        <f>+[4]Cuenta2017!$X$7-[4]Cuenta2017!$X$108-[4]Cuenta2017!$X$142-[4]Cuenta2017!$X$143-[4]Cuenta2017!$X$146-[4]Cuenta2017!$X$125-[4]Cuenta2017!$X$138</f>
        <v>28817499930</v>
      </c>
      <c r="AQ431" s="58">
        <f t="shared" si="10"/>
        <v>28817499930</v>
      </c>
      <c r="AR431" s="58">
        <f t="shared" si="8"/>
        <v>0</v>
      </c>
    </row>
    <row r="432" spans="1:44" s="47" customFormat="1" ht="10.5" customHeight="1">
      <c r="A432" s="47">
        <v>2017</v>
      </c>
      <c r="B432" s="47" t="s">
        <v>42</v>
      </c>
      <c r="C432" s="4">
        <v>42979</v>
      </c>
      <c r="D432" s="5">
        <v>3934769049</v>
      </c>
      <c r="E432" s="5">
        <v>126016420</v>
      </c>
      <c r="F432" s="5">
        <v>756132412</v>
      </c>
      <c r="G432" s="5">
        <v>4660673147</v>
      </c>
      <c r="H432" s="5">
        <v>734708567</v>
      </c>
      <c r="I432" s="5">
        <v>862790048</v>
      </c>
      <c r="J432" s="5">
        <v>21834</v>
      </c>
      <c r="K432" s="5">
        <v>1420307173</v>
      </c>
      <c r="L432" s="5">
        <v>39055807</v>
      </c>
      <c r="M432" s="5">
        <v>53749367</v>
      </c>
      <c r="N432" s="9">
        <v>46884974</v>
      </c>
      <c r="O432" s="5">
        <v>119581618</v>
      </c>
      <c r="P432" s="5">
        <v>155817298</v>
      </c>
      <c r="Q432" s="5">
        <v>0</v>
      </c>
      <c r="R432" s="5">
        <v>13237368221</v>
      </c>
      <c r="S432" s="5">
        <v>76109406</v>
      </c>
      <c r="T432" s="5">
        <v>2429050244</v>
      </c>
      <c r="U432" s="9">
        <v>18679296</v>
      </c>
      <c r="V432" s="9">
        <v>47819077</v>
      </c>
      <c r="W432" s="5">
        <v>74476175</v>
      </c>
      <c r="X432" s="5">
        <v>58374104</v>
      </c>
      <c r="Y432" s="5">
        <v>43253</v>
      </c>
      <c r="Z432" s="7">
        <v>0</v>
      </c>
      <c r="AA432" s="5">
        <v>2598</v>
      </c>
      <c r="AB432" s="5">
        <v>2024</v>
      </c>
      <c r="AC432" s="5">
        <v>0</v>
      </c>
      <c r="AD432" s="5">
        <v>0</v>
      </c>
      <c r="AE432" s="5">
        <v>7536</v>
      </c>
      <c r="AF432" s="5">
        <v>0</v>
      </c>
      <c r="AG432" s="5">
        <v>0</v>
      </c>
      <c r="AH432" s="5">
        <v>0</v>
      </c>
      <c r="AI432" s="9">
        <v>0</v>
      </c>
      <c r="AJ432" s="9">
        <v>2401</v>
      </c>
      <c r="AK432" s="5">
        <v>0</v>
      </c>
      <c r="AL432" s="5">
        <v>0</v>
      </c>
      <c r="AM432" s="5">
        <v>0</v>
      </c>
      <c r="AN432" s="5">
        <v>61503523</v>
      </c>
      <c r="AO432" s="7">
        <v>28852455020</v>
      </c>
      <c r="AP432" s="59">
        <f>+[4]Cuenta2017!$Y$7-[4]Cuenta2017!$Y$108-[4]Cuenta2017!$Y$142-[4]Cuenta2017!$Y$143-[4]Cuenta2017!$Y$146-[4]Cuenta2017!$Y$125-[4]Cuenta2017!$Y$138</f>
        <v>28776332643</v>
      </c>
      <c r="AQ432" s="58">
        <f t="shared" si="10"/>
        <v>28776332643</v>
      </c>
      <c r="AR432" s="58">
        <f t="shared" ref="AR432:AR442" si="11">+AQ432-AP432</f>
        <v>0</v>
      </c>
    </row>
    <row r="433" spans="1:44" s="47" customFormat="1" ht="10.5" customHeight="1">
      <c r="A433" s="47">
        <v>2017</v>
      </c>
      <c r="B433" s="47" t="s">
        <v>43</v>
      </c>
      <c r="C433" s="4">
        <v>43009</v>
      </c>
      <c r="D433" s="5">
        <v>4355422650</v>
      </c>
      <c r="E433" s="5">
        <v>133022824</v>
      </c>
      <c r="F433" s="5">
        <v>838221169</v>
      </c>
      <c r="G433" s="5">
        <v>4519264358</v>
      </c>
      <c r="H433" s="5">
        <v>387993225</v>
      </c>
      <c r="I433" s="5">
        <v>858162938</v>
      </c>
      <c r="J433" s="5">
        <v>0</v>
      </c>
      <c r="K433" s="5">
        <v>1430619941</v>
      </c>
      <c r="L433" s="5">
        <v>78721699</v>
      </c>
      <c r="M433" s="5">
        <v>42226537</v>
      </c>
      <c r="N433" s="9">
        <v>45450610</v>
      </c>
      <c r="O433" s="5">
        <v>140658443</v>
      </c>
      <c r="P433" s="5">
        <v>156901309</v>
      </c>
      <c r="Q433" s="5">
        <v>0</v>
      </c>
      <c r="R433" s="5">
        <v>13103805896</v>
      </c>
      <c r="S433" s="5">
        <v>81720883.299999997</v>
      </c>
      <c r="T433" s="5">
        <v>3106618906</v>
      </c>
      <c r="U433" s="9">
        <v>27160728</v>
      </c>
      <c r="V433" s="9">
        <v>55636056</v>
      </c>
      <c r="W433" s="5">
        <v>71375447</v>
      </c>
      <c r="X433" s="5">
        <v>58263149</v>
      </c>
      <c r="Y433" s="5">
        <v>20339828</v>
      </c>
      <c r="Z433" s="7">
        <v>0</v>
      </c>
      <c r="AA433" s="5">
        <v>2616</v>
      </c>
      <c r="AB433" s="5">
        <v>285119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9">
        <v>0</v>
      </c>
      <c r="AJ433" s="9">
        <v>18173</v>
      </c>
      <c r="AK433" s="5">
        <v>0</v>
      </c>
      <c r="AL433" s="5">
        <v>0</v>
      </c>
      <c r="AM433" s="5">
        <v>0</v>
      </c>
      <c r="AN433" s="5">
        <v>81205845</v>
      </c>
      <c r="AO433" s="7">
        <v>29526826360</v>
      </c>
      <c r="AP433" s="59">
        <f>+[4]Cuenta2017!$Z$7-[4]Cuenta2017!$Z$108-[4]Cuenta2017!$Z$142-[4]Cuenta2017!$Z$143-[4]Cuenta2017!$Z$146-[4]Cuenta2017!$Z$125-[4]Cuenta2017!$Z$138</f>
        <v>29430171621</v>
      </c>
      <c r="AQ433" s="58">
        <f t="shared" si="10"/>
        <v>29430171621</v>
      </c>
      <c r="AR433" s="58">
        <f t="shared" si="11"/>
        <v>0</v>
      </c>
    </row>
    <row r="434" spans="1:44" s="47" customFormat="1" ht="10.5" customHeight="1">
      <c r="A434" s="47">
        <v>2017</v>
      </c>
      <c r="B434" s="47" t="s">
        <v>44</v>
      </c>
      <c r="C434" s="4">
        <v>43040</v>
      </c>
      <c r="D434" s="5">
        <v>4121744405</v>
      </c>
      <c r="E434" s="5">
        <v>135970679</v>
      </c>
      <c r="F434" s="5">
        <v>1007084256</v>
      </c>
      <c r="G434" s="5">
        <v>4637444524</v>
      </c>
      <c r="H434" s="5">
        <v>362391136</v>
      </c>
      <c r="I434" s="5">
        <v>846346412</v>
      </c>
      <c r="J434" s="5">
        <v>53049</v>
      </c>
      <c r="K434" s="5">
        <v>1389953856</v>
      </c>
      <c r="L434" s="5">
        <v>72117858</v>
      </c>
      <c r="M434" s="5">
        <v>43807808</v>
      </c>
      <c r="N434" s="9">
        <v>45252423</v>
      </c>
      <c r="O434" s="5">
        <v>18345431</v>
      </c>
      <c r="P434" s="5">
        <v>172851832</v>
      </c>
      <c r="Q434" s="5">
        <v>0</v>
      </c>
      <c r="R434" s="5">
        <v>14484120553</v>
      </c>
      <c r="S434" s="5">
        <v>76180583.900000006</v>
      </c>
      <c r="T434" s="5">
        <v>3108291840</v>
      </c>
      <c r="U434" s="9">
        <v>16254066</v>
      </c>
      <c r="V434" s="9">
        <v>61857447</v>
      </c>
      <c r="W434" s="5">
        <v>70346228</v>
      </c>
      <c r="X434" s="5">
        <v>57636742</v>
      </c>
      <c r="Y434" s="5">
        <v>7681074</v>
      </c>
      <c r="Z434" s="7">
        <v>0</v>
      </c>
      <c r="AA434" s="5">
        <v>5870</v>
      </c>
      <c r="AB434" s="5">
        <v>82817</v>
      </c>
      <c r="AC434" s="5">
        <v>0</v>
      </c>
      <c r="AD434" s="5">
        <v>0</v>
      </c>
      <c r="AE434" s="5">
        <v>1486</v>
      </c>
      <c r="AF434" s="5">
        <v>0</v>
      </c>
      <c r="AG434" s="5">
        <v>0</v>
      </c>
      <c r="AH434" s="5">
        <v>0</v>
      </c>
      <c r="AI434" s="9">
        <v>0</v>
      </c>
      <c r="AJ434" s="9">
        <v>2432</v>
      </c>
      <c r="AK434" s="5">
        <v>0</v>
      </c>
      <c r="AL434" s="5">
        <v>0</v>
      </c>
      <c r="AM434" s="5">
        <v>0</v>
      </c>
      <c r="AN434" s="5">
        <v>10883872</v>
      </c>
      <c r="AO434" s="7">
        <v>30764462107</v>
      </c>
      <c r="AP434" s="59">
        <f>+[4]Cuenta2017!$AA$7-[4]Cuenta2017!$AA$108-[4]Cuenta2017!$AA$142-[4]Cuenta2017!$AA$143-[4]Cuenta2017!$AA$146-[4]Cuenta2017!$AA$125-[4]Cuenta2017!$AA$138</f>
        <v>30659644224</v>
      </c>
      <c r="AQ434" s="58">
        <f t="shared" si="10"/>
        <v>30659644224</v>
      </c>
      <c r="AR434" s="58">
        <f t="shared" si="11"/>
        <v>0</v>
      </c>
    </row>
    <row r="435" spans="1:44" s="47" customFormat="1" ht="10.5" customHeight="1">
      <c r="A435" s="47">
        <v>2017</v>
      </c>
      <c r="B435" s="47" t="s">
        <v>45</v>
      </c>
      <c r="C435" s="4">
        <v>43070</v>
      </c>
      <c r="D435" s="5">
        <v>3973203861</v>
      </c>
      <c r="E435" s="5">
        <v>140470338</v>
      </c>
      <c r="F435" s="5">
        <v>833479529</v>
      </c>
      <c r="G435" s="5">
        <v>4704492520</v>
      </c>
      <c r="H435" s="5">
        <v>387166205</v>
      </c>
      <c r="I435" s="5">
        <v>926222858</v>
      </c>
      <c r="J435" s="5">
        <v>33562</v>
      </c>
      <c r="K435" s="5">
        <v>1331077363</v>
      </c>
      <c r="L435" s="5">
        <v>70390884</v>
      </c>
      <c r="M435" s="5">
        <v>54379952</v>
      </c>
      <c r="N435" s="9">
        <v>46158679</v>
      </c>
      <c r="O435" s="5">
        <v>304259701</v>
      </c>
      <c r="P435" s="5">
        <v>243960377</v>
      </c>
      <c r="Q435" s="5">
        <v>0</v>
      </c>
      <c r="R435" s="5">
        <v>14463101678</v>
      </c>
      <c r="S435" s="5">
        <v>75943944</v>
      </c>
      <c r="T435" s="5">
        <v>3343730528</v>
      </c>
      <c r="U435" s="9">
        <v>14242759</v>
      </c>
      <c r="V435" s="9">
        <v>48984787</v>
      </c>
      <c r="W435" s="5">
        <v>72554436</v>
      </c>
      <c r="X435" s="5">
        <v>58306160</v>
      </c>
      <c r="Y435" s="5">
        <v>4509854</v>
      </c>
      <c r="Z435" s="7">
        <v>0</v>
      </c>
      <c r="AA435" s="5">
        <v>6453</v>
      </c>
      <c r="AB435" s="5">
        <v>2026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9">
        <v>0</v>
      </c>
      <c r="AJ435" s="9">
        <v>2442</v>
      </c>
      <c r="AK435" s="5">
        <v>250</v>
      </c>
      <c r="AL435" s="5">
        <v>0</v>
      </c>
      <c r="AM435" s="5">
        <v>0</v>
      </c>
      <c r="AN435" s="5">
        <v>131219823</v>
      </c>
      <c r="AO435" s="7">
        <v>31097896854</v>
      </c>
      <c r="AP435" s="59">
        <f>+[4]Cuenta2017!$AB$7-[4]Cuenta2017!$AB$108-[4]Cuenta2017!$AB$142-[4]Cuenta2017!$AB$143-[4]Cuenta2017!$AB$146-[4]Cuenta2017!$AB$125-[4]Cuenta2017!$AB$138</f>
        <v>31020737202</v>
      </c>
      <c r="AQ435" s="58">
        <f t="shared" ref="AQ435:AQ442" si="12">+SUM(D435:AM435)-S435</f>
        <v>31020737202</v>
      </c>
      <c r="AR435" s="58">
        <f t="shared" si="11"/>
        <v>0</v>
      </c>
    </row>
    <row r="436" spans="1:44" s="66" customFormat="1" ht="10.5" customHeight="1">
      <c r="A436" s="66">
        <v>2018</v>
      </c>
      <c r="B436" s="66" t="s">
        <v>34</v>
      </c>
      <c r="C436" s="67">
        <v>43101</v>
      </c>
      <c r="D436" s="73">
        <v>4247871097</v>
      </c>
      <c r="E436" s="68">
        <v>145872099</v>
      </c>
      <c r="F436" s="68">
        <v>882598175</v>
      </c>
      <c r="G436" s="68">
        <v>5995815546</v>
      </c>
      <c r="H436" s="68">
        <v>685237561</v>
      </c>
      <c r="I436" s="68">
        <v>742686414</v>
      </c>
      <c r="J436" s="68">
        <v>8139</v>
      </c>
      <c r="K436" s="68">
        <v>1123096870</v>
      </c>
      <c r="L436" s="68">
        <v>45709632</v>
      </c>
      <c r="M436" s="68">
        <v>36327790</v>
      </c>
      <c r="N436" s="69">
        <v>47989866</v>
      </c>
      <c r="O436" s="68">
        <v>4160641</v>
      </c>
      <c r="P436" s="68">
        <v>182712148</v>
      </c>
      <c r="Q436" s="68">
        <v>0</v>
      </c>
      <c r="R436" s="68">
        <v>15506552253</v>
      </c>
      <c r="S436" s="73">
        <v>76169932.640000001</v>
      </c>
      <c r="T436" s="68">
        <v>3804584386</v>
      </c>
      <c r="U436" s="69">
        <v>14334128</v>
      </c>
      <c r="V436" s="69">
        <v>39947645</v>
      </c>
      <c r="W436" s="68">
        <v>86705033</v>
      </c>
      <c r="X436" s="68">
        <v>72318012</v>
      </c>
      <c r="Y436" s="68">
        <v>0</v>
      </c>
      <c r="Z436" s="70">
        <v>0</v>
      </c>
      <c r="AA436" s="68">
        <v>0</v>
      </c>
      <c r="AB436" s="68">
        <v>0</v>
      </c>
      <c r="AC436" s="68">
        <v>0</v>
      </c>
      <c r="AD436" s="68">
        <v>0</v>
      </c>
      <c r="AE436" s="68">
        <v>0</v>
      </c>
      <c r="AF436" s="68">
        <v>0</v>
      </c>
      <c r="AG436" s="68">
        <v>0</v>
      </c>
      <c r="AH436" s="68">
        <v>0</v>
      </c>
      <c r="AI436" s="69">
        <v>0</v>
      </c>
      <c r="AJ436" s="69">
        <v>0</v>
      </c>
      <c r="AK436" s="68">
        <v>0</v>
      </c>
      <c r="AL436" s="68">
        <v>0</v>
      </c>
      <c r="AM436" s="68">
        <v>0</v>
      </c>
      <c r="AN436" s="68">
        <v>45559139</v>
      </c>
      <c r="AO436" s="70">
        <v>33780480683</v>
      </c>
      <c r="AP436" s="71">
        <f>+[5]Cuenta2018!$Q$9-[5]Cuenta2018!$Q$59-[5]Cuenta2018!$Q$112-[5]Cuenta2018!$Q$146-[5]Cuenta2018!$Q$147-[5]Cuenta2018!$Q$148-[5]Cuenta2018!$Q$129-[5]Cuenta2018!$Q$142-[5]Cuenta2018!$Q$150</f>
        <v>33664527435</v>
      </c>
      <c r="AQ436" s="72">
        <f t="shared" si="12"/>
        <v>33664527435</v>
      </c>
      <c r="AR436" s="72">
        <f t="shared" si="11"/>
        <v>0</v>
      </c>
    </row>
    <row r="437" spans="1:44" s="47" customFormat="1" ht="10.5" customHeight="1">
      <c r="A437" s="47">
        <v>2018</v>
      </c>
      <c r="B437" s="47" t="s">
        <v>35</v>
      </c>
      <c r="C437" s="4">
        <v>43132</v>
      </c>
      <c r="D437" s="5">
        <v>3894293170</v>
      </c>
      <c r="E437" s="5">
        <v>151940459</v>
      </c>
      <c r="F437" s="5">
        <v>816436145</v>
      </c>
      <c r="G437" s="5">
        <v>4121359294</v>
      </c>
      <c r="H437" s="5">
        <v>384095625</v>
      </c>
      <c r="I437" s="5">
        <v>822171829</v>
      </c>
      <c r="J437" s="5">
        <v>11013</v>
      </c>
      <c r="K437" s="5">
        <v>1420579772</v>
      </c>
      <c r="L437" s="5">
        <v>66404214</v>
      </c>
      <c r="M437" s="5">
        <v>41736208</v>
      </c>
      <c r="N437" s="9">
        <v>50237816</v>
      </c>
      <c r="O437" s="5">
        <v>8544130</v>
      </c>
      <c r="P437" s="5">
        <v>114514407</v>
      </c>
      <c r="Q437" s="5">
        <v>0</v>
      </c>
      <c r="R437" s="5">
        <v>13637383803</v>
      </c>
      <c r="S437" s="5">
        <v>82847174.090000004</v>
      </c>
      <c r="T437" s="5">
        <v>3539619295</v>
      </c>
      <c r="U437" s="9">
        <v>19355277</v>
      </c>
      <c r="V437" s="9">
        <v>48482342</v>
      </c>
      <c r="W437" s="5">
        <v>75059348</v>
      </c>
      <c r="X437" s="5">
        <v>57024570</v>
      </c>
      <c r="Y437" s="5">
        <v>3632</v>
      </c>
      <c r="Z437" s="7">
        <v>0</v>
      </c>
      <c r="AA437" s="5">
        <v>0</v>
      </c>
      <c r="AB437" s="5">
        <v>0</v>
      </c>
      <c r="AC437" s="5">
        <v>0</v>
      </c>
      <c r="AD437" s="5">
        <v>3403</v>
      </c>
      <c r="AE437" s="5">
        <v>0</v>
      </c>
      <c r="AF437" s="5">
        <v>0</v>
      </c>
      <c r="AG437" s="5">
        <v>0</v>
      </c>
      <c r="AH437" s="5">
        <v>0</v>
      </c>
      <c r="AI437" s="9">
        <v>0</v>
      </c>
      <c r="AJ437" s="9">
        <v>0</v>
      </c>
      <c r="AK437" s="5">
        <v>0</v>
      </c>
      <c r="AL437" s="5">
        <v>0</v>
      </c>
      <c r="AM437" s="5">
        <v>0</v>
      </c>
      <c r="AN437" s="5">
        <v>29915429</v>
      </c>
      <c r="AO437" s="7">
        <v>29380247137</v>
      </c>
      <c r="AP437" s="59">
        <f>+[5]Cuenta2018!$R$9-[5]Cuenta2018!$R$59-[5]Cuenta2018!$R$112-[5]Cuenta2018!$R$146-[5]Cuenta2018!$R$147-[5]Cuenta2018!$R$148-[5]Cuenta2018!$R$129-[5]Cuenta2018!$R$142-[5]Cuenta2018!$R$150</f>
        <v>29269255752</v>
      </c>
      <c r="AQ437" s="58">
        <f t="shared" si="12"/>
        <v>29269255752</v>
      </c>
      <c r="AR437" s="58">
        <f t="shared" si="11"/>
        <v>0</v>
      </c>
    </row>
    <row r="438" spans="1:44" s="47" customFormat="1" ht="10.5" customHeight="1">
      <c r="A438" s="47">
        <v>2018</v>
      </c>
      <c r="B438" s="47" t="s">
        <v>36</v>
      </c>
      <c r="C438" s="4">
        <v>43160</v>
      </c>
      <c r="D438" s="5">
        <v>3913931031</v>
      </c>
      <c r="E438" s="5">
        <v>144201544</v>
      </c>
      <c r="F438" s="5">
        <v>703966688</v>
      </c>
      <c r="G438" s="5">
        <v>5005519306</v>
      </c>
      <c r="H438" s="5">
        <v>398373879</v>
      </c>
      <c r="I438" s="5">
        <v>811718937</v>
      </c>
      <c r="J438" s="5">
        <v>33699</v>
      </c>
      <c r="K438" s="5">
        <v>1400385254</v>
      </c>
      <c r="L438" s="5">
        <v>36858067</v>
      </c>
      <c r="M438" s="5">
        <v>34337927</v>
      </c>
      <c r="N438" s="9">
        <v>49005366</v>
      </c>
      <c r="O438" s="5">
        <v>12572986</v>
      </c>
      <c r="P438" s="5">
        <v>199955843</v>
      </c>
      <c r="Q438" s="5">
        <v>0</v>
      </c>
      <c r="R438" s="5">
        <v>13880632965</v>
      </c>
      <c r="S438" s="5">
        <v>86337937.700000003</v>
      </c>
      <c r="T438" s="5">
        <v>2663306438</v>
      </c>
      <c r="U438" s="9">
        <v>15564663</v>
      </c>
      <c r="V438" s="9">
        <v>42078681</v>
      </c>
      <c r="W438" s="5">
        <v>80097049</v>
      </c>
      <c r="X438" s="5">
        <v>62982242</v>
      </c>
      <c r="Y438" s="5">
        <v>0</v>
      </c>
      <c r="Z438" s="7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9">
        <v>0</v>
      </c>
      <c r="AJ438" s="9">
        <v>0</v>
      </c>
      <c r="AK438" s="5">
        <v>0</v>
      </c>
      <c r="AL438" s="5">
        <v>0</v>
      </c>
      <c r="AM438" s="5">
        <v>0</v>
      </c>
      <c r="AN438" s="5">
        <v>28929387</v>
      </c>
      <c r="AO438" s="7">
        <v>29559975504</v>
      </c>
      <c r="AP438" s="59">
        <f>+[5]Cuenta2018!$S$9-[5]Cuenta2018!$S$59-[5]Cuenta2018!$S$112-[5]Cuenta2018!$S$146-[5]Cuenta2018!$S$147-[5]Cuenta2018!$S$148-[5]Cuenta2018!$S$129-[5]Cuenta2018!$S$142-[5]Cuenta2018!$S$150</f>
        <v>29455522565</v>
      </c>
      <c r="AQ438" s="58">
        <f t="shared" si="12"/>
        <v>29455522565</v>
      </c>
      <c r="AR438" s="58">
        <f t="shared" si="11"/>
        <v>0</v>
      </c>
    </row>
    <row r="439" spans="1:44" s="47" customFormat="1" ht="10.5" customHeight="1">
      <c r="A439" s="47">
        <v>2018</v>
      </c>
      <c r="B439" s="47" t="s">
        <v>37</v>
      </c>
      <c r="C439" s="4">
        <v>43191</v>
      </c>
      <c r="D439" s="5">
        <v>9136914539</v>
      </c>
      <c r="E439" s="5">
        <v>141187454</v>
      </c>
      <c r="F439" s="5">
        <v>792481742</v>
      </c>
      <c r="G439" s="5">
        <v>5809684911</v>
      </c>
      <c r="H439" s="5">
        <v>429744515</v>
      </c>
      <c r="I439" s="5">
        <v>814604506</v>
      </c>
      <c r="J439" s="5">
        <v>0</v>
      </c>
      <c r="K439" s="5">
        <v>514151352</v>
      </c>
      <c r="L439" s="5">
        <v>66774997</v>
      </c>
      <c r="M439" s="5">
        <v>45068203</v>
      </c>
      <c r="N439" s="9">
        <v>49886623</v>
      </c>
      <c r="O439" s="5">
        <v>5862655</v>
      </c>
      <c r="P439" s="5">
        <v>207501594</v>
      </c>
      <c r="Q439" s="5">
        <v>0</v>
      </c>
      <c r="R439" s="5">
        <v>14279338438</v>
      </c>
      <c r="S439" s="5">
        <v>82094916.75</v>
      </c>
      <c r="T439" s="5">
        <v>2776887259</v>
      </c>
      <c r="U439" s="9">
        <v>14681821</v>
      </c>
      <c r="V439" s="9">
        <v>41791817</v>
      </c>
      <c r="W439" s="5">
        <v>73826339</v>
      </c>
      <c r="X439" s="5">
        <v>65382612</v>
      </c>
      <c r="Y439" s="5">
        <v>6331</v>
      </c>
      <c r="Z439" s="7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9">
        <v>0</v>
      </c>
      <c r="AJ439" s="9">
        <v>0</v>
      </c>
      <c r="AK439" s="5">
        <v>0</v>
      </c>
      <c r="AL439" s="5">
        <v>0</v>
      </c>
      <c r="AM439" s="5">
        <v>0</v>
      </c>
      <c r="AN439" s="5">
        <v>192843281</v>
      </c>
      <c r="AO439" s="7">
        <v>35561129315</v>
      </c>
      <c r="AP439" s="59">
        <f>+[5]Cuenta2018!$T$9-[5]Cuenta2018!$T$59-[5]Cuenta2018!$T$112-[5]Cuenta2018!$T$146-[5]Cuenta2018!$T$147-[5]Cuenta2018!$T$148-[5]Cuenta2018!$T$129-[5]Cuenta2018!$T$142-[5]Cuenta2018!$T$150</f>
        <v>35265777708</v>
      </c>
      <c r="AQ439" s="58">
        <f t="shared" si="12"/>
        <v>35265777708</v>
      </c>
      <c r="AR439" s="58">
        <f t="shared" si="11"/>
        <v>0</v>
      </c>
    </row>
    <row r="440" spans="1:44" s="47" customFormat="1" ht="10.5" customHeight="1">
      <c r="A440" s="47">
        <v>2018</v>
      </c>
      <c r="B440" s="47" t="s">
        <v>38</v>
      </c>
      <c r="C440" s="4">
        <v>43221</v>
      </c>
      <c r="D440" s="5">
        <v>4367587511</v>
      </c>
      <c r="E440" s="5">
        <v>113439088</v>
      </c>
      <c r="F440" s="5">
        <v>745686469</v>
      </c>
      <c r="G440" s="5">
        <v>5449211179</v>
      </c>
      <c r="H440" s="5">
        <v>399824583</v>
      </c>
      <c r="I440" s="5">
        <v>819670290</v>
      </c>
      <c r="J440" s="5">
        <v>13030</v>
      </c>
      <c r="K440" s="5">
        <v>1779698035</v>
      </c>
      <c r="L440" s="5">
        <v>137677785</v>
      </c>
      <c r="M440" s="5">
        <v>54468765</v>
      </c>
      <c r="N440" s="9">
        <v>49220424</v>
      </c>
      <c r="O440" s="5">
        <v>75939667</v>
      </c>
      <c r="P440" s="5">
        <v>141932397</v>
      </c>
      <c r="Q440" s="5">
        <v>0</v>
      </c>
      <c r="R440" s="5">
        <v>14255986396</v>
      </c>
      <c r="S440" s="5">
        <v>86296866.140000001</v>
      </c>
      <c r="T440" s="5">
        <v>3396410289</v>
      </c>
      <c r="U440" s="9">
        <v>11796152</v>
      </c>
      <c r="V440" s="9">
        <v>41665727</v>
      </c>
      <c r="W440" s="5">
        <v>75116988</v>
      </c>
      <c r="X440" s="5">
        <v>61171615</v>
      </c>
      <c r="Y440" s="5">
        <v>0</v>
      </c>
      <c r="Z440" s="7">
        <v>0</v>
      </c>
      <c r="AA440" s="5">
        <v>0</v>
      </c>
      <c r="AB440" s="5">
        <v>0</v>
      </c>
      <c r="AC440" s="5">
        <v>0</v>
      </c>
      <c r="AD440" s="5">
        <v>1701</v>
      </c>
      <c r="AE440" s="5">
        <v>0</v>
      </c>
      <c r="AF440" s="5">
        <v>0</v>
      </c>
      <c r="AG440" s="5">
        <v>0</v>
      </c>
      <c r="AH440" s="5">
        <v>0</v>
      </c>
      <c r="AI440" s="9">
        <v>0</v>
      </c>
      <c r="AJ440" s="9">
        <v>0</v>
      </c>
      <c r="AK440" s="5">
        <v>0</v>
      </c>
      <c r="AL440" s="5">
        <v>0</v>
      </c>
      <c r="AM440" s="5">
        <v>0</v>
      </c>
      <c r="AN440" s="5">
        <v>692590977</v>
      </c>
      <c r="AO440" s="7">
        <v>32779017054</v>
      </c>
      <c r="AP440" s="59">
        <f>+[5]Cuenta2018!$U$9-[5]Cuenta2018!$U$59-[5]Cuenta2018!$U$112-[5]Cuenta2018!$U$146-[5]Cuenta2018!$U$147-[5]Cuenta2018!$U$148-[5]Cuenta2018!$U$129-[5]Cuenta2018!$U$142-[5]Cuenta2018!$U$150</f>
        <v>31976518091</v>
      </c>
      <c r="AQ440" s="58">
        <f t="shared" si="12"/>
        <v>31976518091</v>
      </c>
      <c r="AR440" s="58">
        <f t="shared" si="11"/>
        <v>0</v>
      </c>
    </row>
    <row r="441" spans="1:44" s="47" customFormat="1" ht="10.5" customHeight="1">
      <c r="A441" s="47">
        <v>2018</v>
      </c>
      <c r="B441" s="47" t="s">
        <v>39</v>
      </c>
      <c r="C441" s="4">
        <v>43252</v>
      </c>
      <c r="D441" s="5">
        <v>4755970623</v>
      </c>
      <c r="E441" s="5">
        <v>140192902</v>
      </c>
      <c r="F441" s="5">
        <v>710968073</v>
      </c>
      <c r="G441" s="5">
        <v>4244552993</v>
      </c>
      <c r="H441" s="5">
        <v>429741242</v>
      </c>
      <c r="I441" s="5">
        <v>949274524</v>
      </c>
      <c r="J441" s="5">
        <v>247967</v>
      </c>
      <c r="K441" s="5">
        <v>1530149579</v>
      </c>
      <c r="L441" s="5">
        <v>48511565</v>
      </c>
      <c r="M441" s="5">
        <v>38286017</v>
      </c>
      <c r="N441" s="9">
        <v>47030889</v>
      </c>
      <c r="O441" s="5">
        <v>3462677</v>
      </c>
      <c r="P441" s="5">
        <v>176937794</v>
      </c>
      <c r="Q441" s="5">
        <v>0</v>
      </c>
      <c r="R441" s="5">
        <v>13967072861</v>
      </c>
      <c r="S441" s="5">
        <v>81817939.700000003</v>
      </c>
      <c r="T441" s="5">
        <v>2535469233</v>
      </c>
      <c r="U441" s="9">
        <v>17279390</v>
      </c>
      <c r="V441" s="9">
        <v>52240460</v>
      </c>
      <c r="W441" s="5">
        <v>77069207</v>
      </c>
      <c r="X441" s="5">
        <v>54263255</v>
      </c>
      <c r="Y441" s="5">
        <v>0</v>
      </c>
      <c r="Z441" s="7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9">
        <v>0</v>
      </c>
      <c r="AJ441" s="9">
        <v>0</v>
      </c>
      <c r="AK441" s="5">
        <v>0</v>
      </c>
      <c r="AL441" s="5">
        <v>0</v>
      </c>
      <c r="AM441" s="5">
        <v>0</v>
      </c>
      <c r="AN441" s="5">
        <v>495600197</v>
      </c>
      <c r="AO441" s="7">
        <v>30366711204</v>
      </c>
      <c r="AP441" s="59">
        <f>+[5]Cuenta2018!$V$9-[5]Cuenta2018!$V$59-[5]Cuenta2018!$V$112-[5]Cuenta2018!$V$146-[5]Cuenta2018!$V$147-[5]Cuenta2018!$V$148-[5]Cuenta2018!$V$129-[5]Cuenta2018!$V$142-[5]Cuenta2018!$V$150</f>
        <v>29778721251</v>
      </c>
      <c r="AQ441" s="58">
        <f t="shared" si="12"/>
        <v>29778721251</v>
      </c>
      <c r="AR441" s="58">
        <f t="shared" si="11"/>
        <v>0</v>
      </c>
    </row>
    <row r="442" spans="1:44" s="47" customFormat="1" ht="10.5" customHeight="1">
      <c r="A442" s="47">
        <v>2018</v>
      </c>
      <c r="B442" s="47" t="s">
        <v>40</v>
      </c>
      <c r="C442" s="4">
        <v>43282</v>
      </c>
      <c r="D442" s="5">
        <v>4575490866</v>
      </c>
      <c r="E442" s="5">
        <v>153999639</v>
      </c>
      <c r="F442" s="5">
        <v>788000901</v>
      </c>
      <c r="G442" s="5">
        <v>3837812034</v>
      </c>
      <c r="H442" s="5">
        <v>762826025</v>
      </c>
      <c r="I442" s="5">
        <v>863172557</v>
      </c>
      <c r="J442" s="5">
        <v>104071</v>
      </c>
      <c r="K442" s="5">
        <v>1615574489</v>
      </c>
      <c r="L442" s="5">
        <v>35932312</v>
      </c>
      <c r="M442" s="5">
        <v>26191378</v>
      </c>
      <c r="N442" s="9">
        <v>46469372</v>
      </c>
      <c r="O442" s="5">
        <v>9863448</v>
      </c>
      <c r="P442" s="5">
        <v>144188450</v>
      </c>
      <c r="Q442" s="5">
        <v>0</v>
      </c>
      <c r="R442" s="5">
        <v>14900903987</v>
      </c>
      <c r="S442" s="5">
        <v>81206106.599999994</v>
      </c>
      <c r="T442" s="5">
        <v>3135886318</v>
      </c>
      <c r="U442" s="9">
        <v>25419259</v>
      </c>
      <c r="V442" s="9">
        <v>72340071</v>
      </c>
      <c r="W442" s="5">
        <v>73737516</v>
      </c>
      <c r="X442" s="5">
        <v>70156635</v>
      </c>
      <c r="Y442" s="5">
        <v>0</v>
      </c>
      <c r="Z442" s="7">
        <v>0</v>
      </c>
      <c r="AA442" s="5">
        <v>0</v>
      </c>
      <c r="AB442" s="5">
        <v>0</v>
      </c>
      <c r="AC442" s="5">
        <v>0</v>
      </c>
      <c r="AD442" s="5">
        <v>6801</v>
      </c>
      <c r="AE442" s="5">
        <v>0</v>
      </c>
      <c r="AF442" s="5">
        <v>0</v>
      </c>
      <c r="AG442" s="5">
        <v>0</v>
      </c>
      <c r="AH442" s="5">
        <v>0</v>
      </c>
      <c r="AI442" s="9">
        <v>0</v>
      </c>
      <c r="AJ442" s="9">
        <v>0</v>
      </c>
      <c r="AK442" s="5">
        <v>0</v>
      </c>
      <c r="AL442" s="5">
        <v>0</v>
      </c>
      <c r="AM442" s="5">
        <v>0</v>
      </c>
      <c r="AN442" s="5">
        <v>44516882</v>
      </c>
      <c r="AO442" s="7">
        <v>31274835280</v>
      </c>
      <c r="AP442" s="59">
        <f>+[5]Cuenta2018!$W$9-[5]Cuenta2018!$W$59-[5]Cuenta2018!$W$112-[5]Cuenta2018!$W$146-[5]Cuenta2018!$W$147-[5]Cuenta2018!$W$148-[5]Cuenta2018!$W$129-[5]Cuenta2018!$W$142-[5]Cuenta2018!$W$150</f>
        <v>31138076129</v>
      </c>
      <c r="AQ442" s="58">
        <f t="shared" si="12"/>
        <v>31138076129</v>
      </c>
      <c r="AR442" s="58">
        <f t="shared" si="11"/>
        <v>0</v>
      </c>
    </row>
    <row r="443" spans="1:44" s="47" customFormat="1" ht="10.5" customHeight="1">
      <c r="A443" s="47">
        <v>2018</v>
      </c>
      <c r="B443" s="47" t="s">
        <v>41</v>
      </c>
      <c r="C443" s="4">
        <v>43313</v>
      </c>
      <c r="D443" s="5">
        <v>4260146624</v>
      </c>
      <c r="E443" s="5">
        <v>156953662</v>
      </c>
      <c r="F443" s="5">
        <v>830240517</v>
      </c>
      <c r="G443" s="5">
        <v>5520470009</v>
      </c>
      <c r="H443" s="5">
        <v>416702404</v>
      </c>
      <c r="I443" s="5">
        <v>1064458785</v>
      </c>
      <c r="J443" s="5">
        <v>2553</v>
      </c>
      <c r="K443" s="5">
        <v>1493790114</v>
      </c>
      <c r="L443" s="5">
        <v>52517638</v>
      </c>
      <c r="M443" s="5">
        <v>35593356</v>
      </c>
      <c r="N443" s="9">
        <v>50024668</v>
      </c>
      <c r="O443" s="5">
        <v>11148634</v>
      </c>
      <c r="P443" s="5">
        <v>158614956</v>
      </c>
      <c r="Q443" s="5">
        <v>0</v>
      </c>
      <c r="R443" s="5">
        <v>14630658531</v>
      </c>
      <c r="S443" s="5">
        <v>80306756.930000007</v>
      </c>
      <c r="T443" s="5">
        <v>2536573987</v>
      </c>
      <c r="U443" s="9">
        <v>18492446</v>
      </c>
      <c r="V443" s="9">
        <v>53942759</v>
      </c>
      <c r="W443" s="5">
        <v>83289504</v>
      </c>
      <c r="X443" s="5">
        <v>63282169</v>
      </c>
      <c r="Y443" s="5">
        <v>36690</v>
      </c>
      <c r="Z443" s="7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9">
        <v>0</v>
      </c>
      <c r="AJ443" s="9">
        <v>0</v>
      </c>
      <c r="AK443" s="5">
        <v>0</v>
      </c>
      <c r="AL443" s="5">
        <v>0</v>
      </c>
      <c r="AM443" s="5">
        <v>0</v>
      </c>
      <c r="AN443" s="5">
        <v>65126576</v>
      </c>
      <c r="AO443" s="7">
        <v>31602947241</v>
      </c>
      <c r="AP443" s="59">
        <f>+[5]Cuenta2018!$X$9-[5]Cuenta2018!$X$59-[5]Cuenta2018!$X$112-[5]Cuenta2018!$X$146-[5]Cuenta2018!$X$147-[5]Cuenta2018!$X$148-[5]Cuenta2018!$X$129-[5]Cuenta2018!$X$142-[5]Cuenta2018!$X$150</f>
        <v>31436940006</v>
      </c>
      <c r="AQ443" s="58">
        <f>+SUM(D443:AM443)-S443</f>
        <v>31436940006</v>
      </c>
      <c r="AR443" s="58">
        <f t="shared" ref="AR443:AR451" si="13">+AQ443-AP443</f>
        <v>0</v>
      </c>
    </row>
    <row r="444" spans="1:44" s="47" customFormat="1" ht="10.5" customHeight="1">
      <c r="A444" s="47">
        <v>2018</v>
      </c>
      <c r="B444" s="47" t="s">
        <v>78</v>
      </c>
      <c r="C444" s="4">
        <v>43344</v>
      </c>
      <c r="D444" s="5">
        <v>4350405237</v>
      </c>
      <c r="E444" s="5">
        <v>169011908</v>
      </c>
      <c r="F444" s="5">
        <v>797096086</v>
      </c>
      <c r="G444" s="5">
        <v>4789660401</v>
      </c>
      <c r="H444" s="5">
        <v>409484340</v>
      </c>
      <c r="I444" s="5">
        <v>1041179584</v>
      </c>
      <c r="J444" s="5">
        <v>139359</v>
      </c>
      <c r="K444" s="5">
        <v>1453177874</v>
      </c>
      <c r="L444" s="5">
        <v>37268061</v>
      </c>
      <c r="M444" s="5">
        <v>31893838</v>
      </c>
      <c r="N444" s="9">
        <v>42703225</v>
      </c>
      <c r="O444" s="5">
        <v>127761935</v>
      </c>
      <c r="P444" s="5">
        <v>145509208</v>
      </c>
      <c r="Q444" s="5">
        <v>0</v>
      </c>
      <c r="R444" s="5">
        <v>14043675525</v>
      </c>
      <c r="S444" s="5">
        <v>85524183.450000003</v>
      </c>
      <c r="T444" s="5">
        <v>2544490082</v>
      </c>
      <c r="U444" s="9">
        <v>18381951</v>
      </c>
      <c r="V444" s="9">
        <v>61403431</v>
      </c>
      <c r="W444" s="5">
        <v>74940969</v>
      </c>
      <c r="X444" s="5">
        <v>64841150</v>
      </c>
      <c r="Y444" s="5">
        <v>9532</v>
      </c>
      <c r="Z444" s="7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9">
        <v>0</v>
      </c>
      <c r="AJ444" s="9">
        <v>0</v>
      </c>
      <c r="AK444" s="5">
        <v>0</v>
      </c>
      <c r="AL444" s="5">
        <v>0</v>
      </c>
      <c r="AM444" s="5">
        <v>0</v>
      </c>
      <c r="AN444" s="5">
        <v>436487988</v>
      </c>
      <c r="AO444" s="7">
        <v>30721130620</v>
      </c>
      <c r="AP444" s="59">
        <f>+[5]Cuenta2018!$Y$9-[5]Cuenta2018!$Y$59-[5]Cuenta2018!$Y$112-[5]Cuenta2018!$Y$146-[5]Cuenta2018!$Y$147-[5]Cuenta2018!$Y$148-[5]Cuenta2018!$Y$129-[5]Cuenta2018!$Y$142-[5]Cuenta2018!$Y$150</f>
        <v>30203033696</v>
      </c>
      <c r="AQ444" s="58">
        <f>+SUM(D444:AM444)-S444</f>
        <v>30203033696</v>
      </c>
      <c r="AR444" s="58">
        <f t="shared" si="13"/>
        <v>0</v>
      </c>
    </row>
    <row r="445" spans="1:44" s="47" customFormat="1" ht="10.5" customHeight="1">
      <c r="A445" s="47">
        <v>2018</v>
      </c>
      <c r="B445" s="47" t="s">
        <v>43</v>
      </c>
      <c r="C445" s="4">
        <v>43374</v>
      </c>
      <c r="D445" s="5">
        <v>4904038448</v>
      </c>
      <c r="E445" s="5">
        <v>156349611</v>
      </c>
      <c r="F445" s="5">
        <v>833246751</v>
      </c>
      <c r="G445" s="5">
        <v>5283361564</v>
      </c>
      <c r="H445" s="5">
        <v>522356045</v>
      </c>
      <c r="I445" s="5">
        <v>1034226554</v>
      </c>
      <c r="J445" s="5">
        <v>17841</v>
      </c>
      <c r="K445" s="5">
        <v>1483879314</v>
      </c>
      <c r="L445" s="5">
        <v>74236014</v>
      </c>
      <c r="M445" s="5">
        <v>47867688</v>
      </c>
      <c r="N445" s="9">
        <v>48230812</v>
      </c>
      <c r="O445" s="5">
        <v>179663967</v>
      </c>
      <c r="P445" s="5">
        <v>166858539</v>
      </c>
      <c r="Q445" s="5">
        <v>0</v>
      </c>
      <c r="R445" s="5">
        <v>14681936427</v>
      </c>
      <c r="S445" s="5">
        <v>78032979.709999993</v>
      </c>
      <c r="T445" s="5">
        <v>3479921963</v>
      </c>
      <c r="U445" s="9">
        <v>26387016</v>
      </c>
      <c r="V445" s="9">
        <v>61981758</v>
      </c>
      <c r="W445" s="5">
        <v>67422404</v>
      </c>
      <c r="X445" s="5">
        <v>57734589</v>
      </c>
      <c r="Y445" s="5">
        <v>0</v>
      </c>
      <c r="Z445" s="7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9">
        <v>0</v>
      </c>
      <c r="AJ445" s="9">
        <v>0</v>
      </c>
      <c r="AK445" s="5">
        <v>0</v>
      </c>
      <c r="AL445" s="5">
        <v>0</v>
      </c>
      <c r="AM445" s="5">
        <v>0</v>
      </c>
      <c r="AN445" s="5">
        <v>262895887</v>
      </c>
      <c r="AO445" s="7">
        <v>33461230798</v>
      </c>
      <c r="AP445" s="59">
        <f>+[5]Cuenta2018!$Z$9-[5]Cuenta2018!$Z$59-[5]Cuenta2018!$Z$112-[5]Cuenta2018!$Z$146-[5]Cuenta2018!$Z$147-[5]Cuenta2018!$Z$148-[5]Cuenta2018!$Z$129-[5]Cuenta2018!$Z$142-[5]Cuenta2018!$Z$150</f>
        <v>33109717305</v>
      </c>
      <c r="AQ445" s="58">
        <f>+SUM(D445:AM445)-S445</f>
        <v>33109717305</v>
      </c>
      <c r="AR445" s="58">
        <f t="shared" si="13"/>
        <v>0</v>
      </c>
    </row>
    <row r="446" spans="1:44" s="47" customFormat="1" ht="10.5" customHeight="1">
      <c r="A446" s="47">
        <v>2018</v>
      </c>
      <c r="B446" s="47" t="s">
        <v>44</v>
      </c>
      <c r="C446" s="4">
        <v>43405</v>
      </c>
      <c r="D446" s="5">
        <v>4005442129</v>
      </c>
      <c r="E446" s="5">
        <v>159007136</v>
      </c>
      <c r="F446" s="5">
        <v>799232340</v>
      </c>
      <c r="G446" s="5">
        <v>5602027202</v>
      </c>
      <c r="H446" s="5">
        <v>337973102</v>
      </c>
      <c r="I446" s="5">
        <v>1015552820</v>
      </c>
      <c r="J446" s="5">
        <v>16312</v>
      </c>
      <c r="K446" s="5">
        <v>1459109176</v>
      </c>
      <c r="L446" s="5">
        <v>74747383</v>
      </c>
      <c r="M446" s="5">
        <v>37438921</v>
      </c>
      <c r="N446" s="9">
        <v>43576625</v>
      </c>
      <c r="O446" s="5">
        <v>16284114</v>
      </c>
      <c r="P446" s="5">
        <v>150509359</v>
      </c>
      <c r="Q446" s="5">
        <v>0</v>
      </c>
      <c r="R446" s="5">
        <v>15090084542</v>
      </c>
      <c r="S446" s="5">
        <v>81482173.5</v>
      </c>
      <c r="T446" s="5">
        <v>2723002963</v>
      </c>
      <c r="U446" s="9">
        <v>16717478</v>
      </c>
      <c r="V446" s="9">
        <v>47360871</v>
      </c>
      <c r="W446" s="5">
        <v>76049952</v>
      </c>
      <c r="X446" s="5">
        <v>73022543</v>
      </c>
      <c r="Y446" s="5">
        <v>0</v>
      </c>
      <c r="Z446" s="7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9">
        <v>0</v>
      </c>
      <c r="AJ446" s="9">
        <v>0</v>
      </c>
      <c r="AK446" s="5">
        <v>0</v>
      </c>
      <c r="AL446" s="5">
        <v>0</v>
      </c>
      <c r="AM446" s="5">
        <v>0</v>
      </c>
      <c r="AN446" s="5">
        <v>390621558</v>
      </c>
      <c r="AO446" s="7">
        <v>32203691397</v>
      </c>
      <c r="AP446" s="59">
        <f>+[5]Cuenta2018!$AA$9-[5]Cuenta2018!$AA$59-[5]Cuenta2018!$AA$112-[5]Cuenta2018!$AA$146-[5]Cuenta2018!$AA$147-[5]Cuenta2018!$AA$148-[5]Cuenta2018!$AA$129-[5]Cuenta2018!$AA$142-[5]Cuenta2018!$AA$150</f>
        <v>31727154968</v>
      </c>
      <c r="AQ446" s="58">
        <f>+SUM(D446:AM446)-S446</f>
        <v>31727154968</v>
      </c>
      <c r="AR446" s="58">
        <f t="shared" si="13"/>
        <v>0</v>
      </c>
    </row>
    <row r="447" spans="1:44" s="47" customFormat="1" ht="10.5" customHeight="1">
      <c r="A447" s="47">
        <v>2018</v>
      </c>
      <c r="B447" s="47" t="s">
        <v>45</v>
      </c>
      <c r="C447" s="4">
        <v>43435</v>
      </c>
      <c r="D447" s="5">
        <v>3904158477</v>
      </c>
      <c r="E447" s="5">
        <v>169487723</v>
      </c>
      <c r="F447" s="5">
        <v>786921407</v>
      </c>
      <c r="G447" s="5">
        <v>5417796276</v>
      </c>
      <c r="H447" s="5">
        <v>462842421</v>
      </c>
      <c r="I447" s="5">
        <v>1112387840</v>
      </c>
      <c r="J447" s="5">
        <v>3738</v>
      </c>
      <c r="K447" s="5">
        <v>1439074515</v>
      </c>
      <c r="L447" s="5">
        <v>51757933</v>
      </c>
      <c r="M447" s="5">
        <v>46947087</v>
      </c>
      <c r="N447" s="9">
        <v>43123460</v>
      </c>
      <c r="O447" s="5">
        <v>304481658</v>
      </c>
      <c r="P447" s="5">
        <v>194754513</v>
      </c>
      <c r="Q447" s="5">
        <v>0</v>
      </c>
      <c r="R447" s="5">
        <v>14166131686</v>
      </c>
      <c r="S447" s="5">
        <v>77974714.159999996</v>
      </c>
      <c r="T447" s="5">
        <v>3441381953</v>
      </c>
      <c r="U447" s="9">
        <v>17787452</v>
      </c>
      <c r="V447" s="9">
        <v>54897315</v>
      </c>
      <c r="W447" s="5">
        <v>72248947</v>
      </c>
      <c r="X447" s="5">
        <v>67514841</v>
      </c>
      <c r="Y447" s="5">
        <v>10862</v>
      </c>
      <c r="Z447" s="7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9">
        <v>0</v>
      </c>
      <c r="AJ447" s="9">
        <v>0</v>
      </c>
      <c r="AK447" s="5">
        <v>0</v>
      </c>
      <c r="AL447" s="5">
        <v>0</v>
      </c>
      <c r="AM447" s="5">
        <v>0</v>
      </c>
      <c r="AN447" s="5">
        <v>276069183</v>
      </c>
      <c r="AO447" s="7">
        <v>32165080307</v>
      </c>
      <c r="AP447" s="59">
        <f>+[5]Cuenta2018!$AB$9-[5]Cuenta2018!$AB$112-[5]Cuenta2018!$AB$146-[5]Cuenta2018!$AB$147-[5]Cuenta2018!$AB$148-[5]Cuenta2018!$AB$129-[5]Cuenta2018!$AB$142-[5]Cuenta2018!$AB$150</f>
        <v>32029779287</v>
      </c>
      <c r="AQ447" s="58">
        <f t="shared" ref="AQ447:AQ459" si="14">+SUM(D447:AN447)-S447</f>
        <v>32029779287</v>
      </c>
      <c r="AR447" s="58">
        <f t="shared" si="13"/>
        <v>0</v>
      </c>
    </row>
    <row r="448" spans="1:44" s="66" customFormat="1" ht="10.5" customHeight="1">
      <c r="A448" s="66">
        <v>2019</v>
      </c>
      <c r="B448" s="66" t="s">
        <v>34</v>
      </c>
      <c r="C448" s="67">
        <v>43466</v>
      </c>
      <c r="D448" s="68">
        <v>4621365007</v>
      </c>
      <c r="E448" s="68">
        <v>127405538</v>
      </c>
      <c r="F448" s="68">
        <v>869535340</v>
      </c>
      <c r="G448" s="68">
        <v>6400707359</v>
      </c>
      <c r="H448" s="68">
        <v>738440683</v>
      </c>
      <c r="I448" s="68">
        <v>831221720</v>
      </c>
      <c r="J448" s="68">
        <v>8449</v>
      </c>
      <c r="K448" s="68">
        <v>1381169348</v>
      </c>
      <c r="L448" s="68">
        <v>36273972</v>
      </c>
      <c r="M448" s="68">
        <v>28521386</v>
      </c>
      <c r="N448" s="69">
        <v>44664175</v>
      </c>
      <c r="O448" s="68">
        <v>7942549</v>
      </c>
      <c r="P448" s="68">
        <v>151743651</v>
      </c>
      <c r="Q448" s="68">
        <v>0</v>
      </c>
      <c r="R448" s="68">
        <v>16849101138</v>
      </c>
      <c r="S448" s="68">
        <v>81019045.299999997</v>
      </c>
      <c r="T448" s="68">
        <v>4323490275</v>
      </c>
      <c r="U448" s="69">
        <v>14722637</v>
      </c>
      <c r="V448" s="69">
        <v>38566801</v>
      </c>
      <c r="W448" s="68">
        <v>81717502</v>
      </c>
      <c r="X448" s="68">
        <v>72164848</v>
      </c>
      <c r="Y448" s="68">
        <v>7221</v>
      </c>
      <c r="Z448" s="70">
        <v>0</v>
      </c>
      <c r="AA448" s="68">
        <v>0</v>
      </c>
      <c r="AB448" s="68">
        <v>0</v>
      </c>
      <c r="AC448" s="68">
        <v>0</v>
      </c>
      <c r="AD448" s="68">
        <v>0</v>
      </c>
      <c r="AE448" s="68">
        <v>0</v>
      </c>
      <c r="AF448" s="68">
        <v>0</v>
      </c>
      <c r="AG448" s="68">
        <v>0</v>
      </c>
      <c r="AH448" s="68">
        <v>0</v>
      </c>
      <c r="AI448" s="69">
        <v>0</v>
      </c>
      <c r="AJ448" s="69">
        <v>0</v>
      </c>
      <c r="AK448" s="68">
        <v>0</v>
      </c>
      <c r="AL448" s="68">
        <v>0</v>
      </c>
      <c r="AM448" s="68">
        <v>0</v>
      </c>
      <c r="AN448" s="68">
        <v>144826459</v>
      </c>
      <c r="AO448" s="70">
        <v>36846285522</v>
      </c>
      <c r="AP448" s="71">
        <f>+[6]Cuenta2019!$Q$9-[6]Cuenta2019!$Q$113-[6]Cuenta2019!$Q$147-[6]Cuenta2019!$Q$148-[6]Cuenta2019!$Q$149-[6]Cuenta2019!$Q$130-[6]Cuenta2019!$Q$143-[6]Cuenta2019!$Q$151</f>
        <v>36763596058</v>
      </c>
      <c r="AQ448" s="72">
        <f t="shared" si="14"/>
        <v>36763596058</v>
      </c>
      <c r="AR448" s="72">
        <f t="shared" si="13"/>
        <v>0</v>
      </c>
    </row>
    <row r="449" spans="1:44" s="47" customFormat="1" ht="10.5" customHeight="1">
      <c r="A449" s="47">
        <v>2019</v>
      </c>
      <c r="B449" s="47" t="s">
        <v>35</v>
      </c>
      <c r="C449" s="4">
        <v>43497</v>
      </c>
      <c r="D449" s="5">
        <v>4534217824</v>
      </c>
      <c r="E449" s="5">
        <v>166870271</v>
      </c>
      <c r="F449" s="5">
        <v>783034461</v>
      </c>
      <c r="G449" s="5">
        <v>5509202542</v>
      </c>
      <c r="H449" s="5">
        <v>385522399</v>
      </c>
      <c r="I449" s="5">
        <v>896668119</v>
      </c>
      <c r="J449" s="5">
        <v>0</v>
      </c>
      <c r="K449" s="5">
        <v>1525964322</v>
      </c>
      <c r="L449" s="5">
        <v>53511591</v>
      </c>
      <c r="M449" s="5">
        <v>35013649</v>
      </c>
      <c r="N449" s="9">
        <v>55026420</v>
      </c>
      <c r="O449" s="5">
        <v>11311816</v>
      </c>
      <c r="P449" s="5">
        <v>108972452</v>
      </c>
      <c r="Q449" s="5">
        <v>0</v>
      </c>
      <c r="R449" s="5">
        <v>14311144996</v>
      </c>
      <c r="S449" s="5">
        <v>88951705.799999997</v>
      </c>
      <c r="T449" s="5">
        <v>2817342837</v>
      </c>
      <c r="U449" s="9">
        <v>20515792</v>
      </c>
      <c r="V449" s="9">
        <v>52092357</v>
      </c>
      <c r="W449" s="5">
        <v>83929840</v>
      </c>
      <c r="X449" s="5">
        <v>50092195</v>
      </c>
      <c r="Y449" s="5">
        <v>0</v>
      </c>
      <c r="Z449" s="7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9">
        <v>0</v>
      </c>
      <c r="AJ449" s="9">
        <v>0</v>
      </c>
      <c r="AK449" s="5">
        <v>0</v>
      </c>
      <c r="AL449" s="5">
        <v>0</v>
      </c>
      <c r="AM449" s="5">
        <v>0</v>
      </c>
      <c r="AN449" s="5">
        <v>98881374</v>
      </c>
      <c r="AO449" s="7">
        <v>31573297915</v>
      </c>
      <c r="AP449" s="59">
        <f>+[6]Cuenta2019!$R$9-[6]Cuenta2019!$R$113-[6]Cuenta2019!$R$147-[6]Cuenta2019!$R$148-[6]Cuenta2019!$R$149-[6]Cuenta2019!$R$130-[6]Cuenta2019!$R$143-[6]Cuenta2019!$R$151</f>
        <v>31499315257</v>
      </c>
      <c r="AQ449" s="58">
        <f t="shared" si="14"/>
        <v>31499315257</v>
      </c>
      <c r="AR449" s="58">
        <f t="shared" si="13"/>
        <v>0</v>
      </c>
    </row>
    <row r="450" spans="1:44" s="47" customFormat="1" ht="10.5" customHeight="1">
      <c r="A450" s="47">
        <v>2019</v>
      </c>
      <c r="B450" s="47" t="s">
        <v>36</v>
      </c>
      <c r="C450" s="4">
        <v>43525</v>
      </c>
      <c r="D450" s="5">
        <v>4753902390</v>
      </c>
      <c r="E450" s="5">
        <v>153040959</v>
      </c>
      <c r="F450" s="5">
        <v>627893846</v>
      </c>
      <c r="G450" s="5">
        <v>5542740530</v>
      </c>
      <c r="H450" s="5">
        <v>350891554</v>
      </c>
      <c r="I450" s="5">
        <v>912937480</v>
      </c>
      <c r="J450" s="5">
        <v>0</v>
      </c>
      <c r="K450" s="5">
        <v>1544408427</v>
      </c>
      <c r="L450" s="5">
        <v>39416454</v>
      </c>
      <c r="M450" s="5">
        <v>30973346</v>
      </c>
      <c r="N450" s="9">
        <v>48101072</v>
      </c>
      <c r="O450" s="5">
        <v>4115071</v>
      </c>
      <c r="P450" s="5">
        <v>136269317</v>
      </c>
      <c r="Q450" s="5">
        <v>0</v>
      </c>
      <c r="R450" s="5">
        <v>14990998195</v>
      </c>
      <c r="S450" s="5">
        <v>90748560.400000006</v>
      </c>
      <c r="T450" s="5">
        <v>3081433142</v>
      </c>
      <c r="U450" s="9">
        <v>20475997</v>
      </c>
      <c r="V450" s="9">
        <v>47610740</v>
      </c>
      <c r="W450" s="5">
        <v>88927194</v>
      </c>
      <c r="X450" s="5">
        <v>65739689</v>
      </c>
      <c r="Y450" s="5">
        <v>0</v>
      </c>
      <c r="Z450" s="7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9">
        <v>0</v>
      </c>
      <c r="AJ450" s="9">
        <v>0</v>
      </c>
      <c r="AK450" s="5">
        <v>0</v>
      </c>
      <c r="AL450" s="5">
        <v>0</v>
      </c>
      <c r="AM450" s="5">
        <v>0</v>
      </c>
      <c r="AN450" s="5">
        <v>132633558</v>
      </c>
      <c r="AO450" s="7">
        <v>32642346883</v>
      </c>
      <c r="AP450" s="59">
        <f>+[6]Cuenta2019!$S$9-[6]Cuenta2019!$S$113-[6]Cuenta2019!$S$143-[6]Cuenta2019!$S$147-[6]Cuenta2019!$S$148-[6]Cuenta2019!$S$149-[6]Cuenta2019!$S$151-[6]Cuenta2019!$S$130</f>
        <v>32572508961</v>
      </c>
      <c r="AQ450" s="58">
        <f t="shared" si="14"/>
        <v>32572508961</v>
      </c>
      <c r="AR450" s="58">
        <f t="shared" si="13"/>
        <v>0</v>
      </c>
    </row>
    <row r="451" spans="1:44" s="47" customFormat="1" ht="10.5" customHeight="1">
      <c r="A451" s="47">
        <v>2019</v>
      </c>
      <c r="B451" s="47" t="s">
        <v>37</v>
      </c>
      <c r="C451" s="4">
        <v>43556</v>
      </c>
      <c r="D451" s="5">
        <v>6958269980</v>
      </c>
      <c r="E451" s="5">
        <v>167486243</v>
      </c>
      <c r="F451" s="5">
        <v>768239312</v>
      </c>
      <c r="G451" s="5">
        <v>4838288271</v>
      </c>
      <c r="H451" s="5">
        <v>562216574</v>
      </c>
      <c r="I451" s="5">
        <v>905121822</v>
      </c>
      <c r="J451" s="5">
        <v>0</v>
      </c>
      <c r="K451" s="5">
        <v>1263034069</v>
      </c>
      <c r="L451" s="5">
        <v>57158083</v>
      </c>
      <c r="M451" s="5">
        <v>33872912</v>
      </c>
      <c r="N451" s="9">
        <v>44243383</v>
      </c>
      <c r="O451" s="5">
        <v>1980242</v>
      </c>
      <c r="P451" s="5">
        <v>132008485</v>
      </c>
      <c r="Q451" s="5">
        <v>0</v>
      </c>
      <c r="R451" s="5">
        <v>14175551473</v>
      </c>
      <c r="S451" s="5">
        <v>86806461</v>
      </c>
      <c r="T451" s="5">
        <v>3429906471</v>
      </c>
      <c r="U451" s="9">
        <v>18306635</v>
      </c>
      <c r="V451" s="9">
        <v>41370284</v>
      </c>
      <c r="W451" s="5">
        <v>76993213</v>
      </c>
      <c r="X451" s="5">
        <v>67369942</v>
      </c>
      <c r="Y451" s="5">
        <v>3205</v>
      </c>
      <c r="Z451" s="7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9">
        <v>0</v>
      </c>
      <c r="AJ451" s="9">
        <v>0</v>
      </c>
      <c r="AK451" s="5">
        <v>0</v>
      </c>
      <c r="AL451" s="5">
        <v>0</v>
      </c>
      <c r="AM451" s="5">
        <v>0</v>
      </c>
      <c r="AN451" s="5">
        <v>132450099</v>
      </c>
      <c r="AO451" s="7">
        <v>33772445702</v>
      </c>
      <c r="AP451" s="59">
        <f>+[6]Cuenta2019!$T$9-[6]Cuenta2019!$T$113-[6]Cuenta2019!$T$143-[6]Cuenta2019!$T$147-[6]Cuenta2019!$T$148-[6]Cuenta2019!$T$149-[6]Cuenta2019!$T$151-[6]Cuenta2019!$T$130</f>
        <v>33673870698</v>
      </c>
      <c r="AQ451" s="58">
        <f t="shared" si="14"/>
        <v>33673870698</v>
      </c>
      <c r="AR451" s="58">
        <f t="shared" si="13"/>
        <v>0</v>
      </c>
    </row>
    <row r="452" spans="1:44" s="47" customFormat="1" ht="10.5" customHeight="1">
      <c r="A452" s="47">
        <v>2019</v>
      </c>
      <c r="B452" s="47" t="s">
        <v>38</v>
      </c>
      <c r="C452" s="4">
        <v>43586</v>
      </c>
      <c r="D452" s="5">
        <v>4932631740</v>
      </c>
      <c r="E452" s="5">
        <v>173909062</v>
      </c>
      <c r="F452" s="5">
        <v>807396825</v>
      </c>
      <c r="G452" s="5">
        <v>7065552587</v>
      </c>
      <c r="H452" s="5">
        <v>590781427</v>
      </c>
      <c r="I452" s="5">
        <v>903766417</v>
      </c>
      <c r="J452" s="5">
        <v>0</v>
      </c>
      <c r="K452" s="5">
        <v>2058767448</v>
      </c>
      <c r="L452" s="5">
        <v>142014190</v>
      </c>
      <c r="M452" s="5">
        <v>48134488</v>
      </c>
      <c r="N452" s="9">
        <v>46975460</v>
      </c>
      <c r="O452" s="5">
        <v>37048776</v>
      </c>
      <c r="P452" s="5">
        <v>152866380</v>
      </c>
      <c r="Q452" s="5">
        <v>0</v>
      </c>
      <c r="R452" s="5">
        <v>16946144598</v>
      </c>
      <c r="S452" s="5">
        <v>87791826</v>
      </c>
      <c r="T452" s="5">
        <v>2929863082</v>
      </c>
      <c r="U452" s="9">
        <v>18615639</v>
      </c>
      <c r="V452" s="9">
        <v>51146900</v>
      </c>
      <c r="W452" s="5">
        <v>81304876</v>
      </c>
      <c r="X452" s="5">
        <v>85385386</v>
      </c>
      <c r="Y452" s="5">
        <v>0</v>
      </c>
      <c r="Z452" s="7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9">
        <v>0</v>
      </c>
      <c r="AJ452" s="9">
        <v>0</v>
      </c>
      <c r="AK452" s="5">
        <v>0</v>
      </c>
      <c r="AL452" s="5">
        <v>0</v>
      </c>
      <c r="AM452" s="5">
        <v>0</v>
      </c>
      <c r="AN452" s="5">
        <v>860872270</v>
      </c>
      <c r="AO452" s="7">
        <v>38021076129</v>
      </c>
      <c r="AP452" s="59">
        <f>+[6]Cuenta2019!$U$9-[6]Cuenta2019!$U$113-[6]Cuenta2019!$U$130-[6]Cuenta2019!$U$143-[6]Cuenta2019!$U$147-[6]Cuenta2019!$U$148-[6]Cuenta2019!$U$149-[6]Cuenta2019!$U$151</f>
        <v>37933177551</v>
      </c>
      <c r="AQ452" s="58">
        <f t="shared" si="14"/>
        <v>37933177551</v>
      </c>
      <c r="AR452" s="58">
        <f t="shared" ref="AR452:AR459" si="15">+AQ452-AP452</f>
        <v>0</v>
      </c>
    </row>
    <row r="453" spans="1:44" s="47" customFormat="1" ht="10.5" customHeight="1">
      <c r="A453" s="47">
        <v>2019</v>
      </c>
      <c r="B453" s="47" t="s">
        <v>39</v>
      </c>
      <c r="C453" s="4">
        <v>43617</v>
      </c>
      <c r="D453" s="5">
        <v>4280297044</v>
      </c>
      <c r="E453" s="5">
        <v>174407310</v>
      </c>
      <c r="F453" s="5">
        <v>762397488</v>
      </c>
      <c r="G453" s="5">
        <v>4529641172</v>
      </c>
      <c r="H453" s="5">
        <v>427815370</v>
      </c>
      <c r="I453" s="5">
        <v>1041824841</v>
      </c>
      <c r="J453" s="5">
        <v>0</v>
      </c>
      <c r="K453" s="5">
        <v>1593339254</v>
      </c>
      <c r="L453" s="5">
        <v>31805551</v>
      </c>
      <c r="M453" s="5">
        <v>25429276</v>
      </c>
      <c r="N453" s="9">
        <v>43861272</v>
      </c>
      <c r="O453" s="5">
        <v>8952111</v>
      </c>
      <c r="P453" s="5">
        <v>131067761</v>
      </c>
      <c r="Q453" s="5">
        <v>0</v>
      </c>
      <c r="R453" s="5">
        <v>14328792734</v>
      </c>
      <c r="S453" s="5">
        <v>87643512.400000006</v>
      </c>
      <c r="T453" s="5">
        <v>3118200276</v>
      </c>
      <c r="U453" s="9">
        <v>23493473</v>
      </c>
      <c r="V453" s="9">
        <v>72040983</v>
      </c>
      <c r="W453" s="5">
        <v>85097329</v>
      </c>
      <c r="X453" s="5">
        <v>62831057</v>
      </c>
      <c r="Y453" s="5">
        <v>0</v>
      </c>
      <c r="Z453" s="7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0</v>
      </c>
      <c r="AI453" s="9">
        <v>0</v>
      </c>
      <c r="AJ453" s="9">
        <v>0</v>
      </c>
      <c r="AK453" s="5">
        <v>0</v>
      </c>
      <c r="AL453" s="5">
        <v>0</v>
      </c>
      <c r="AM453" s="5">
        <v>0</v>
      </c>
      <c r="AN453" s="5">
        <v>372692804</v>
      </c>
      <c r="AO453" s="7">
        <v>31194114632</v>
      </c>
      <c r="AP453" s="59">
        <f>+[6]Cuenta2019!$V$9-[6]Cuenta2019!$V$113-[6]Cuenta2019!$V$130-[6]Cuenta2019!$V$143-[6]Cuenta2019!$V$147-[6]Cuenta2019!$V$148-[6]Cuenta2019!$V$149-[6]Cuenta2019!$V$151</f>
        <v>31113987106</v>
      </c>
      <c r="AQ453" s="58">
        <f>+SUM(D453:AN453)-S453</f>
        <v>31113987106</v>
      </c>
      <c r="AR453" s="58">
        <f t="shared" si="15"/>
        <v>0</v>
      </c>
    </row>
    <row r="454" spans="1:44" s="47" customFormat="1" ht="10.5" customHeight="1">
      <c r="A454" s="47">
        <v>2019</v>
      </c>
      <c r="B454" s="47" t="s">
        <v>40</v>
      </c>
      <c r="C454" s="4">
        <v>43647</v>
      </c>
      <c r="D454" s="5">
        <v>4383754193</v>
      </c>
      <c r="E454" s="5">
        <v>157637098</v>
      </c>
      <c r="F454" s="5">
        <v>780252052</v>
      </c>
      <c r="G454" s="5">
        <v>5233729484</v>
      </c>
      <c r="H454" s="5">
        <v>614158639</v>
      </c>
      <c r="I454" s="5">
        <v>973323321</v>
      </c>
      <c r="J454" s="5">
        <v>30007</v>
      </c>
      <c r="K454" s="5">
        <v>1633485137</v>
      </c>
      <c r="L454" s="5">
        <v>41877099</v>
      </c>
      <c r="M454" s="5">
        <v>41761194</v>
      </c>
      <c r="N454" s="9">
        <v>46708640</v>
      </c>
      <c r="O454" s="5">
        <v>7456764</v>
      </c>
      <c r="P454" s="5">
        <v>169669151</v>
      </c>
      <c r="Q454" s="5">
        <v>0</v>
      </c>
      <c r="R454" s="5">
        <v>15918961135</v>
      </c>
      <c r="S454" s="5">
        <v>89413393</v>
      </c>
      <c r="T454" s="5">
        <v>3401119749</v>
      </c>
      <c r="U454" s="9">
        <v>30345721</v>
      </c>
      <c r="V454" s="9">
        <v>85443884</v>
      </c>
      <c r="W454" s="5">
        <v>85825235</v>
      </c>
      <c r="X454" s="5">
        <v>83262848</v>
      </c>
      <c r="Y454" s="5">
        <v>0</v>
      </c>
      <c r="Z454" s="7">
        <v>0</v>
      </c>
      <c r="AA454" s="5">
        <v>0</v>
      </c>
      <c r="AB454" s="5">
        <v>0</v>
      </c>
      <c r="AC454" s="5">
        <v>0</v>
      </c>
      <c r="AD454" s="5">
        <v>3681</v>
      </c>
      <c r="AE454" s="5">
        <v>0</v>
      </c>
      <c r="AF454" s="5">
        <v>0</v>
      </c>
      <c r="AG454" s="5">
        <v>0</v>
      </c>
      <c r="AH454" s="5">
        <v>0</v>
      </c>
      <c r="AI454" s="9">
        <v>0</v>
      </c>
      <c r="AJ454" s="9">
        <v>0</v>
      </c>
      <c r="AK454" s="5">
        <v>0</v>
      </c>
      <c r="AL454" s="5">
        <v>0</v>
      </c>
      <c r="AM454" s="5">
        <v>0</v>
      </c>
      <c r="AN454" s="5">
        <v>74394449</v>
      </c>
      <c r="AO454" s="7">
        <v>33856712453</v>
      </c>
      <c r="AP454" s="59">
        <f>+[6]Cuenta2019!$W$9-[6]Cuenta2019!$W$113-[6]Cuenta2019!$W$130-[6]Cuenta2019!$W$143-[6]Cuenta2019!$W$147-[6]Cuenta2019!$W$148-[6]Cuenta2019!$W$149-[6]Cuenta2019!$W$151</f>
        <v>33763199481</v>
      </c>
      <c r="AQ454" s="58">
        <f t="shared" si="14"/>
        <v>33763199481</v>
      </c>
      <c r="AR454" s="58">
        <f t="shared" si="15"/>
        <v>0</v>
      </c>
    </row>
    <row r="455" spans="1:44" s="47" customFormat="1" ht="10.5" customHeight="1">
      <c r="A455" s="47">
        <v>2019</v>
      </c>
      <c r="B455" s="47" t="s">
        <v>41</v>
      </c>
      <c r="C455" s="4">
        <v>43678</v>
      </c>
      <c r="D455" s="5">
        <v>4641018735</v>
      </c>
      <c r="E455" s="5">
        <v>165280724</v>
      </c>
      <c r="F455" s="5">
        <v>971049529</v>
      </c>
      <c r="G455" s="5">
        <v>5312255152</v>
      </c>
      <c r="H455" s="5">
        <v>504157361</v>
      </c>
      <c r="I455" s="5">
        <v>1207953597</v>
      </c>
      <c r="J455" s="5">
        <v>7816</v>
      </c>
      <c r="K455" s="5">
        <v>1618025666</v>
      </c>
      <c r="L455" s="5">
        <v>64363923</v>
      </c>
      <c r="M455" s="5">
        <v>34391737</v>
      </c>
      <c r="N455" s="9">
        <v>50182916</v>
      </c>
      <c r="O455" s="5">
        <v>7282793</v>
      </c>
      <c r="P455" s="5">
        <v>163438105</v>
      </c>
      <c r="Q455" s="5">
        <v>0</v>
      </c>
      <c r="R455" s="5">
        <v>15791551704</v>
      </c>
      <c r="S455" s="5">
        <v>87052120.200000003</v>
      </c>
      <c r="T455" s="5">
        <v>2495436741</v>
      </c>
      <c r="U455" s="9">
        <v>27144342</v>
      </c>
      <c r="V455" s="9">
        <v>83615330</v>
      </c>
      <c r="W455" s="5">
        <v>83423120</v>
      </c>
      <c r="X455" s="5">
        <v>59027031</v>
      </c>
      <c r="Y455" s="5">
        <v>0</v>
      </c>
      <c r="Z455" s="7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9">
        <v>0</v>
      </c>
      <c r="AJ455" s="9">
        <v>0</v>
      </c>
      <c r="AK455" s="5">
        <v>0</v>
      </c>
      <c r="AL455" s="5">
        <v>0</v>
      </c>
      <c r="AM455" s="5">
        <v>0</v>
      </c>
      <c r="AN455" s="5">
        <v>437411943</v>
      </c>
      <c r="AO455" s="7">
        <v>33819038395</v>
      </c>
      <c r="AP455" s="59">
        <f>+[6]Cuenta2019!$X$9-[6]Cuenta2019!$X$113-[6]Cuenta2019!$X$130-[6]Cuenta2019!$X$143-[6]Cuenta2019!$X$147-[6]Cuenta2019!$X$148-[6]Cuenta2019!$X$149-[6]Cuenta2019!$X$151</f>
        <v>33717018265</v>
      </c>
      <c r="AQ455" s="58">
        <f t="shared" si="14"/>
        <v>33717018265</v>
      </c>
      <c r="AR455" s="58">
        <f t="shared" si="15"/>
        <v>0</v>
      </c>
    </row>
    <row r="456" spans="1:44" s="47" customFormat="1" ht="10.5" customHeight="1">
      <c r="A456" s="47">
        <v>2019</v>
      </c>
      <c r="B456" s="47" t="s">
        <v>78</v>
      </c>
      <c r="C456" s="4">
        <v>43709</v>
      </c>
      <c r="D456" s="5">
        <v>4579967432</v>
      </c>
      <c r="E456" s="5">
        <v>179998023</v>
      </c>
      <c r="F456" s="5">
        <v>850760948</v>
      </c>
      <c r="G456" s="5">
        <v>5679586700</v>
      </c>
      <c r="H456" s="5">
        <v>387438967</v>
      </c>
      <c r="I456" s="5">
        <v>1157029105</v>
      </c>
      <c r="J456" s="5">
        <v>0</v>
      </c>
      <c r="K456" s="5">
        <v>1587995029</v>
      </c>
      <c r="L456" s="5">
        <v>47218997</v>
      </c>
      <c r="M456" s="5">
        <v>36589520</v>
      </c>
      <c r="N456" s="9">
        <v>45974912</v>
      </c>
      <c r="O456" s="5">
        <v>124829726</v>
      </c>
      <c r="P456" s="5">
        <v>161233700</v>
      </c>
      <c r="Q456" s="5">
        <v>0</v>
      </c>
      <c r="R456" s="5">
        <v>16304172851</v>
      </c>
      <c r="S456" s="5">
        <v>86149710</v>
      </c>
      <c r="T456" s="5">
        <v>3059021035</v>
      </c>
      <c r="U456" s="9">
        <v>21367891</v>
      </c>
      <c r="V456" s="9">
        <v>53098584</v>
      </c>
      <c r="W456" s="5">
        <v>82865173</v>
      </c>
      <c r="X456" s="5">
        <v>70468455</v>
      </c>
      <c r="Y456" s="5">
        <v>0</v>
      </c>
      <c r="Z456" s="7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9">
        <v>0</v>
      </c>
      <c r="AJ456" s="9">
        <v>0</v>
      </c>
      <c r="AK456" s="5">
        <v>0</v>
      </c>
      <c r="AL456" s="5">
        <v>0</v>
      </c>
      <c r="AM456" s="5">
        <v>0</v>
      </c>
      <c r="AN456" s="5">
        <v>273815394</v>
      </c>
      <c r="AO456" s="7">
        <v>34789498272</v>
      </c>
      <c r="AP456" s="59">
        <f>+[6]Cuenta2019!$Y$9-[6]Cuenta2019!$Y$113-[6]Cuenta2019!$Y$130-[6]Cuenta2019!$Y$143-[6]Cuenta2019!$Y$147-[6]Cuenta2019!$Y$148-[6]Cuenta2019!$Y$149-[6]Cuenta2019!$Y$151</f>
        <v>34703432442</v>
      </c>
      <c r="AQ456" s="58">
        <f>+SUM(D456:AN456)-S456</f>
        <v>34703432442</v>
      </c>
      <c r="AR456" s="58">
        <f t="shared" si="15"/>
        <v>0</v>
      </c>
    </row>
    <row r="457" spans="1:44" s="47" customFormat="1" ht="10.5" customHeight="1">
      <c r="A457" s="47">
        <v>2019</v>
      </c>
      <c r="B457" s="47" t="s">
        <v>43</v>
      </c>
      <c r="C457" s="4">
        <v>43739</v>
      </c>
      <c r="D457" s="5">
        <v>5202657024</v>
      </c>
      <c r="E457" s="5">
        <v>163962279</v>
      </c>
      <c r="F457" s="5">
        <v>874037232</v>
      </c>
      <c r="G457" s="5">
        <v>5864579111</v>
      </c>
      <c r="H457" s="5">
        <v>476275487</v>
      </c>
      <c r="I457" s="5">
        <v>1151128051</v>
      </c>
      <c r="J457" s="5">
        <v>20393</v>
      </c>
      <c r="K457" s="5">
        <v>1638374534</v>
      </c>
      <c r="L457" s="5">
        <v>113031354</v>
      </c>
      <c r="M457" s="5">
        <v>59791654</v>
      </c>
      <c r="N457" s="9">
        <v>47576936</v>
      </c>
      <c r="O457" s="5">
        <v>178139961</v>
      </c>
      <c r="P457" s="5">
        <v>177658397</v>
      </c>
      <c r="Q457" s="5">
        <v>0</v>
      </c>
      <c r="R457" s="5">
        <v>16327021853</v>
      </c>
      <c r="S457" s="5">
        <v>86810877.200000003</v>
      </c>
      <c r="T457" s="5">
        <v>3895928118</v>
      </c>
      <c r="U457" s="9">
        <v>29544167</v>
      </c>
      <c r="V457" s="9">
        <v>71293577</v>
      </c>
      <c r="W457" s="5">
        <v>79232790</v>
      </c>
      <c r="X457" s="5">
        <v>88653351</v>
      </c>
      <c r="Y457" s="5">
        <v>0</v>
      </c>
      <c r="Z457" s="7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9">
        <v>0</v>
      </c>
      <c r="AJ457" s="9">
        <v>0</v>
      </c>
      <c r="AK457" s="5">
        <v>0</v>
      </c>
      <c r="AL457" s="5">
        <v>0</v>
      </c>
      <c r="AM457" s="5">
        <v>0</v>
      </c>
      <c r="AN457" s="5">
        <v>434572814</v>
      </c>
      <c r="AO457" s="7">
        <v>37023458532</v>
      </c>
      <c r="AP457" s="59">
        <f>+[6]Cuenta2019!$Z$9-[6]Cuenta2019!$Z$113-[6]Cuenta2019!$Z$130-[6]Cuenta2019!$Z$143-[6]Cuenta2019!$Z$147-[6]Cuenta2019!$Z$148-[6]Cuenta2019!$Z$149-[6]Cuenta2019!$Z$151</f>
        <v>36873479083</v>
      </c>
      <c r="AQ457" s="58">
        <f t="shared" si="14"/>
        <v>36873479083</v>
      </c>
      <c r="AR457" s="58">
        <f t="shared" si="15"/>
        <v>0</v>
      </c>
    </row>
    <row r="458" spans="1:44" s="47" customFormat="1" ht="10.5" customHeight="1">
      <c r="A458" s="47">
        <v>2019</v>
      </c>
      <c r="B458" s="47" t="s">
        <v>44</v>
      </c>
      <c r="C458" s="4">
        <v>43770</v>
      </c>
      <c r="D458" s="5">
        <v>4574302316</v>
      </c>
      <c r="E458" s="5">
        <v>145631480</v>
      </c>
      <c r="F458" s="5">
        <v>902231821</v>
      </c>
      <c r="G458" s="5">
        <v>5668344181</v>
      </c>
      <c r="H458" s="5">
        <v>514822504</v>
      </c>
      <c r="I458" s="5">
        <v>1129896091</v>
      </c>
      <c r="J458" s="5">
        <v>0</v>
      </c>
      <c r="K458" s="5">
        <v>1586990440</v>
      </c>
      <c r="L458" s="5">
        <v>77087327</v>
      </c>
      <c r="M458" s="5">
        <v>47523048</v>
      </c>
      <c r="N458" s="9">
        <v>46125721</v>
      </c>
      <c r="O458" s="5">
        <v>17031993</v>
      </c>
      <c r="P458" s="5">
        <v>162992448</v>
      </c>
      <c r="Q458" s="5">
        <v>0</v>
      </c>
      <c r="R458" s="5">
        <v>16118844538</v>
      </c>
      <c r="S458" s="5">
        <v>83425006.5</v>
      </c>
      <c r="T458" s="5">
        <v>2968753585</v>
      </c>
      <c r="U458" s="9">
        <v>19739341</v>
      </c>
      <c r="V458" s="9">
        <v>68946865</v>
      </c>
      <c r="W458" s="5">
        <v>85316846</v>
      </c>
      <c r="X458" s="5">
        <v>62903038</v>
      </c>
      <c r="Y458" s="5">
        <v>0</v>
      </c>
      <c r="Z458" s="7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9">
        <v>0</v>
      </c>
      <c r="AJ458" s="9">
        <v>0</v>
      </c>
      <c r="AK458" s="5">
        <v>0</v>
      </c>
      <c r="AL458" s="5">
        <v>0</v>
      </c>
      <c r="AM458" s="5">
        <v>0</v>
      </c>
      <c r="AN458" s="5">
        <v>261576793</v>
      </c>
      <c r="AO458" s="7">
        <v>34533714390</v>
      </c>
      <c r="AP458" s="59">
        <f>+[6]Cuenta2019!$AA$9-[6]Cuenta2019!$AA$113-[6]Cuenta2019!$AA$130-[6]Cuenta2019!$AA$143-[6]Cuenta2019!$AA$147-[6]Cuenta2019!$AA$148-[6]Cuenta2019!$AA$149-[6]Cuenta2019!$AA$151</f>
        <v>34459060376</v>
      </c>
      <c r="AQ458" s="58">
        <f t="shared" si="14"/>
        <v>34459060376</v>
      </c>
      <c r="AR458" s="58">
        <f t="shared" si="15"/>
        <v>0</v>
      </c>
    </row>
    <row r="459" spans="1:44" s="47" customFormat="1" ht="10.5" customHeight="1">
      <c r="A459" s="47">
        <v>2019</v>
      </c>
      <c r="B459" s="47" t="s">
        <v>45</v>
      </c>
      <c r="C459" s="4">
        <v>43800</v>
      </c>
      <c r="D459" s="5">
        <v>4608595801</v>
      </c>
      <c r="E459" s="5">
        <v>224524333</v>
      </c>
      <c r="F459" s="5">
        <v>906307493</v>
      </c>
      <c r="G459" s="5">
        <v>5608993328</v>
      </c>
      <c r="H459" s="5">
        <v>449766418</v>
      </c>
      <c r="I459" s="5">
        <v>1225159466</v>
      </c>
      <c r="J459" s="5">
        <v>17896</v>
      </c>
      <c r="K459" s="5">
        <v>1578708340</v>
      </c>
      <c r="L459" s="5">
        <v>46139653</v>
      </c>
      <c r="M459" s="5">
        <v>49009091</v>
      </c>
      <c r="N459" s="9">
        <v>44317951</v>
      </c>
      <c r="O459" s="5">
        <v>300445651</v>
      </c>
      <c r="P459" s="5">
        <v>211044487</v>
      </c>
      <c r="Q459" s="5">
        <v>0</v>
      </c>
      <c r="R459" s="5">
        <v>16237773640</v>
      </c>
      <c r="S459" s="5">
        <v>83058095.799999997</v>
      </c>
      <c r="T459" s="5">
        <v>3664421045</v>
      </c>
      <c r="U459" s="9">
        <v>27342304</v>
      </c>
      <c r="V459" s="9">
        <v>61000257</v>
      </c>
      <c r="W459" s="5">
        <v>89564327</v>
      </c>
      <c r="X459" s="5">
        <v>90350193</v>
      </c>
      <c r="Y459" s="5">
        <v>0</v>
      </c>
      <c r="Z459" s="7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9">
        <v>0</v>
      </c>
      <c r="AJ459" s="9">
        <v>0</v>
      </c>
      <c r="AK459" s="5">
        <v>0</v>
      </c>
      <c r="AL459" s="5">
        <v>0</v>
      </c>
      <c r="AM459" s="5">
        <v>0</v>
      </c>
      <c r="AN459" s="5">
        <v>46950761</v>
      </c>
      <c r="AO459" s="7">
        <v>35578083503</v>
      </c>
      <c r="AP459" s="59">
        <f>+[6]Cuenta2019!$AB$9-[6]Cuenta2019!$AB$113-[6]Cuenta2019!$AB$130-[6]Cuenta2019!$AB$143-[6]Cuenta2019!$AB$147-[6]Cuenta2019!$AB$148-[6]Cuenta2019!$AB$149-[6]Cuenta2019!$AB$151</f>
        <v>35470432435</v>
      </c>
      <c r="AQ459" s="58">
        <f t="shared" si="14"/>
        <v>35470432435</v>
      </c>
      <c r="AR459" s="58">
        <f t="shared" si="15"/>
        <v>0</v>
      </c>
    </row>
    <row r="460" spans="1:44" s="66" customFormat="1" ht="10.5" customHeight="1">
      <c r="A460" s="66">
        <v>2020</v>
      </c>
      <c r="B460" s="66" t="s">
        <v>34</v>
      </c>
      <c r="C460" s="67">
        <v>43831</v>
      </c>
      <c r="D460" s="68">
        <v>4783549766</v>
      </c>
      <c r="E460" s="68">
        <v>173689876</v>
      </c>
      <c r="F460" s="68">
        <v>893503375</v>
      </c>
      <c r="G460" s="68">
        <v>7056382442</v>
      </c>
      <c r="H460" s="68">
        <v>1068802356</v>
      </c>
      <c r="I460" s="68">
        <v>924753587</v>
      </c>
      <c r="J460" s="68">
        <v>9825</v>
      </c>
      <c r="K460" s="68">
        <v>1377802001</v>
      </c>
      <c r="L460" s="68">
        <v>39918716</v>
      </c>
      <c r="M460" s="68">
        <v>30537711</v>
      </c>
      <c r="N460" s="69">
        <v>46830945</v>
      </c>
      <c r="O460" s="68">
        <v>6604025</v>
      </c>
      <c r="P460" s="68">
        <v>144718399</v>
      </c>
      <c r="Q460" s="68">
        <v>0</v>
      </c>
      <c r="R460" s="68">
        <v>19460445546</v>
      </c>
      <c r="S460" s="68">
        <v>85351018.299999997</v>
      </c>
      <c r="T460" s="68">
        <v>4128197150</v>
      </c>
      <c r="U460" s="69">
        <v>21192779</v>
      </c>
      <c r="V460" s="69">
        <v>55733930</v>
      </c>
      <c r="W460" s="68">
        <v>102018978</v>
      </c>
      <c r="X460" s="68">
        <v>80059305</v>
      </c>
      <c r="Y460" s="68">
        <v>0</v>
      </c>
      <c r="Z460" s="70">
        <v>0</v>
      </c>
      <c r="AA460" s="68">
        <v>0</v>
      </c>
      <c r="AB460" s="68">
        <v>0</v>
      </c>
      <c r="AC460" s="68">
        <v>0</v>
      </c>
      <c r="AD460" s="68">
        <v>5522</v>
      </c>
      <c r="AE460" s="68">
        <v>0</v>
      </c>
      <c r="AF460" s="68">
        <v>0</v>
      </c>
      <c r="AG460" s="68">
        <v>0</v>
      </c>
      <c r="AH460" s="68">
        <v>0</v>
      </c>
      <c r="AI460" s="69">
        <v>0</v>
      </c>
      <c r="AJ460" s="69">
        <v>0</v>
      </c>
      <c r="AK460" s="68">
        <v>0</v>
      </c>
      <c r="AL460" s="68">
        <v>0</v>
      </c>
      <c r="AM460" s="68">
        <v>0</v>
      </c>
      <c r="AN460" s="68">
        <v>160721795</v>
      </c>
      <c r="AO460" s="70">
        <v>40620265987</v>
      </c>
      <c r="AP460" s="71">
        <f>+[7]Cuenta2020!$Q$9-[7]Cuenta2020!$Q$113-[7]Cuenta2020!$Q$130-[7]Cuenta2020!$Q$143-[7]Cuenta2020!$Q$147-[7]Cuenta2020!$Q$148-[7]Cuenta2020!$Q$149-[7]Cuenta2020!$Q$151</f>
        <v>40555478029</v>
      </c>
      <c r="AQ460" s="72">
        <f t="shared" ref="AQ460:AQ472" si="16">+SUM(D460:AN460)-S460</f>
        <v>40555478029</v>
      </c>
      <c r="AR460" s="72">
        <f t="shared" ref="AR460:AR472" si="17">+AQ460-AP460</f>
        <v>0</v>
      </c>
    </row>
    <row r="461" spans="1:44" s="47" customFormat="1" ht="10.5" customHeight="1">
      <c r="A461" s="47">
        <v>2020</v>
      </c>
      <c r="B461" s="47" t="s">
        <v>35</v>
      </c>
      <c r="C461" s="4">
        <v>43862</v>
      </c>
      <c r="D461" s="5">
        <v>4589851798</v>
      </c>
      <c r="E461" s="5">
        <v>167131935</v>
      </c>
      <c r="F461" s="5">
        <v>763372719</v>
      </c>
      <c r="G461" s="5">
        <v>5325162268</v>
      </c>
      <c r="H461" s="5">
        <v>415614680</v>
      </c>
      <c r="I461" s="5">
        <v>983460376</v>
      </c>
      <c r="J461" s="5">
        <v>2791</v>
      </c>
      <c r="K461" s="5">
        <v>1565798658</v>
      </c>
      <c r="L461" s="5">
        <v>66036409</v>
      </c>
      <c r="M461" s="5">
        <v>38630512</v>
      </c>
      <c r="N461" s="9">
        <v>53206556</v>
      </c>
      <c r="O461" s="5">
        <v>7128027</v>
      </c>
      <c r="P461" s="5">
        <v>122489933</v>
      </c>
      <c r="Q461" s="5">
        <v>0</v>
      </c>
      <c r="R461" s="5">
        <v>15058633698</v>
      </c>
      <c r="S461" s="5">
        <v>92781341.599999994</v>
      </c>
      <c r="T461" s="5">
        <v>3419004929</v>
      </c>
      <c r="U461" s="9">
        <v>20219834</v>
      </c>
      <c r="V461" s="9">
        <v>63144432</v>
      </c>
      <c r="W461" s="5">
        <v>99215723</v>
      </c>
      <c r="X461" s="5">
        <v>56331961</v>
      </c>
      <c r="Y461" s="5">
        <v>0</v>
      </c>
      <c r="Z461" s="7">
        <v>0</v>
      </c>
      <c r="AA461" s="5">
        <v>0</v>
      </c>
      <c r="AB461" s="5">
        <v>0</v>
      </c>
      <c r="AC461" s="5">
        <v>0</v>
      </c>
      <c r="AD461" s="5">
        <v>3675</v>
      </c>
      <c r="AE461" s="5">
        <v>0</v>
      </c>
      <c r="AF461" s="5">
        <v>0</v>
      </c>
      <c r="AG461" s="5">
        <v>0</v>
      </c>
      <c r="AH461" s="5">
        <v>0</v>
      </c>
      <c r="AI461" s="9">
        <v>0</v>
      </c>
      <c r="AJ461" s="9">
        <v>0</v>
      </c>
      <c r="AK461" s="5">
        <v>0</v>
      </c>
      <c r="AL461" s="5">
        <v>0</v>
      </c>
      <c r="AM461" s="5">
        <v>0</v>
      </c>
      <c r="AN461" s="5">
        <v>109937333</v>
      </c>
      <c r="AO461" s="7">
        <v>32994480790</v>
      </c>
      <c r="AP461" s="59">
        <f>+[7]Cuenta2020!$R$9-[7]Cuenta2020!$R$113-[7]Cuenta2020!$R$130-[7]Cuenta2020!$R$143-[7]Cuenta2020!$R$147-[7]Cuenta2020!$R$148-[7]Cuenta2020!$R$149-[7]Cuenta2020!$R$151</f>
        <v>32924378247</v>
      </c>
      <c r="AQ461" s="58">
        <f t="shared" si="16"/>
        <v>32924378247</v>
      </c>
      <c r="AR461" s="58">
        <f t="shared" si="17"/>
        <v>0</v>
      </c>
    </row>
    <row r="462" spans="1:44" s="47" customFormat="1" ht="10.5" customHeight="1">
      <c r="A462" s="47">
        <v>2020</v>
      </c>
      <c r="B462" s="47" t="s">
        <v>36</v>
      </c>
      <c r="C462" s="4">
        <v>43891</v>
      </c>
      <c r="D462" s="5">
        <v>4850673157</v>
      </c>
      <c r="E462" s="5">
        <v>184957742</v>
      </c>
      <c r="F462" s="5">
        <v>730867318</v>
      </c>
      <c r="G462" s="5">
        <v>6852449919</v>
      </c>
      <c r="H462" s="5">
        <v>352957320</v>
      </c>
      <c r="I462" s="5">
        <v>992277718</v>
      </c>
      <c r="J462" s="5">
        <v>0</v>
      </c>
      <c r="K462" s="5">
        <v>1588505020</v>
      </c>
      <c r="L462" s="5">
        <v>56462044</v>
      </c>
      <c r="M462" s="5">
        <v>29638640</v>
      </c>
      <c r="N462" s="9">
        <v>48125340</v>
      </c>
      <c r="O462" s="5">
        <v>-1470532</v>
      </c>
      <c r="P462" s="5">
        <v>137123849</v>
      </c>
      <c r="Q462" s="5">
        <v>0</v>
      </c>
      <c r="R462" s="5">
        <v>16446386628</v>
      </c>
      <c r="S462" s="5">
        <v>80075239</v>
      </c>
      <c r="T462" s="5">
        <v>3902712239</v>
      </c>
      <c r="U462" s="9">
        <v>20898654</v>
      </c>
      <c r="V462" s="9">
        <v>53658605</v>
      </c>
      <c r="W462" s="5">
        <v>132988257</v>
      </c>
      <c r="X462" s="5">
        <v>79035681</v>
      </c>
      <c r="Y462" s="5">
        <v>0</v>
      </c>
      <c r="Z462" s="7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9">
        <v>0</v>
      </c>
      <c r="AJ462" s="9">
        <v>0</v>
      </c>
      <c r="AK462" s="5">
        <v>0</v>
      </c>
      <c r="AL462" s="5">
        <v>0</v>
      </c>
      <c r="AM462" s="5">
        <v>0</v>
      </c>
      <c r="AN462" s="5">
        <v>125186552</v>
      </c>
      <c r="AO462" s="7">
        <v>36641761018</v>
      </c>
      <c r="AP462" s="59">
        <f>+[7]Cuenta2020!$S$9-[7]Cuenta2020!$S$113-[7]Cuenta2020!$S$130-[7]Cuenta2020!$S$143-[7]Cuenta2020!$S$147-[7]Cuenta2020!$S$148-[7]Cuenta2020!$S$149-[7]Cuenta2020!$S$151</f>
        <v>36583434151</v>
      </c>
      <c r="AQ462" s="58">
        <f t="shared" si="16"/>
        <v>36583434151</v>
      </c>
      <c r="AR462" s="58">
        <f t="shared" si="17"/>
        <v>0</v>
      </c>
    </row>
    <row r="463" spans="1:44" s="47" customFormat="1" ht="10.5" customHeight="1">
      <c r="A463" s="47">
        <v>2020</v>
      </c>
      <c r="B463" s="47" t="s">
        <v>37</v>
      </c>
      <c r="C463" s="4">
        <v>43922</v>
      </c>
      <c r="D463" s="5">
        <v>7058746078</v>
      </c>
      <c r="E463" s="5">
        <v>171023052</v>
      </c>
      <c r="F463" s="5">
        <v>767304156</v>
      </c>
      <c r="G463" s="5">
        <v>5515231787</v>
      </c>
      <c r="H463" s="5">
        <v>547430324</v>
      </c>
      <c r="I463" s="5">
        <v>1006885874</v>
      </c>
      <c r="J463" s="5">
        <v>0</v>
      </c>
      <c r="K463" s="5">
        <v>1053530053</v>
      </c>
      <c r="L463" s="5">
        <v>43870997</v>
      </c>
      <c r="M463" s="5">
        <v>39950610</v>
      </c>
      <c r="N463" s="9">
        <v>43945457</v>
      </c>
      <c r="O463" s="5">
        <v>2067423</v>
      </c>
      <c r="P463" s="5">
        <v>58124300</v>
      </c>
      <c r="Q463" s="5">
        <v>0</v>
      </c>
      <c r="R463" s="5">
        <v>14277948312</v>
      </c>
      <c r="S463" s="5">
        <v>64902173.799999997</v>
      </c>
      <c r="T463" s="5">
        <v>2789252149</v>
      </c>
      <c r="U463" s="9">
        <v>18184008</v>
      </c>
      <c r="V463" s="9">
        <v>42675627</v>
      </c>
      <c r="W463" s="5">
        <v>89766479</v>
      </c>
      <c r="X463" s="5">
        <v>75928732</v>
      </c>
      <c r="Y463" s="5">
        <v>0</v>
      </c>
      <c r="Z463" s="7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9">
        <v>0</v>
      </c>
      <c r="AJ463" s="9">
        <v>0</v>
      </c>
      <c r="AK463" s="5">
        <v>0</v>
      </c>
      <c r="AL463" s="5">
        <v>0</v>
      </c>
      <c r="AM463" s="5">
        <v>0</v>
      </c>
      <c r="AN463" s="5">
        <v>94633563</v>
      </c>
      <c r="AO463" s="7">
        <v>33746082311</v>
      </c>
      <c r="AP463" s="59">
        <f>+[7]Cuenta2020!$T$9-[7]Cuenta2020!$T$113-[7]Cuenta2020!$S$130-[7]Cuenta2020!$T$143-[7]Cuenta2020!$T$147-[7]Cuenta2020!$T$148-[7]Cuenta2020!$T$149-[7]Cuenta2020!$T$151</f>
        <v>33696498981</v>
      </c>
      <c r="AQ463" s="58">
        <f t="shared" si="16"/>
        <v>33696498981</v>
      </c>
      <c r="AR463" s="58">
        <f t="shared" si="17"/>
        <v>0</v>
      </c>
    </row>
    <row r="464" spans="1:44" s="47" customFormat="1" ht="10.5" customHeight="1">
      <c r="A464" s="47">
        <v>2020</v>
      </c>
      <c r="B464" s="47" t="s">
        <v>38</v>
      </c>
      <c r="C464" s="4">
        <v>43952</v>
      </c>
      <c r="D464" s="5">
        <v>4857097581</v>
      </c>
      <c r="E464" s="5">
        <v>127298505</v>
      </c>
      <c r="F464" s="5">
        <v>780080356</v>
      </c>
      <c r="G464" s="5">
        <v>5465202532</v>
      </c>
      <c r="H464" s="5">
        <v>468675879</v>
      </c>
      <c r="I464" s="5">
        <v>1244921357</v>
      </c>
      <c r="J464" s="5">
        <v>0</v>
      </c>
      <c r="K464" s="5">
        <v>2091775068</v>
      </c>
      <c r="L464" s="5">
        <v>186767886</v>
      </c>
      <c r="M464" s="5">
        <v>86418885</v>
      </c>
      <c r="N464" s="9">
        <v>43909664</v>
      </c>
      <c r="O464" s="5">
        <v>16247349</v>
      </c>
      <c r="P464" s="5">
        <v>97729196</v>
      </c>
      <c r="Q464" s="5">
        <v>0</v>
      </c>
      <c r="R464" s="5">
        <v>15794162923</v>
      </c>
      <c r="S464" s="5">
        <v>84336724.200000003</v>
      </c>
      <c r="T464" s="5">
        <v>1788287568</v>
      </c>
      <c r="U464" s="9">
        <v>14250263</v>
      </c>
      <c r="V464" s="9">
        <v>50841562</v>
      </c>
      <c r="W464" s="5">
        <v>87874146</v>
      </c>
      <c r="X464" s="5">
        <v>59611877</v>
      </c>
      <c r="Y464" s="5">
        <v>0</v>
      </c>
      <c r="Z464" s="7">
        <v>0</v>
      </c>
      <c r="AA464" s="5">
        <v>0</v>
      </c>
      <c r="AB464" s="5">
        <v>0</v>
      </c>
      <c r="AC464" s="5">
        <v>0</v>
      </c>
      <c r="AD464" s="5">
        <v>3981</v>
      </c>
      <c r="AE464" s="5">
        <v>0</v>
      </c>
      <c r="AF464" s="5">
        <v>0</v>
      </c>
      <c r="AG464" s="5">
        <v>0</v>
      </c>
      <c r="AH464" s="5">
        <v>0</v>
      </c>
      <c r="AI464" s="9">
        <v>0</v>
      </c>
      <c r="AJ464" s="9">
        <v>0</v>
      </c>
      <c r="AK464" s="5">
        <v>0</v>
      </c>
      <c r="AL464" s="5">
        <v>0</v>
      </c>
      <c r="AM464" s="5">
        <v>0</v>
      </c>
      <c r="AN464" s="5">
        <v>839104210</v>
      </c>
      <c r="AO464" s="7">
        <v>34152160678</v>
      </c>
      <c r="AP464" s="59">
        <f>+[7]Cuenta2020!$U$9-[7]Cuenta2020!$U$113-[7]Cuenta2020!$U$130-[7]Cuenta2020!$U$143-[7]Cuenta2020!$U$147-[7]Cuenta2020!$U$148-[7]Cuenta2020!$U$149-[7]Cuenta2020!$U$151</f>
        <v>34100260788</v>
      </c>
      <c r="AQ464" s="58">
        <f t="shared" si="16"/>
        <v>34100260788</v>
      </c>
      <c r="AR464" s="58">
        <f t="shared" si="17"/>
        <v>0</v>
      </c>
    </row>
    <row r="465" spans="1:44" s="47" customFormat="1" ht="10.5" customHeight="1">
      <c r="A465" s="47">
        <v>2020</v>
      </c>
      <c r="B465" s="47" t="s">
        <v>39</v>
      </c>
      <c r="C465" s="4">
        <v>43983</v>
      </c>
      <c r="D465" s="5">
        <v>4932121236</v>
      </c>
      <c r="E465" s="5">
        <v>182589181</v>
      </c>
      <c r="F465" s="5">
        <v>834817659</v>
      </c>
      <c r="G465" s="5">
        <v>4719261240</v>
      </c>
      <c r="H465" s="5">
        <v>457131070</v>
      </c>
      <c r="I465" s="5">
        <v>1411943591</v>
      </c>
      <c r="J465" s="5">
        <v>0</v>
      </c>
      <c r="K465" s="5">
        <v>1812485232</v>
      </c>
      <c r="L465" s="5">
        <v>57384808</v>
      </c>
      <c r="M465" s="5">
        <v>38769013</v>
      </c>
      <c r="N465" s="9">
        <v>52564990</v>
      </c>
      <c r="O465" s="5">
        <v>-2760626</v>
      </c>
      <c r="P465" s="5">
        <v>148254433</v>
      </c>
      <c r="Q465" s="5">
        <v>0</v>
      </c>
      <c r="R465" s="5">
        <v>15722170956</v>
      </c>
      <c r="S465" s="5">
        <v>91553629.700000003</v>
      </c>
      <c r="T465" s="5">
        <v>2099420422</v>
      </c>
      <c r="U465" s="9">
        <v>23133026</v>
      </c>
      <c r="V465" s="9">
        <v>70351529</v>
      </c>
      <c r="W465" s="5">
        <v>91923163</v>
      </c>
      <c r="X465" s="5">
        <v>77275678</v>
      </c>
      <c r="Y465" s="5">
        <v>0</v>
      </c>
      <c r="Z465" s="7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9">
        <v>0</v>
      </c>
      <c r="AJ465" s="9">
        <v>0</v>
      </c>
      <c r="AK465" s="5">
        <v>0</v>
      </c>
      <c r="AL465" s="5">
        <v>0</v>
      </c>
      <c r="AM465" s="5">
        <v>0</v>
      </c>
      <c r="AN465" s="5">
        <v>487072207</v>
      </c>
      <c r="AO465" s="7">
        <v>33289822554</v>
      </c>
      <c r="AP465" s="59">
        <f>+[7]Cuenta2020!$V$9-[7]Cuenta2020!$V$113-[7]Cuenta2020!$V$130-[7]Cuenta2020!$V$143-[7]Cuenta2020!$V$147-[7]Cuenta2020!$V$148-[7]Cuenta2020!$V$149-[7]Cuenta2020!$V$151</f>
        <v>33215908808</v>
      </c>
      <c r="AQ465" s="58">
        <f t="shared" si="16"/>
        <v>33215908808</v>
      </c>
      <c r="AR465" s="58">
        <f t="shared" si="17"/>
        <v>0</v>
      </c>
    </row>
    <row r="466" spans="1:44" s="47" customFormat="1" ht="10.5" customHeight="1">
      <c r="A466" s="47">
        <v>2020</v>
      </c>
      <c r="B466" s="47" t="s">
        <v>40</v>
      </c>
      <c r="C466" s="4">
        <v>44013</v>
      </c>
      <c r="D466" s="5">
        <v>4909272467</v>
      </c>
      <c r="E466" s="5">
        <v>196642123</v>
      </c>
      <c r="F466" s="5">
        <v>1054972051</v>
      </c>
      <c r="G466" s="5">
        <v>6179716941</v>
      </c>
      <c r="H466" s="5">
        <v>494772400</v>
      </c>
      <c r="I466" s="5">
        <v>1065600494</v>
      </c>
      <c r="J466" s="5">
        <v>4157</v>
      </c>
      <c r="K466" s="5">
        <v>1738777016</v>
      </c>
      <c r="L466" s="5">
        <v>53297783</v>
      </c>
      <c r="M466" s="5">
        <v>49691198</v>
      </c>
      <c r="N466" s="9">
        <v>48503952</v>
      </c>
      <c r="O466" s="5">
        <v>4709050</v>
      </c>
      <c r="P466" s="5">
        <v>173233568</v>
      </c>
      <c r="Q466" s="5">
        <v>0</v>
      </c>
      <c r="R466" s="5">
        <v>17917078164</v>
      </c>
      <c r="S466" s="5">
        <v>93615202</v>
      </c>
      <c r="T466" s="5">
        <v>2807991233</v>
      </c>
      <c r="U466" s="9">
        <v>36626359</v>
      </c>
      <c r="V466" s="9">
        <v>87335345</v>
      </c>
      <c r="W466" s="5">
        <v>93539070</v>
      </c>
      <c r="X466" s="5">
        <v>76402858</v>
      </c>
      <c r="Y466" s="5">
        <v>0</v>
      </c>
      <c r="Z466" s="7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9">
        <v>0</v>
      </c>
      <c r="AJ466" s="9">
        <v>0</v>
      </c>
      <c r="AK466" s="5">
        <v>0</v>
      </c>
      <c r="AL466" s="5">
        <v>0</v>
      </c>
      <c r="AM466" s="5">
        <v>0</v>
      </c>
      <c r="AN466" s="5">
        <v>84275313</v>
      </c>
      <c r="AO466" s="7">
        <v>37177020328</v>
      </c>
      <c r="AP466" s="59">
        <f>+[7]Cuenta2020!$W$9-[7]Cuenta2020!$W$113-[7]Cuenta2020!$W$130-[7]Cuenta2020!$W$143-[7]Cuenta2020!$W$147-[7]Cuenta2020!$W$148-[7]Cuenta2020!$W$149-[7]Cuenta2020!$W$151</f>
        <v>37072441542</v>
      </c>
      <c r="AQ466" s="58">
        <f t="shared" si="16"/>
        <v>37072441542</v>
      </c>
      <c r="AR466" s="58">
        <f t="shared" si="17"/>
        <v>0</v>
      </c>
    </row>
    <row r="467" spans="1:44" s="47" customFormat="1" ht="10.5" customHeight="1">
      <c r="A467" s="47">
        <v>2020</v>
      </c>
      <c r="B467" s="47" t="s">
        <v>41</v>
      </c>
      <c r="C467" s="4">
        <v>44044</v>
      </c>
      <c r="D467" s="5">
        <v>4773443766</v>
      </c>
      <c r="E467" s="5">
        <v>177944843</v>
      </c>
      <c r="F467" s="5">
        <v>1102218525</v>
      </c>
      <c r="G467" s="5">
        <v>5306160645</v>
      </c>
      <c r="H467" s="5">
        <v>416381618</v>
      </c>
      <c r="I467" s="5">
        <v>1329792812</v>
      </c>
      <c r="J467" s="5">
        <v>592429</v>
      </c>
      <c r="K467" s="5">
        <v>1700990109</v>
      </c>
      <c r="L467" s="5">
        <v>63567069</v>
      </c>
      <c r="M467" s="5">
        <v>38811799</v>
      </c>
      <c r="N467" s="9">
        <v>49054381</v>
      </c>
      <c r="O467" s="5">
        <v>18702055</v>
      </c>
      <c r="P467" s="5">
        <v>182192589</v>
      </c>
      <c r="Q467" s="5">
        <v>0</v>
      </c>
      <c r="R467" s="5">
        <v>16568813032</v>
      </c>
      <c r="S467" s="5">
        <v>90967392.200000003</v>
      </c>
      <c r="T467" s="5">
        <v>3671045989</v>
      </c>
      <c r="U467" s="9">
        <v>25643413</v>
      </c>
      <c r="V467" s="9">
        <v>77318087</v>
      </c>
      <c r="W467" s="5">
        <v>96849157</v>
      </c>
      <c r="X467" s="5">
        <v>64345733</v>
      </c>
      <c r="Y467" s="5">
        <v>0</v>
      </c>
      <c r="Z467" s="7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9">
        <v>0</v>
      </c>
      <c r="AJ467" s="9">
        <v>0</v>
      </c>
      <c r="AK467" s="5">
        <v>0</v>
      </c>
      <c r="AL467" s="5">
        <v>0</v>
      </c>
      <c r="AM467" s="5">
        <v>0</v>
      </c>
      <c r="AN467" s="5">
        <v>452568499</v>
      </c>
      <c r="AO467" s="7">
        <v>36193923955</v>
      </c>
      <c r="AP467" s="59">
        <f>+[7]Cuenta2020!$X$9-[7]Cuenta2020!$X$113-[7]Cuenta2020!$X$130-[7]Cuenta2020!$X$143-[7]Cuenta2020!$X$147-[7]Cuenta2020!$X$148-[7]Cuenta2020!$X$149-[7]Cuenta2020!$X$151</f>
        <v>36116436550</v>
      </c>
      <c r="AQ467" s="58">
        <f t="shared" si="16"/>
        <v>36116436550</v>
      </c>
      <c r="AR467" s="58">
        <f t="shared" si="17"/>
        <v>0</v>
      </c>
    </row>
    <row r="468" spans="1:44" s="47" customFormat="1" ht="10.5" customHeight="1">
      <c r="A468" s="47">
        <v>2020</v>
      </c>
      <c r="B468" s="47" t="s">
        <v>78</v>
      </c>
      <c r="C468" s="4">
        <v>44075</v>
      </c>
      <c r="D468" s="5">
        <v>4790448455</v>
      </c>
      <c r="E468" s="5">
        <v>180507204</v>
      </c>
      <c r="F468" s="5">
        <v>988204299</v>
      </c>
      <c r="G468" s="5">
        <v>5865230161</v>
      </c>
      <c r="H468" s="5">
        <v>498056338</v>
      </c>
      <c r="I468" s="5">
        <v>1330385815</v>
      </c>
      <c r="J468" s="5">
        <v>2248</v>
      </c>
      <c r="K468" s="5">
        <v>1761569496</v>
      </c>
      <c r="L468" s="5">
        <v>36310554</v>
      </c>
      <c r="M468" s="5">
        <v>38650975</v>
      </c>
      <c r="N468" s="9">
        <v>49593193</v>
      </c>
      <c r="O468" s="5">
        <v>131505126</v>
      </c>
      <c r="P468" s="5">
        <v>216368611</v>
      </c>
      <c r="Q468" s="5">
        <v>0</v>
      </c>
      <c r="R468" s="5">
        <v>17439277441</v>
      </c>
      <c r="S468" s="5">
        <v>90248029</v>
      </c>
      <c r="T468" s="5">
        <v>4470119408</v>
      </c>
      <c r="U468" s="9">
        <v>26817459</v>
      </c>
      <c r="V468" s="9">
        <v>73306948</v>
      </c>
      <c r="W468" s="5">
        <v>198110171</v>
      </c>
      <c r="X468" s="5">
        <v>74961783</v>
      </c>
      <c r="Y468" s="5">
        <v>0</v>
      </c>
      <c r="Z468" s="7">
        <v>0</v>
      </c>
      <c r="AA468" s="5">
        <v>0</v>
      </c>
      <c r="AB468" s="5">
        <v>0</v>
      </c>
      <c r="AC468" s="5">
        <v>0</v>
      </c>
      <c r="AD468" s="5">
        <v>3980</v>
      </c>
      <c r="AE468" s="5">
        <v>0</v>
      </c>
      <c r="AF468" s="5">
        <v>0</v>
      </c>
      <c r="AG468" s="5">
        <v>0</v>
      </c>
      <c r="AH468" s="5">
        <v>0</v>
      </c>
      <c r="AI468" s="9">
        <v>0</v>
      </c>
      <c r="AJ468" s="9">
        <v>0</v>
      </c>
      <c r="AK468" s="5">
        <v>0</v>
      </c>
      <c r="AL468" s="5">
        <v>0</v>
      </c>
      <c r="AM468" s="5">
        <v>0</v>
      </c>
      <c r="AN468" s="5">
        <v>329806331</v>
      </c>
      <c r="AO468" s="7">
        <v>38575699370</v>
      </c>
      <c r="AP468" s="59">
        <f>+[7]Cuenta2020!$Y$9-[7]Cuenta2020!$Y$113-[7]Cuenta2020!$Y$130-[7]Cuenta2020!$Y$143-[7]Cuenta2020!$Y$147-[7]Cuenta2020!$Y$148-[7]Cuenta2020!$Y$149-[7]Cuenta2020!$Y$151</f>
        <v>38499235996</v>
      </c>
      <c r="AQ468" s="58">
        <f t="shared" si="16"/>
        <v>38499235996</v>
      </c>
      <c r="AR468" s="58">
        <f t="shared" si="17"/>
        <v>0</v>
      </c>
    </row>
    <row r="469" spans="1:44" s="47" customFormat="1" ht="10.5" customHeight="1">
      <c r="A469" s="47">
        <v>2020</v>
      </c>
      <c r="B469" s="47" t="s">
        <v>43</v>
      </c>
      <c r="C469" s="4">
        <v>44105</v>
      </c>
      <c r="D469" s="5">
        <v>5942159852</v>
      </c>
      <c r="E469" s="5">
        <v>174805878</v>
      </c>
      <c r="F469" s="5">
        <v>1143486148</v>
      </c>
      <c r="G469" s="5">
        <v>6195143761</v>
      </c>
      <c r="H469" s="5">
        <v>648523567</v>
      </c>
      <c r="I469" s="5">
        <v>1246601243</v>
      </c>
      <c r="J469" s="5">
        <v>0</v>
      </c>
      <c r="K469" s="5">
        <v>1656116168</v>
      </c>
      <c r="L469" s="5">
        <v>180426800</v>
      </c>
      <c r="M469" s="5">
        <v>95074920</v>
      </c>
      <c r="N469" s="9">
        <v>49790778</v>
      </c>
      <c r="O469" s="5">
        <v>177045851</v>
      </c>
      <c r="P469" s="5">
        <v>255714393</v>
      </c>
      <c r="Q469" s="5">
        <v>0</v>
      </c>
      <c r="R469" s="5">
        <v>17457618944</v>
      </c>
      <c r="S469" s="5">
        <v>89068158</v>
      </c>
      <c r="T469" s="5">
        <v>3393011523</v>
      </c>
      <c r="U469" s="9">
        <v>25006651</v>
      </c>
      <c r="V469" s="9">
        <v>61319279</v>
      </c>
      <c r="W469" s="5">
        <v>93253865</v>
      </c>
      <c r="X469" s="5">
        <v>74882777</v>
      </c>
      <c r="Y469" s="5">
        <v>0</v>
      </c>
      <c r="Z469" s="7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9">
        <v>0</v>
      </c>
      <c r="AJ469" s="9">
        <v>0</v>
      </c>
      <c r="AK469" s="5">
        <v>0</v>
      </c>
      <c r="AL469" s="5">
        <v>0</v>
      </c>
      <c r="AM469" s="5">
        <v>0</v>
      </c>
      <c r="AN469" s="5">
        <v>452031293</v>
      </c>
      <c r="AO469" s="7">
        <v>39396505991</v>
      </c>
      <c r="AP469" s="59">
        <f>+[7]Cuenta2020!$Z$9-[7]Cuenta2020!$Z$113-[7]Cuenta2020!$Z$130-[7]Cuenta2020!$Z$143-[7]Cuenta2020!$Z$147-[7]Cuenta2020!$Z$148-[7]Cuenta2020!$Z$149-[7]Cuenta2020!$Z$151</f>
        <v>39322013691</v>
      </c>
      <c r="AQ469" s="58">
        <f t="shared" si="16"/>
        <v>39322013691</v>
      </c>
      <c r="AR469" s="58">
        <f t="shared" si="17"/>
        <v>0</v>
      </c>
    </row>
    <row r="470" spans="1:44" s="47" customFormat="1" ht="10.5" customHeight="1">
      <c r="A470" s="47">
        <v>2020</v>
      </c>
      <c r="B470" s="47" t="s">
        <v>44</v>
      </c>
      <c r="C470" s="4">
        <v>44136</v>
      </c>
      <c r="D470" s="5">
        <v>5202675355</v>
      </c>
      <c r="E470" s="5">
        <v>177102285</v>
      </c>
      <c r="F470" s="5">
        <v>1081415054</v>
      </c>
      <c r="G470" s="5">
        <v>5594474174</v>
      </c>
      <c r="H470" s="5">
        <v>577810444</v>
      </c>
      <c r="I470" s="5">
        <v>1275656520</v>
      </c>
      <c r="J470" s="5">
        <v>0</v>
      </c>
      <c r="K470" s="5">
        <v>1693647135</v>
      </c>
      <c r="L470" s="5">
        <v>96493534</v>
      </c>
      <c r="M470" s="5">
        <v>49971349</v>
      </c>
      <c r="N470" s="9">
        <v>49176170</v>
      </c>
      <c r="O470" s="5">
        <v>17265876</v>
      </c>
      <c r="P470" s="5">
        <v>246695845</v>
      </c>
      <c r="Q470" s="5">
        <v>0</v>
      </c>
      <c r="R470" s="5">
        <v>18605552019</v>
      </c>
      <c r="S470" s="5">
        <v>85287414</v>
      </c>
      <c r="T470" s="5">
        <v>3747592157</v>
      </c>
      <c r="U470" s="9">
        <v>26970213</v>
      </c>
      <c r="V470" s="9">
        <v>70483826</v>
      </c>
      <c r="W470" s="5">
        <v>91076661</v>
      </c>
      <c r="X470" s="5">
        <v>84359980</v>
      </c>
      <c r="Y470" s="5">
        <v>0</v>
      </c>
      <c r="Z470" s="7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9">
        <v>0</v>
      </c>
      <c r="AJ470" s="9">
        <v>0</v>
      </c>
      <c r="AK470" s="5">
        <v>0</v>
      </c>
      <c r="AL470" s="5">
        <v>0</v>
      </c>
      <c r="AM470" s="5">
        <v>0</v>
      </c>
      <c r="AN470" s="5">
        <v>281658214</v>
      </c>
      <c r="AO470" s="7">
        <v>39046188215</v>
      </c>
      <c r="AP470" s="59">
        <f>+[7]Cuenta2020!$AA$9-[7]Cuenta2020!$AA$113-[7]Cuenta2020!$AA$130-[7]Cuenta2020!$AA$143-[7]Cuenta2020!$AA$147-[7]Cuenta2020!$AA$148-[7]Cuenta2020!$AA$149-[7]Cuenta2020!$AA$151</f>
        <v>38970076811</v>
      </c>
      <c r="AQ470" s="58">
        <f t="shared" si="16"/>
        <v>38970076811</v>
      </c>
      <c r="AR470" s="58">
        <f t="shared" si="17"/>
        <v>0</v>
      </c>
    </row>
    <row r="471" spans="1:44" s="78" customFormat="1" ht="10.5" customHeight="1">
      <c r="A471" s="78">
        <v>2020</v>
      </c>
      <c r="B471" s="78" t="s">
        <v>45</v>
      </c>
      <c r="C471" s="79">
        <v>44166</v>
      </c>
      <c r="D471" s="80">
        <v>4797395803</v>
      </c>
      <c r="E471" s="80">
        <v>235520179</v>
      </c>
      <c r="F471" s="80">
        <v>1271632028</v>
      </c>
      <c r="G471" s="80">
        <v>6220966292</v>
      </c>
      <c r="H471" s="80">
        <v>530472349</v>
      </c>
      <c r="I471" s="80">
        <v>1385553936</v>
      </c>
      <c r="J471" s="80">
        <v>2457</v>
      </c>
      <c r="K471" s="80">
        <v>1617680632</v>
      </c>
      <c r="L471" s="80">
        <v>60346461</v>
      </c>
      <c r="M471" s="80">
        <v>73888125</v>
      </c>
      <c r="N471" s="81">
        <v>49911200</v>
      </c>
      <c r="O471" s="80">
        <v>298680823</v>
      </c>
      <c r="P471" s="80">
        <v>337651087</v>
      </c>
      <c r="Q471" s="80">
        <v>0</v>
      </c>
      <c r="R471" s="80">
        <v>17941319074</v>
      </c>
      <c r="S471" s="80">
        <v>84327008</v>
      </c>
      <c r="T471" s="80">
        <v>4739193592</v>
      </c>
      <c r="U471" s="81">
        <v>43276296</v>
      </c>
      <c r="V471" s="81">
        <v>98244367</v>
      </c>
      <c r="W471" s="80">
        <v>92901538</v>
      </c>
      <c r="X471" s="80">
        <v>105264526</v>
      </c>
      <c r="Y471" s="80">
        <v>0</v>
      </c>
      <c r="Z471" s="82">
        <v>0</v>
      </c>
      <c r="AA471" s="80">
        <v>0</v>
      </c>
      <c r="AB471" s="80">
        <v>0</v>
      </c>
      <c r="AC471" s="80">
        <v>0</v>
      </c>
      <c r="AD471" s="80">
        <v>0</v>
      </c>
      <c r="AE471" s="80">
        <v>0</v>
      </c>
      <c r="AF471" s="80">
        <v>0</v>
      </c>
      <c r="AG471" s="80">
        <v>0</v>
      </c>
      <c r="AH471" s="80">
        <v>0</v>
      </c>
      <c r="AI471" s="81">
        <v>0</v>
      </c>
      <c r="AJ471" s="81">
        <v>0</v>
      </c>
      <c r="AK471" s="80">
        <v>0</v>
      </c>
      <c r="AL471" s="80">
        <v>0</v>
      </c>
      <c r="AM471" s="80">
        <v>0</v>
      </c>
      <c r="AN471" s="80">
        <v>56578392</v>
      </c>
      <c r="AO471" s="82">
        <v>40038070956</v>
      </c>
      <c r="AP471" s="83">
        <f>+[7]Cuenta2020!$AB$9-[7]Cuenta2020!$AB$113-[7]Cuenta2020!$AB$130-[7]Cuenta2020!$AB$143-[7]Cuenta2020!$AB$147-[7]Cuenta2020!$AB$148-[7]Cuenta2020!$AB$149-[7]Cuenta2020!$AB$151</f>
        <v>39956479157</v>
      </c>
      <c r="AQ471" s="84">
        <f t="shared" si="16"/>
        <v>39956479157</v>
      </c>
      <c r="AR471" s="84">
        <f t="shared" si="17"/>
        <v>0</v>
      </c>
    </row>
    <row r="472" spans="1:44" s="47" customFormat="1" ht="10.5" customHeight="1">
      <c r="A472" s="47">
        <v>2021</v>
      </c>
      <c r="B472" s="47" t="s">
        <v>34</v>
      </c>
      <c r="C472" s="4">
        <v>44197</v>
      </c>
      <c r="D472" s="5">
        <v>5101680261</v>
      </c>
      <c r="E472" s="5">
        <v>183268540</v>
      </c>
      <c r="F472" s="5">
        <v>1064151377</v>
      </c>
      <c r="G472" s="5">
        <v>7034952698</v>
      </c>
      <c r="H472" s="5">
        <v>1244926583</v>
      </c>
      <c r="I472" s="5">
        <v>993754693</v>
      </c>
      <c r="J472" s="5">
        <v>0</v>
      </c>
      <c r="K472" s="5">
        <v>1530430140</v>
      </c>
      <c r="L472" s="5">
        <v>52927682</v>
      </c>
      <c r="M472" s="5">
        <v>41463492</v>
      </c>
      <c r="N472" s="9">
        <v>48317818</v>
      </c>
      <c r="O472" s="5">
        <v>4714652</v>
      </c>
      <c r="P472" s="5">
        <v>155812373</v>
      </c>
      <c r="Q472" s="5">
        <v>0</v>
      </c>
      <c r="R472" s="5">
        <v>19701955437</v>
      </c>
      <c r="S472" s="5">
        <v>82372409</v>
      </c>
      <c r="T472" s="5">
        <v>3913585536</v>
      </c>
      <c r="U472" s="9">
        <v>25622241</v>
      </c>
      <c r="V472" s="9">
        <v>64873360</v>
      </c>
      <c r="W472" s="5">
        <v>139215180</v>
      </c>
      <c r="X472" s="5">
        <v>96814037</v>
      </c>
      <c r="Y472" s="5">
        <v>0</v>
      </c>
      <c r="Z472" s="7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9">
        <v>0</v>
      </c>
      <c r="AJ472" s="9">
        <v>0</v>
      </c>
      <c r="AK472" s="5">
        <v>0</v>
      </c>
      <c r="AL472" s="5">
        <v>0</v>
      </c>
      <c r="AM472" s="5">
        <v>0</v>
      </c>
      <c r="AN472" s="5">
        <v>191370175</v>
      </c>
      <c r="AO472" s="7">
        <v>41650162150</v>
      </c>
      <c r="AP472" s="59">
        <f>+[8]Cuenta2021!$Q$9-[8]Cuenta2021!$Q$113-[8]Cuenta2021!$Q$130-[8]Cuenta2021!$Q$143-[8]Cuenta2021!$Q$147-[8]Cuenta2021!$Q$148-[8]Cuenta2021!$Q$149-[8]Cuenta2021!$Q$151</f>
        <v>41589836275</v>
      </c>
      <c r="AQ472" s="58">
        <f t="shared" si="16"/>
        <v>41589836275</v>
      </c>
      <c r="AR472" s="58">
        <f t="shared" si="17"/>
        <v>0</v>
      </c>
    </row>
    <row r="473" spans="1:44" s="47" customFormat="1" ht="10.5" customHeight="1">
      <c r="A473" s="47">
        <v>2021</v>
      </c>
      <c r="B473" s="47" t="s">
        <v>35</v>
      </c>
      <c r="C473" s="4">
        <v>44228</v>
      </c>
      <c r="D473" s="5">
        <v>4422057643</v>
      </c>
      <c r="E473" s="5">
        <v>193458979</v>
      </c>
      <c r="F473" s="5">
        <v>767789510</v>
      </c>
      <c r="G473" s="5">
        <v>4418519421</v>
      </c>
      <c r="H473" s="5">
        <v>552087290</v>
      </c>
      <c r="I473" s="5">
        <v>1072561346</v>
      </c>
      <c r="J473" s="5">
        <v>0</v>
      </c>
      <c r="K473" s="5">
        <v>1580562814</v>
      </c>
      <c r="L473" s="5">
        <v>70600938</v>
      </c>
      <c r="M473" s="5">
        <v>36635297</v>
      </c>
      <c r="N473" s="9">
        <v>37398676</v>
      </c>
      <c r="O473" s="5">
        <v>3715923</v>
      </c>
      <c r="P473" s="5">
        <v>158878217</v>
      </c>
      <c r="Q473" s="5">
        <v>0</v>
      </c>
      <c r="R473" s="5">
        <v>16166939496</v>
      </c>
      <c r="S473" s="5">
        <v>91682221</v>
      </c>
      <c r="T473" s="5">
        <v>3573386905</v>
      </c>
      <c r="U473" s="9">
        <v>25778738</v>
      </c>
      <c r="V473" s="9">
        <v>65914891</v>
      </c>
      <c r="W473" s="5">
        <v>98539346</v>
      </c>
      <c r="X473" s="5">
        <v>69354437</v>
      </c>
      <c r="Y473" s="5">
        <v>0</v>
      </c>
      <c r="Z473" s="7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9">
        <v>0</v>
      </c>
      <c r="AJ473" s="9">
        <v>0</v>
      </c>
      <c r="AK473" s="5">
        <v>0</v>
      </c>
      <c r="AL473" s="5">
        <v>0</v>
      </c>
      <c r="AM473" s="5">
        <v>0</v>
      </c>
      <c r="AN473" s="5">
        <v>131706723</v>
      </c>
      <c r="AO473" s="7">
        <v>33494980790</v>
      </c>
      <c r="AP473" s="59">
        <f>+[8]Cuenta2021!$R$9-[8]Cuenta2021!$R$113-[8]Cuenta2021!$R$130-[8]Cuenta2021!$R$143-[8]Cuenta2021!$R$147-[8]Cuenta2021!$R$148-[8]Cuenta2021!$R$149-[8]Cuenta2021!$R$151</f>
        <v>33445886590</v>
      </c>
      <c r="AQ473" s="58">
        <f t="shared" ref="AQ473:AQ483" si="18">+SUM(D473:AN473)-S473</f>
        <v>33445886590</v>
      </c>
      <c r="AR473" s="58">
        <f t="shared" ref="AR473:AR483" si="19">+AQ473-AP473</f>
        <v>0</v>
      </c>
    </row>
    <row r="474" spans="1:44" s="47" customFormat="1" ht="10.5" customHeight="1">
      <c r="A474" s="47">
        <v>2021</v>
      </c>
      <c r="B474" s="47" t="s">
        <v>36</v>
      </c>
      <c r="C474" s="4">
        <v>44256</v>
      </c>
      <c r="D474" s="5">
        <v>6184009574</v>
      </c>
      <c r="E474" s="5">
        <v>175199297</v>
      </c>
      <c r="F474" s="5">
        <v>1096284388</v>
      </c>
      <c r="G474" s="5">
        <v>7625957777</v>
      </c>
      <c r="H474" s="5">
        <v>482916711</v>
      </c>
      <c r="I474" s="5">
        <v>1072724975</v>
      </c>
      <c r="J474" s="5">
        <v>0</v>
      </c>
      <c r="K474" s="5">
        <v>1890494206</v>
      </c>
      <c r="L474" s="5">
        <v>68712717</v>
      </c>
      <c r="M474" s="5">
        <v>51835645</v>
      </c>
      <c r="N474" s="9">
        <v>76001131</v>
      </c>
      <c r="O474" s="5">
        <v>2859078</v>
      </c>
      <c r="P474" s="5">
        <v>212832902</v>
      </c>
      <c r="Q474" s="5">
        <v>0</v>
      </c>
      <c r="R474" s="5">
        <v>20167418111</v>
      </c>
      <c r="S474" s="5">
        <v>98222934</v>
      </c>
      <c r="T474" s="5">
        <v>3896683475</v>
      </c>
      <c r="U474" s="9">
        <v>20906957</v>
      </c>
      <c r="V474" s="9">
        <v>56933033</v>
      </c>
      <c r="W474" s="5">
        <v>113335762</v>
      </c>
      <c r="X474" s="5">
        <v>96203103</v>
      </c>
      <c r="Y474" s="5">
        <v>0</v>
      </c>
      <c r="Z474" s="7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9">
        <v>0</v>
      </c>
      <c r="AJ474" s="9">
        <v>0</v>
      </c>
      <c r="AK474" s="5">
        <v>0</v>
      </c>
      <c r="AL474" s="5">
        <v>0</v>
      </c>
      <c r="AM474" s="5">
        <v>0</v>
      </c>
      <c r="AN474" s="5">
        <v>165166093</v>
      </c>
      <c r="AO474" s="7">
        <v>43556526952</v>
      </c>
      <c r="AP474" s="59">
        <f>+[8]Cuenta2021!$S$9-[8]Cuenta2021!$S$113-[8]Cuenta2021!$S$130-[8]Cuenta2021!$S$143-[8]Cuenta2021!$S$147-[8]Cuenta2021!$S$148-[8]Cuenta2021!$S$149-[8]Cuenta2021!$S$151</f>
        <v>43456474935</v>
      </c>
      <c r="AQ474" s="58">
        <f t="shared" si="18"/>
        <v>43456474935</v>
      </c>
      <c r="AR474" s="58">
        <f t="shared" si="19"/>
        <v>0</v>
      </c>
    </row>
    <row r="475" spans="1:44" s="47" customFormat="1" ht="10.5" customHeight="1">
      <c r="A475" s="47">
        <v>2021</v>
      </c>
      <c r="B475" s="47" t="s">
        <v>37</v>
      </c>
      <c r="C475" s="4">
        <v>44287</v>
      </c>
      <c r="D475" s="5">
        <v>8969935448</v>
      </c>
      <c r="E475" s="5">
        <v>250058631</v>
      </c>
      <c r="F475" s="5">
        <v>989781899</v>
      </c>
      <c r="G475" s="5">
        <v>6531199224</v>
      </c>
      <c r="H475" s="5">
        <v>690146857</v>
      </c>
      <c r="I475" s="5">
        <v>1093156959</v>
      </c>
      <c r="J475" s="5">
        <v>0</v>
      </c>
      <c r="K475" s="5">
        <v>1595126148</v>
      </c>
      <c r="L475" s="5">
        <v>53509158</v>
      </c>
      <c r="M475" s="5">
        <v>40225492</v>
      </c>
      <c r="N475" s="9">
        <v>48217786</v>
      </c>
      <c r="O475" s="5">
        <v>1978494</v>
      </c>
      <c r="P475" s="5">
        <v>144319397</v>
      </c>
      <c r="Q475" s="5">
        <v>0</v>
      </c>
      <c r="R475" s="5">
        <v>18633741483</v>
      </c>
      <c r="S475" s="5">
        <v>90771030</v>
      </c>
      <c r="T475" s="5">
        <v>3499402059</v>
      </c>
      <c r="U475" s="9">
        <v>26177584</v>
      </c>
      <c r="V475" s="9">
        <v>75305211</v>
      </c>
      <c r="W475" s="5">
        <v>123541240</v>
      </c>
      <c r="X475" s="5">
        <v>101565974</v>
      </c>
      <c r="Y475" s="5">
        <v>0</v>
      </c>
      <c r="Z475" s="7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9">
        <v>0</v>
      </c>
      <c r="AJ475" s="9">
        <v>0</v>
      </c>
      <c r="AK475" s="5">
        <v>0</v>
      </c>
      <c r="AL475" s="5">
        <v>0</v>
      </c>
      <c r="AM475" s="5">
        <v>0</v>
      </c>
      <c r="AN475" s="5">
        <v>156969326</v>
      </c>
      <c r="AO475" s="7">
        <v>43079303962</v>
      </c>
      <c r="AP475" s="59">
        <f>+[8]Cuenta2021!$T$9-[8]Cuenta2021!$T$113-[8]Cuenta2021!$T$130-[8]Cuenta2021!$T$143-[8]Cuenta2021!$T$147-[8]Cuenta2021!$T$148-[8]Cuenta2021!$T$149-[8]Cuenta2021!$T$151</f>
        <v>43024358370</v>
      </c>
      <c r="AQ475" s="58">
        <f t="shared" si="18"/>
        <v>43024358370</v>
      </c>
      <c r="AR475" s="58">
        <f t="shared" si="19"/>
        <v>0</v>
      </c>
    </row>
    <row r="476" spans="1:44" s="47" customFormat="1" ht="10.5" customHeight="1">
      <c r="A476" s="47">
        <v>2021</v>
      </c>
      <c r="B476" s="47" t="s">
        <v>38</v>
      </c>
      <c r="C476" s="4">
        <v>44317</v>
      </c>
      <c r="D476" s="5">
        <v>5388875332</v>
      </c>
      <c r="E476" s="5">
        <v>206270734</v>
      </c>
      <c r="F476" s="5">
        <v>940890800</v>
      </c>
      <c r="G476" s="5">
        <v>6280919161</v>
      </c>
      <c r="H476" s="5">
        <v>573926070</v>
      </c>
      <c r="I476" s="5">
        <v>1063255386</v>
      </c>
      <c r="J476" s="5">
        <v>0</v>
      </c>
      <c r="K476" s="5">
        <v>2224374073</v>
      </c>
      <c r="L476" s="5">
        <v>206434599</v>
      </c>
      <c r="M476" s="5">
        <v>52625481</v>
      </c>
      <c r="N476" s="9">
        <v>55644779</v>
      </c>
      <c r="O476" s="5">
        <v>-14853665</v>
      </c>
      <c r="P476" s="5">
        <v>189168049</v>
      </c>
      <c r="Q476" s="5">
        <v>0</v>
      </c>
      <c r="R476" s="5">
        <v>19055001175</v>
      </c>
      <c r="S476" s="5">
        <v>90095031</v>
      </c>
      <c r="T476" s="5">
        <v>4060764229</v>
      </c>
      <c r="U476" s="9">
        <v>27901230</v>
      </c>
      <c r="V476" s="9">
        <v>73424355</v>
      </c>
      <c r="W476" s="5">
        <v>101353246</v>
      </c>
      <c r="X476" s="5">
        <v>95167112</v>
      </c>
      <c r="Y476" s="5">
        <v>0</v>
      </c>
      <c r="Z476" s="7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9">
        <v>0</v>
      </c>
      <c r="AJ476" s="9">
        <v>0</v>
      </c>
      <c r="AK476" s="5">
        <v>0</v>
      </c>
      <c r="AL476" s="5">
        <v>0</v>
      </c>
      <c r="AM476" s="5">
        <v>0</v>
      </c>
      <c r="AN476" s="5">
        <v>868030237</v>
      </c>
      <c r="AO476" s="7">
        <v>41508815481</v>
      </c>
      <c r="AP476" s="59">
        <f>+[8]Cuenta2021!$U$9-[8]Cuenta2021!$U$113-[8]Cuenta2021!$U$130-[8]Cuenta2021!$U$143-[8]Cuenta2021!$U$147-[8]Cuenta2021!$U$148-[8]Cuenta2021!$U$149-[8]Cuenta2021!$U$151</f>
        <v>41449172383</v>
      </c>
      <c r="AQ476" s="58">
        <f t="shared" si="18"/>
        <v>41449172383</v>
      </c>
      <c r="AR476" s="58">
        <f t="shared" si="19"/>
        <v>0</v>
      </c>
    </row>
    <row r="477" spans="1:44" s="47" customFormat="1" ht="10.5" customHeight="1">
      <c r="A477" s="47">
        <v>2021</v>
      </c>
      <c r="B477" s="47" t="s">
        <v>39</v>
      </c>
      <c r="C477" s="4">
        <v>44348</v>
      </c>
      <c r="D477" s="5">
        <v>5482122690</v>
      </c>
      <c r="E477" s="5">
        <v>250699096</v>
      </c>
      <c r="F477" s="5">
        <v>997905043</v>
      </c>
      <c r="G477" s="5">
        <v>5153421392</v>
      </c>
      <c r="H477" s="5">
        <v>493054323</v>
      </c>
      <c r="I477" s="5">
        <v>1271584704</v>
      </c>
      <c r="J477" s="5">
        <v>0</v>
      </c>
      <c r="K477" s="5">
        <v>1917575872</v>
      </c>
      <c r="L477" s="5">
        <v>66813348</v>
      </c>
      <c r="M477" s="5">
        <v>41081329</v>
      </c>
      <c r="N477" s="9">
        <v>52189511</v>
      </c>
      <c r="O477" s="5">
        <v>1284366</v>
      </c>
      <c r="P477" s="5">
        <v>265468546</v>
      </c>
      <c r="Q477" s="5">
        <v>0</v>
      </c>
      <c r="R477" s="5">
        <v>18370094799</v>
      </c>
      <c r="S477" s="5">
        <v>91634807</v>
      </c>
      <c r="T477" s="5">
        <v>3770629661</v>
      </c>
      <c r="U477" s="9">
        <v>41277638</v>
      </c>
      <c r="V477" s="9">
        <v>101034207</v>
      </c>
      <c r="W477" s="5">
        <v>107343964</v>
      </c>
      <c r="X477" s="5">
        <v>107693260</v>
      </c>
      <c r="Y477" s="5">
        <v>0</v>
      </c>
      <c r="Z477" s="7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9">
        <v>0</v>
      </c>
      <c r="AJ477" s="9">
        <v>0</v>
      </c>
      <c r="AK477" s="5">
        <v>0</v>
      </c>
      <c r="AL477" s="5">
        <v>0</v>
      </c>
      <c r="AM477" s="5">
        <v>0</v>
      </c>
      <c r="AN477" s="5">
        <v>556039071</v>
      </c>
      <c r="AO477" s="7">
        <v>39117028624</v>
      </c>
      <c r="AP477" s="59">
        <f>+[8]Cuenta2021!$V$9-[8]Cuenta2021!$V$113-[8]Cuenta2021!$V$130-[8]Cuenta2021!$V$143-[8]Cuenta2021!$V$147-[8]Cuenta2021!$V$148-[8]Cuenta2021!$V$149-[8]Cuenta2021!$V$151</f>
        <v>39047312820</v>
      </c>
      <c r="AQ477" s="58">
        <f t="shared" si="18"/>
        <v>39047312820</v>
      </c>
      <c r="AR477" s="58">
        <f t="shared" si="19"/>
        <v>0</v>
      </c>
    </row>
    <row r="478" spans="1:44" s="47" customFormat="1" ht="10.5" customHeight="1">
      <c r="A478" s="47">
        <v>2021</v>
      </c>
      <c r="B478" s="47" t="s">
        <v>40</v>
      </c>
      <c r="C478" s="4">
        <v>44378</v>
      </c>
      <c r="D478" s="5">
        <v>5438280639</v>
      </c>
      <c r="E478" s="5">
        <v>293096467</v>
      </c>
      <c r="F478" s="5">
        <v>1330273022</v>
      </c>
      <c r="G478" s="5">
        <v>5901342673</v>
      </c>
      <c r="H478" s="5">
        <v>741297597</v>
      </c>
      <c r="I478" s="5">
        <v>1374842728</v>
      </c>
      <c r="J478" s="5">
        <v>14638</v>
      </c>
      <c r="K478" s="5">
        <v>1910240645</v>
      </c>
      <c r="L478" s="5">
        <v>47130146</v>
      </c>
      <c r="M478" s="5">
        <v>40768524</v>
      </c>
      <c r="N478" s="9">
        <v>53126435</v>
      </c>
      <c r="O478" s="5">
        <v>4709898</v>
      </c>
      <c r="P478" s="5">
        <v>279960054</v>
      </c>
      <c r="Q478" s="5">
        <v>0</v>
      </c>
      <c r="R478" s="5">
        <v>21052010044</v>
      </c>
      <c r="S478" s="5">
        <v>91717404</v>
      </c>
      <c r="T478" s="5">
        <v>3120788490</v>
      </c>
      <c r="U478" s="9">
        <v>53746776</v>
      </c>
      <c r="V478" s="9">
        <v>119132792</v>
      </c>
      <c r="W478" s="5">
        <v>107367132</v>
      </c>
      <c r="X478" s="5">
        <v>117704850</v>
      </c>
      <c r="Y478" s="5">
        <v>0</v>
      </c>
      <c r="Z478" s="7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9">
        <v>0</v>
      </c>
      <c r="AJ478" s="9">
        <v>0</v>
      </c>
      <c r="AK478" s="5">
        <v>0</v>
      </c>
      <c r="AL478" s="5">
        <v>0</v>
      </c>
      <c r="AM478" s="5">
        <v>0</v>
      </c>
      <c r="AN478" s="5">
        <v>94672237</v>
      </c>
      <c r="AO478" s="7">
        <v>42156066489</v>
      </c>
      <c r="AP478" s="59">
        <f>+[8]Cuenta2021!$W$9-[8]Cuenta2021!$W$113-[8]Cuenta2021!$W$130-[8]Cuenta2021!$W$143-[8]Cuenta2021!$W$147-[8]Cuenta2021!$W$148-[8]Cuenta2021!$W$149-[8]Cuenta2021!$W$151</f>
        <v>42080505787</v>
      </c>
      <c r="AQ478" s="58">
        <f t="shared" si="18"/>
        <v>42080505787</v>
      </c>
      <c r="AR478" s="58">
        <f t="shared" si="19"/>
        <v>0</v>
      </c>
    </row>
    <row r="479" spans="1:44" s="47" customFormat="1" ht="10.5" customHeight="1">
      <c r="A479" s="47">
        <v>2021</v>
      </c>
      <c r="B479" s="47" t="s">
        <v>41</v>
      </c>
      <c r="C479" s="4">
        <v>44409</v>
      </c>
      <c r="D479" s="5">
        <v>5926277706</v>
      </c>
      <c r="E479" s="5">
        <v>289714559</v>
      </c>
      <c r="F479" s="5">
        <v>1288255936</v>
      </c>
      <c r="G479" s="5">
        <v>5619890769</v>
      </c>
      <c r="H479" s="5">
        <v>443720551</v>
      </c>
      <c r="I479" s="5">
        <v>1554292739</v>
      </c>
      <c r="J479" s="5">
        <v>0</v>
      </c>
      <c r="K479" s="5">
        <v>1884391396</v>
      </c>
      <c r="L479" s="5">
        <v>86395318</v>
      </c>
      <c r="M479" s="5">
        <v>47921460</v>
      </c>
      <c r="N479" s="9">
        <v>53387247</v>
      </c>
      <c r="O479" s="5">
        <v>14999860</v>
      </c>
      <c r="P479" s="5">
        <v>255450873</v>
      </c>
      <c r="Q479" s="5">
        <v>0</v>
      </c>
      <c r="R479" s="5">
        <v>19282057846</v>
      </c>
      <c r="S479" s="5">
        <v>91427347</v>
      </c>
      <c r="T479" s="5">
        <v>3843434472</v>
      </c>
      <c r="U479" s="9">
        <v>50065007</v>
      </c>
      <c r="V479" s="9">
        <v>113915080</v>
      </c>
      <c r="W479" s="5">
        <v>105451231</v>
      </c>
      <c r="X479" s="5">
        <v>120581224</v>
      </c>
      <c r="Y479" s="5">
        <v>0</v>
      </c>
      <c r="Z479" s="7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9">
        <v>0</v>
      </c>
      <c r="AJ479" s="9">
        <v>0</v>
      </c>
      <c r="AK479" s="5">
        <v>0</v>
      </c>
      <c r="AL479" s="5">
        <v>0</v>
      </c>
      <c r="AM479" s="5">
        <v>0</v>
      </c>
      <c r="AN479" s="5">
        <v>476111716</v>
      </c>
      <c r="AO479" s="7">
        <v>41530785741</v>
      </c>
      <c r="AP479" s="59">
        <f>+[8]Cuenta2021!$X$9-[8]Cuenta2021!$X$113-[8]Cuenta2021!$X$130-[8]Cuenta2021!$X$143-[8]Cuenta2021!$X$147-[8]Cuenta2021!$X$148-[8]Cuenta2021!$X$149-[8]Cuenta2021!$X$151</f>
        <v>41456314990</v>
      </c>
      <c r="AQ479" s="58">
        <f t="shared" si="18"/>
        <v>41456314990</v>
      </c>
      <c r="AR479" s="58">
        <f>+AQ479-AP479</f>
        <v>0</v>
      </c>
    </row>
    <row r="480" spans="1:44" s="47" customFormat="1" ht="10.5" customHeight="1">
      <c r="A480" s="47">
        <v>2021</v>
      </c>
      <c r="B480" s="47" t="s">
        <v>78</v>
      </c>
      <c r="C480" s="4">
        <v>44440</v>
      </c>
      <c r="D480" s="5">
        <v>5544284606</v>
      </c>
      <c r="E480" s="5">
        <v>322630395</v>
      </c>
      <c r="F480" s="5">
        <v>1184934469</v>
      </c>
      <c r="G480" s="5">
        <v>6516821853</v>
      </c>
      <c r="H480" s="5">
        <v>477505457</v>
      </c>
      <c r="I480" s="5">
        <v>1446501913</v>
      </c>
      <c r="J480" s="5">
        <v>0</v>
      </c>
      <c r="K480" s="5">
        <v>1756430116</v>
      </c>
      <c r="L480" s="5">
        <v>51836081</v>
      </c>
      <c r="M480" s="5">
        <v>53829220</v>
      </c>
      <c r="N480" s="9">
        <v>55216389</v>
      </c>
      <c r="O480" s="5">
        <v>112680179</v>
      </c>
      <c r="P480" s="5">
        <v>254225107</v>
      </c>
      <c r="Q480" s="5">
        <v>0</v>
      </c>
      <c r="R480" s="5">
        <v>20891244529</v>
      </c>
      <c r="S480" s="5">
        <v>92501151</v>
      </c>
      <c r="T480" s="5">
        <v>4588469424</v>
      </c>
      <c r="U480" s="9">
        <v>37928501</v>
      </c>
      <c r="V480" s="9">
        <v>97756821</v>
      </c>
      <c r="W480" s="5">
        <v>106219313</v>
      </c>
      <c r="X480" s="5">
        <v>129920752</v>
      </c>
      <c r="Y480" s="5">
        <v>0</v>
      </c>
      <c r="Z480" s="7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9">
        <v>0</v>
      </c>
      <c r="AJ480" s="9">
        <v>0</v>
      </c>
      <c r="AK480" s="5">
        <v>0</v>
      </c>
      <c r="AL480" s="5">
        <v>0</v>
      </c>
      <c r="AM480" s="5">
        <v>0</v>
      </c>
      <c r="AN480" s="5">
        <v>347486922</v>
      </c>
      <c r="AO480" s="7">
        <v>44052649683</v>
      </c>
      <c r="AP480" s="59">
        <f>+[9]Cuenta2021!$Y$9-[9]Cuenta2021!$Y$113-[9]Cuenta2021!$Y$130-[9]Cuenta2021!$Y$143-[9]Cuenta2021!$Y$147-[9]Cuenta2021!$Y$148-[9]Cuenta2021!$Y$149-[9]Cuenta2021!$Y$151</f>
        <v>43975922047</v>
      </c>
      <c r="AQ480" s="58">
        <f t="shared" si="18"/>
        <v>43975922047</v>
      </c>
      <c r="AR480" s="58">
        <f t="shared" si="19"/>
        <v>0</v>
      </c>
    </row>
    <row r="481" spans="1:44" s="47" customFormat="1" ht="10.5" customHeight="1">
      <c r="A481" s="47">
        <v>2021</v>
      </c>
      <c r="B481" s="47" t="s">
        <v>43</v>
      </c>
      <c r="C481" s="4">
        <v>44470</v>
      </c>
      <c r="D481" s="5">
        <v>7090163049</v>
      </c>
      <c r="E481" s="5">
        <v>261076264</v>
      </c>
      <c r="F481" s="5">
        <v>1217379657</v>
      </c>
      <c r="G481" s="5">
        <v>6210225037</v>
      </c>
      <c r="H481" s="5">
        <v>1147933043</v>
      </c>
      <c r="I481" s="5">
        <v>1362982328</v>
      </c>
      <c r="J481" s="5">
        <v>0</v>
      </c>
      <c r="K481" s="5">
        <v>1813547509</v>
      </c>
      <c r="L481" s="5">
        <v>116718884</v>
      </c>
      <c r="M481" s="5">
        <v>49561336</v>
      </c>
      <c r="N481" s="9">
        <v>50643456</v>
      </c>
      <c r="O481" s="5">
        <v>163279924</v>
      </c>
      <c r="P481" s="5">
        <v>267648784</v>
      </c>
      <c r="Q481" s="5">
        <v>0</v>
      </c>
      <c r="R481" s="5">
        <v>21660183473</v>
      </c>
      <c r="S481" s="5">
        <v>91422190</v>
      </c>
      <c r="T481" s="5">
        <v>3512468476</v>
      </c>
      <c r="U481" s="9">
        <v>44801294</v>
      </c>
      <c r="V481" s="9">
        <v>120428078</v>
      </c>
      <c r="W481" s="5">
        <v>101072400</v>
      </c>
      <c r="X481" s="5">
        <v>132718460</v>
      </c>
      <c r="Y481" s="5">
        <v>0</v>
      </c>
      <c r="Z481" s="7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9">
        <v>0</v>
      </c>
      <c r="AJ481" s="9">
        <v>0</v>
      </c>
      <c r="AK481" s="5">
        <v>0</v>
      </c>
      <c r="AL481" s="5">
        <v>0</v>
      </c>
      <c r="AM481" s="5">
        <v>0</v>
      </c>
      <c r="AN481" s="5">
        <v>473916445</v>
      </c>
      <c r="AO481" s="7">
        <v>45906891203</v>
      </c>
      <c r="AP481" s="59">
        <f>+[9]Cuenta2021!$Z$9-[9]Cuenta2021!$Z$113-[9]Cuenta2021!$Z$130-[9]Cuenta2021!$Z$143-[9]Cuenta2021!$Z$147-[9]Cuenta2021!$Z$148-[9]Cuenta2021!$Z$149-[9]Cuenta2021!$Z$151</f>
        <v>45796747897</v>
      </c>
      <c r="AQ481" s="58">
        <f t="shared" si="18"/>
        <v>45796747897</v>
      </c>
      <c r="AR481" s="58">
        <f t="shared" si="19"/>
        <v>0</v>
      </c>
    </row>
    <row r="482" spans="1:44" s="47" customFormat="1" ht="10.5" customHeight="1">
      <c r="A482" s="47">
        <v>2021</v>
      </c>
      <c r="B482" s="47" t="s">
        <v>44</v>
      </c>
      <c r="C482" s="4">
        <v>44501</v>
      </c>
      <c r="D482" s="5">
        <v>6199888160</v>
      </c>
      <c r="E482" s="5">
        <v>318547897</v>
      </c>
      <c r="F482" s="5">
        <v>1437943841</v>
      </c>
      <c r="G482" s="5">
        <v>6500838073</v>
      </c>
      <c r="H482" s="5">
        <v>779774547</v>
      </c>
      <c r="I482" s="5">
        <v>1523836067</v>
      </c>
      <c r="J482" s="5">
        <v>2744</v>
      </c>
      <c r="K482" s="5">
        <v>1974799407</v>
      </c>
      <c r="L482" s="5">
        <v>94887265</v>
      </c>
      <c r="M482" s="5">
        <v>41719002</v>
      </c>
      <c r="N482" s="9">
        <v>52411446</v>
      </c>
      <c r="O482" s="5">
        <v>13783393</v>
      </c>
      <c r="P482" s="5">
        <v>300601299</v>
      </c>
      <c r="Q482" s="5">
        <v>0</v>
      </c>
      <c r="R482" s="5">
        <v>21953713547</v>
      </c>
      <c r="S482" s="5">
        <v>93342867</v>
      </c>
      <c r="T482" s="5">
        <v>4785177367</v>
      </c>
      <c r="U482" s="9">
        <v>31400839</v>
      </c>
      <c r="V482" s="9">
        <v>85406674</v>
      </c>
      <c r="W482" s="5">
        <v>116796441</v>
      </c>
      <c r="X482" s="5">
        <v>156643206</v>
      </c>
      <c r="Y482" s="5">
        <v>0</v>
      </c>
      <c r="Z482" s="7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9">
        <v>0</v>
      </c>
      <c r="AJ482" s="9">
        <v>0</v>
      </c>
      <c r="AK482" s="5">
        <v>0</v>
      </c>
      <c r="AL482" s="5">
        <v>0</v>
      </c>
      <c r="AM482" s="5">
        <v>0</v>
      </c>
      <c r="AN482" s="5">
        <v>298976517</v>
      </c>
      <c r="AO482" s="7">
        <v>46777499638</v>
      </c>
      <c r="AP482" s="59">
        <f>+[9]Cuenta2021!$AA$9-[9]Cuenta2021!$AA$113-[9]Cuenta2021!$AA$130-[9]Cuenta2021!$AA$143-[9]Cuenta2021!$AA$147-[9]Cuenta2021!$AA$148-[9]Cuenta2021!$AA$149-[9]Cuenta2021!$AA$151</f>
        <v>46667147732</v>
      </c>
      <c r="AQ482" s="58">
        <f t="shared" si="18"/>
        <v>46667147732</v>
      </c>
      <c r="AR482" s="58">
        <f t="shared" si="19"/>
        <v>0</v>
      </c>
    </row>
    <row r="483" spans="1:44" s="78" customFormat="1" ht="10.5" customHeight="1">
      <c r="A483" s="78">
        <v>2021</v>
      </c>
      <c r="B483" s="78" t="s">
        <v>45</v>
      </c>
      <c r="C483" s="79">
        <v>44531</v>
      </c>
      <c r="D483" s="80">
        <v>5752785049</v>
      </c>
      <c r="E483" s="80">
        <v>296654828</v>
      </c>
      <c r="F483" s="80">
        <v>1599025554</v>
      </c>
      <c r="G483" s="80">
        <v>6414419663</v>
      </c>
      <c r="H483" s="80">
        <v>844841738</v>
      </c>
      <c r="I483" s="80">
        <v>1525471610</v>
      </c>
      <c r="J483" s="80">
        <v>0</v>
      </c>
      <c r="K483" s="80">
        <v>1700349557</v>
      </c>
      <c r="L483" s="80">
        <v>51745385</v>
      </c>
      <c r="M483" s="80">
        <v>64646948</v>
      </c>
      <c r="N483" s="81">
        <v>185421088</v>
      </c>
      <c r="O483" s="80">
        <v>269940114</v>
      </c>
      <c r="P483" s="80">
        <v>381218598</v>
      </c>
      <c r="Q483" s="80">
        <v>0</v>
      </c>
      <c r="R483" s="80">
        <v>23054497408</v>
      </c>
      <c r="S483" s="80">
        <v>94046799</v>
      </c>
      <c r="T483" s="80">
        <v>4532939211</v>
      </c>
      <c r="U483" s="81">
        <v>41328700</v>
      </c>
      <c r="V483" s="81">
        <v>106326239</v>
      </c>
      <c r="W483" s="80">
        <v>112332315</v>
      </c>
      <c r="X483" s="80">
        <v>149532909</v>
      </c>
      <c r="Y483" s="80">
        <v>0</v>
      </c>
      <c r="Z483" s="82">
        <v>0</v>
      </c>
      <c r="AA483" s="80">
        <v>0</v>
      </c>
      <c r="AB483" s="80">
        <v>0</v>
      </c>
      <c r="AC483" s="80">
        <v>0</v>
      </c>
      <c r="AD483" s="80">
        <v>0</v>
      </c>
      <c r="AE483" s="80">
        <v>0</v>
      </c>
      <c r="AF483" s="80">
        <v>0</v>
      </c>
      <c r="AG483" s="80">
        <v>0</v>
      </c>
      <c r="AH483" s="80">
        <v>0</v>
      </c>
      <c r="AI483" s="81">
        <v>0</v>
      </c>
      <c r="AJ483" s="81">
        <v>0</v>
      </c>
      <c r="AK483" s="80">
        <v>0</v>
      </c>
      <c r="AL483" s="80">
        <v>0</v>
      </c>
      <c r="AM483" s="80">
        <v>0</v>
      </c>
      <c r="AN483" s="80">
        <v>62030001</v>
      </c>
      <c r="AO483" s="82">
        <v>47246149700</v>
      </c>
      <c r="AP483" s="83">
        <f>+[9]Cuenta2021!$AB$9-[9]Cuenta2021!$AB$113-[9]Cuenta2021!$AB$130-[9]Cuenta2021!$AB$143-[9]Cuenta2021!$AB$147-[9]Cuenta2021!$AB$148-[9]Cuenta2021!$AB$149-[9]Cuenta2021!$AB$151</f>
        <v>47145506915</v>
      </c>
      <c r="AQ483" s="84">
        <f t="shared" si="18"/>
        <v>47145506915</v>
      </c>
      <c r="AR483" s="84">
        <f t="shared" si="19"/>
        <v>0</v>
      </c>
    </row>
    <row r="484" spans="1:44" s="47" customFormat="1" ht="10.5" customHeight="1">
      <c r="A484" s="47">
        <v>2022</v>
      </c>
      <c r="B484" s="47" t="s">
        <v>34</v>
      </c>
      <c r="C484" s="4">
        <v>44562</v>
      </c>
      <c r="D484" s="5">
        <v>6086756724</v>
      </c>
      <c r="E484" s="5">
        <v>317914892</v>
      </c>
      <c r="F484" s="5">
        <v>1499141548</v>
      </c>
      <c r="G484" s="5">
        <v>7213161018</v>
      </c>
      <c r="H484" s="5">
        <v>1251461994</v>
      </c>
      <c r="I484" s="5">
        <v>1121304756</v>
      </c>
      <c r="J484" s="5">
        <v>0</v>
      </c>
      <c r="K484" s="5">
        <v>1650316182</v>
      </c>
      <c r="L484" s="5">
        <v>56290976</v>
      </c>
      <c r="M484" s="5">
        <v>37305544</v>
      </c>
      <c r="N484" s="9">
        <v>53660323</v>
      </c>
      <c r="O484" s="5">
        <v>5535943</v>
      </c>
      <c r="P484" s="5">
        <v>209572258</v>
      </c>
      <c r="Q484" s="5">
        <v>0</v>
      </c>
      <c r="R484" s="5">
        <v>24062253782</v>
      </c>
      <c r="S484" s="5">
        <v>91487074</v>
      </c>
      <c r="T484" s="5">
        <v>5028982404</v>
      </c>
      <c r="U484" s="9">
        <v>48312777</v>
      </c>
      <c r="V484" s="9">
        <v>112897351</v>
      </c>
      <c r="W484" s="5">
        <v>124984358</v>
      </c>
      <c r="X484" s="5">
        <v>140146894</v>
      </c>
      <c r="Y484" s="5">
        <v>0</v>
      </c>
      <c r="Z484" s="7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9">
        <v>0</v>
      </c>
      <c r="AJ484" s="9">
        <v>0</v>
      </c>
      <c r="AK484" s="5">
        <v>0</v>
      </c>
      <c r="AL484" s="5">
        <v>0</v>
      </c>
      <c r="AM484" s="5">
        <v>0</v>
      </c>
      <c r="AN484" s="5">
        <v>273304406</v>
      </c>
      <c r="AO484" s="7">
        <v>49380106206</v>
      </c>
      <c r="AP484" s="59" t="e">
        <f>+#REF!-#REF!-#REF!-#REF!-#REF!-#REF!-#REF!-#REF!</f>
        <v>#REF!</v>
      </c>
      <c r="AQ484" s="58">
        <f t="shared" ref="AQ484:AQ489" si="20">+SUM(D484:AN484)-S484</f>
        <v>49293304130</v>
      </c>
      <c r="AR484" s="58" t="e">
        <f t="shared" ref="AR484:AR489" si="21">+AQ484-AP484</f>
        <v>#REF!</v>
      </c>
    </row>
    <row r="485" spans="1:44" s="47" customFormat="1" ht="10.5" customHeight="1">
      <c r="A485" s="47">
        <v>2022</v>
      </c>
      <c r="B485" s="47" t="s">
        <v>35</v>
      </c>
      <c r="C485" s="4">
        <v>44593</v>
      </c>
      <c r="D485" s="5">
        <v>4587063686</v>
      </c>
      <c r="E485" s="5">
        <v>258078693</v>
      </c>
      <c r="F485" s="5">
        <v>1097868554</v>
      </c>
      <c r="G485" s="5">
        <v>7766953164</v>
      </c>
      <c r="H485" s="5">
        <v>845875466</v>
      </c>
      <c r="I485" s="5">
        <v>1150749500</v>
      </c>
      <c r="J485" s="5">
        <v>0</v>
      </c>
      <c r="K485" s="5">
        <v>1696367613</v>
      </c>
      <c r="L485" s="5">
        <v>68745034</v>
      </c>
      <c r="M485" s="5">
        <v>39123371</v>
      </c>
      <c r="N485" s="9">
        <v>41209332</v>
      </c>
      <c r="O485" s="5">
        <v>3233203</v>
      </c>
      <c r="P485" s="5">
        <v>195779275</v>
      </c>
      <c r="Q485" s="5">
        <v>0</v>
      </c>
      <c r="R485" s="5">
        <v>19766830719</v>
      </c>
      <c r="S485" s="5">
        <v>99373703</v>
      </c>
      <c r="T485" s="5">
        <v>4968834578</v>
      </c>
      <c r="U485" s="9">
        <v>34969082</v>
      </c>
      <c r="V485" s="9">
        <v>86218330</v>
      </c>
      <c r="W485" s="5">
        <v>121362470</v>
      </c>
      <c r="X485" s="5">
        <v>112929205</v>
      </c>
      <c r="Y485" s="5">
        <v>0</v>
      </c>
      <c r="Z485" s="7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9">
        <v>0</v>
      </c>
      <c r="AJ485" s="9">
        <v>0</v>
      </c>
      <c r="AK485" s="5">
        <v>0</v>
      </c>
      <c r="AL485" s="5">
        <v>0</v>
      </c>
      <c r="AM485" s="5">
        <v>0</v>
      </c>
      <c r="AN485" s="5">
        <v>160521908</v>
      </c>
      <c r="AO485" s="7">
        <v>43081687511</v>
      </c>
      <c r="AP485" s="59" t="e">
        <f>+#REF!-#REF!-#REF!-#REF!-#REF!-#REF!-#REF!-#REF!</f>
        <v>#REF!</v>
      </c>
      <c r="AQ485" s="58">
        <f t="shared" si="20"/>
        <v>43002713183</v>
      </c>
      <c r="AR485" s="58" t="e">
        <f t="shared" si="21"/>
        <v>#REF!</v>
      </c>
    </row>
    <row r="486" spans="1:44" s="47" customFormat="1" ht="10.5" customHeight="1">
      <c r="A486" s="47">
        <v>2022</v>
      </c>
      <c r="B486" s="47" t="s">
        <v>36</v>
      </c>
      <c r="C486" s="4">
        <v>44621</v>
      </c>
      <c r="D486" s="5">
        <v>6818775110</v>
      </c>
      <c r="E486" s="5">
        <v>300241524</v>
      </c>
      <c r="F486" s="5">
        <v>1214521079</v>
      </c>
      <c r="G486" s="5">
        <v>7202915723</v>
      </c>
      <c r="H486" s="5">
        <v>775155017</v>
      </c>
      <c r="I486" s="5">
        <v>1150367618</v>
      </c>
      <c r="J486" s="5">
        <v>0</v>
      </c>
      <c r="K486" s="5">
        <v>2243043539</v>
      </c>
      <c r="L486" s="5">
        <v>85853067</v>
      </c>
      <c r="M486" s="5">
        <v>46872663</v>
      </c>
      <c r="N486" s="9">
        <v>88931366</v>
      </c>
      <c r="O486" s="5">
        <v>-94842</v>
      </c>
      <c r="P486" s="5">
        <v>266256132</v>
      </c>
      <c r="Q486" s="5">
        <v>0</v>
      </c>
      <c r="R486" s="5">
        <v>24141592769</v>
      </c>
      <c r="S486" s="5">
        <v>106579733</v>
      </c>
      <c r="T486" s="5">
        <v>4687174685</v>
      </c>
      <c r="U486" s="9">
        <v>36398984</v>
      </c>
      <c r="V486" s="9">
        <v>88197772</v>
      </c>
      <c r="W486" s="5">
        <v>131640627</v>
      </c>
      <c r="X486" s="5">
        <v>145888756</v>
      </c>
      <c r="Y486" s="5">
        <v>0</v>
      </c>
      <c r="Z486" s="7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9">
        <v>0</v>
      </c>
      <c r="AJ486" s="9">
        <v>0</v>
      </c>
      <c r="AK486" s="5">
        <v>0</v>
      </c>
      <c r="AL486" s="5">
        <v>0</v>
      </c>
      <c r="AM486" s="5">
        <v>0</v>
      </c>
      <c r="AN486" s="5">
        <v>193493623</v>
      </c>
      <c r="AO486" s="7">
        <v>49727701022</v>
      </c>
      <c r="AP486" s="59" t="e">
        <f>+#REF!-#REF!-#REF!-#REF!-#REF!-#REF!-#REF!-#REF!</f>
        <v>#REF!</v>
      </c>
      <c r="AQ486" s="58">
        <f t="shared" si="20"/>
        <v>49617225212</v>
      </c>
      <c r="AR486" s="58" t="e">
        <f t="shared" si="21"/>
        <v>#REF!</v>
      </c>
    </row>
    <row r="487" spans="1:44" s="47" customFormat="1" ht="10.5" customHeight="1">
      <c r="A487" s="47">
        <v>2022</v>
      </c>
      <c r="B487" s="47" t="s">
        <v>37</v>
      </c>
      <c r="C487" s="4">
        <v>44652</v>
      </c>
      <c r="D487" s="5">
        <v>10848089769</v>
      </c>
      <c r="E487" s="5">
        <v>320464003</v>
      </c>
      <c r="F487" s="5">
        <v>1592145733</v>
      </c>
      <c r="G487" s="5">
        <v>6152329331</v>
      </c>
      <c r="H487" s="5">
        <v>1122149912</v>
      </c>
      <c r="I487" s="5">
        <v>1134875141</v>
      </c>
      <c r="J487" s="5">
        <v>0</v>
      </c>
      <c r="K487" s="5">
        <v>2459216262</v>
      </c>
      <c r="L487" s="5">
        <v>94825318</v>
      </c>
      <c r="M487" s="5">
        <v>42775743</v>
      </c>
      <c r="N487" s="9">
        <v>57375700</v>
      </c>
      <c r="O487" s="5">
        <v>417491</v>
      </c>
      <c r="P487" s="5">
        <v>226792439</v>
      </c>
      <c r="Q487" s="5">
        <v>0</v>
      </c>
      <c r="R487" s="5">
        <v>20228350992</v>
      </c>
      <c r="S487" s="5">
        <v>101733460</v>
      </c>
      <c r="T487" s="5">
        <v>3185648565</v>
      </c>
      <c r="U487" s="9">
        <v>33629310</v>
      </c>
      <c r="V487" s="9">
        <v>81948831</v>
      </c>
      <c r="W487" s="5">
        <v>131517086</v>
      </c>
      <c r="X487" s="5">
        <v>115905287</v>
      </c>
      <c r="Y487" s="5">
        <v>0</v>
      </c>
      <c r="Z487" s="7">
        <v>0</v>
      </c>
      <c r="AA487" s="5">
        <v>0</v>
      </c>
      <c r="AB487" s="5">
        <v>0</v>
      </c>
      <c r="AC487" s="5">
        <v>0</v>
      </c>
      <c r="AD487" s="5">
        <v>4721</v>
      </c>
      <c r="AE487" s="5">
        <v>0</v>
      </c>
      <c r="AF487" s="5">
        <v>0</v>
      </c>
      <c r="AG487" s="5">
        <v>0</v>
      </c>
      <c r="AH487" s="5">
        <v>0</v>
      </c>
      <c r="AI487" s="9">
        <v>0</v>
      </c>
      <c r="AJ487" s="9">
        <v>0</v>
      </c>
      <c r="AK487" s="5">
        <v>0</v>
      </c>
      <c r="AL487" s="5">
        <v>0</v>
      </c>
      <c r="AM487" s="5">
        <v>0</v>
      </c>
      <c r="AN487" s="5">
        <v>188850736</v>
      </c>
      <c r="AO487" s="7">
        <v>48092008149</v>
      </c>
      <c r="AP487" s="59" t="e">
        <f>+#REF!-#REF!-#REF!-#REF!-#REF!-#REF!-#REF!-#REF!</f>
        <v>#REF!</v>
      </c>
      <c r="AQ487" s="58">
        <f t="shared" si="20"/>
        <v>48017312370</v>
      </c>
      <c r="AR487" s="58" t="e">
        <f t="shared" si="21"/>
        <v>#REF!</v>
      </c>
    </row>
    <row r="488" spans="1:44" s="47" customFormat="1" ht="10.5" customHeight="1">
      <c r="A488" s="47">
        <v>2022</v>
      </c>
      <c r="B488" s="47" t="s">
        <v>38</v>
      </c>
      <c r="C488" s="4">
        <v>44682</v>
      </c>
      <c r="D488" s="5">
        <v>6443209846</v>
      </c>
      <c r="E488" s="5">
        <v>297707175</v>
      </c>
      <c r="F488" s="5">
        <v>1318894572</v>
      </c>
      <c r="G488" s="5">
        <v>7746536116</v>
      </c>
      <c r="H488" s="5">
        <v>846966052</v>
      </c>
      <c r="I488" s="5">
        <v>1169898977</v>
      </c>
      <c r="J488" s="5">
        <v>0</v>
      </c>
      <c r="K488" s="5">
        <v>2507927834</v>
      </c>
      <c r="L488" s="5">
        <v>216712056</v>
      </c>
      <c r="M488" s="5">
        <v>70339071</v>
      </c>
      <c r="N488" s="9">
        <v>65409444</v>
      </c>
      <c r="O488" s="5">
        <v>-4291956</v>
      </c>
      <c r="P488" s="5">
        <v>284990292</v>
      </c>
      <c r="Q488" s="5">
        <v>0</v>
      </c>
      <c r="R488" s="5">
        <v>22801790071</v>
      </c>
      <c r="S488" s="5">
        <v>101190901</v>
      </c>
      <c r="T488" s="5">
        <v>4842872054</v>
      </c>
      <c r="U488" s="9">
        <v>38098412</v>
      </c>
      <c r="V488" s="9">
        <v>102432262</v>
      </c>
      <c r="W488" s="5">
        <v>104994695</v>
      </c>
      <c r="X488" s="5">
        <v>143275821</v>
      </c>
      <c r="Y488" s="5">
        <v>0</v>
      </c>
      <c r="Z488" s="7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9">
        <v>0</v>
      </c>
      <c r="AJ488" s="9">
        <v>0</v>
      </c>
      <c r="AK488" s="5">
        <v>0</v>
      </c>
      <c r="AL488" s="5">
        <v>0</v>
      </c>
      <c r="AM488" s="5">
        <v>0</v>
      </c>
      <c r="AN488" s="5">
        <v>1031196120</v>
      </c>
      <c r="AO488" s="7">
        <v>50154369193</v>
      </c>
      <c r="AP488" s="59" t="e">
        <f>+#REF!-#REF!-#REF!-#REF!-#REF!-#REF!-#REF!-#REF!</f>
        <v>#REF!</v>
      </c>
      <c r="AQ488" s="58">
        <f t="shared" si="20"/>
        <v>50028958914</v>
      </c>
      <c r="AR488" s="58" t="e">
        <f t="shared" si="21"/>
        <v>#REF!</v>
      </c>
    </row>
    <row r="489" spans="1:44" s="47" customFormat="1" ht="10.5" customHeight="1">
      <c r="A489" s="47">
        <v>2022</v>
      </c>
      <c r="B489" s="47" t="s">
        <v>39</v>
      </c>
      <c r="C489" s="4">
        <v>44713</v>
      </c>
      <c r="D489" s="5">
        <v>6428957762</v>
      </c>
      <c r="E489" s="5">
        <v>338456679</v>
      </c>
      <c r="F489" s="5">
        <v>1413194596</v>
      </c>
      <c r="G489" s="5">
        <v>6071976189</v>
      </c>
      <c r="H489" s="5">
        <v>846196702</v>
      </c>
      <c r="I489" s="5">
        <v>1330631479</v>
      </c>
      <c r="J489" s="5">
        <v>0</v>
      </c>
      <c r="K489" s="5">
        <v>2266863104</v>
      </c>
      <c r="L489" s="5">
        <v>67975535</v>
      </c>
      <c r="M489" s="5">
        <v>37026152</v>
      </c>
      <c r="N489" s="9">
        <v>88052103</v>
      </c>
      <c r="O489" s="5">
        <v>-3860535</v>
      </c>
      <c r="P489" s="5">
        <v>277790560</v>
      </c>
      <c r="Q489" s="5">
        <v>0</v>
      </c>
      <c r="R489" s="5">
        <v>21871481717</v>
      </c>
      <c r="S489" s="5">
        <v>101986342</v>
      </c>
      <c r="T489" s="5">
        <v>3736319763</v>
      </c>
      <c r="U489" s="9">
        <v>68578094</v>
      </c>
      <c r="V489" s="9">
        <v>154836036</v>
      </c>
      <c r="W489" s="5">
        <v>114573264</v>
      </c>
      <c r="X489" s="5">
        <v>150370394</v>
      </c>
      <c r="Y489" s="5">
        <v>0</v>
      </c>
      <c r="Z489" s="7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9">
        <v>0</v>
      </c>
      <c r="AJ489" s="9">
        <v>0</v>
      </c>
      <c r="AK489" s="5">
        <v>0</v>
      </c>
      <c r="AL489" s="5">
        <v>0</v>
      </c>
      <c r="AM489" s="5">
        <v>0</v>
      </c>
      <c r="AN489" s="5">
        <v>518876430</v>
      </c>
      <c r="AO489" s="7">
        <v>45887199610</v>
      </c>
      <c r="AP489" s="59" t="e">
        <f>+#REF!-#REF!-#REF!-#REF!-#REF!-#REF!-#REF!-#REF!</f>
        <v>#REF!</v>
      </c>
      <c r="AQ489" s="58">
        <f t="shared" si="20"/>
        <v>45778296024</v>
      </c>
      <c r="AR489" s="58" t="e">
        <f t="shared" si="21"/>
        <v>#REF!</v>
      </c>
    </row>
    <row r="490" spans="1:44" s="47" customFormat="1" ht="10.5" customHeight="1">
      <c r="A490" s="47">
        <v>2022</v>
      </c>
      <c r="B490" s="47" t="s">
        <v>40</v>
      </c>
      <c r="C490" s="4">
        <v>44743</v>
      </c>
      <c r="D490" s="5">
        <v>6636448395</v>
      </c>
      <c r="E490" s="5">
        <v>342308771</v>
      </c>
      <c r="F490" s="5">
        <v>1405658883</v>
      </c>
      <c r="G490" s="5">
        <v>6315873381</v>
      </c>
      <c r="H490" s="5">
        <v>1215834446</v>
      </c>
      <c r="I490" s="5">
        <v>1251969203</v>
      </c>
      <c r="J490" s="5">
        <v>0</v>
      </c>
      <c r="K490" s="5">
        <v>2131996709</v>
      </c>
      <c r="L490" s="5">
        <v>43309165</v>
      </c>
      <c r="M490" s="5">
        <v>30671116</v>
      </c>
      <c r="N490" s="9">
        <v>60566460</v>
      </c>
      <c r="O490" s="5">
        <v>4062303</v>
      </c>
      <c r="P490" s="5">
        <v>304978867</v>
      </c>
      <c r="Q490" s="5">
        <v>0</v>
      </c>
      <c r="R490" s="5">
        <v>23433667828</v>
      </c>
      <c r="S490" s="5">
        <v>100790058</v>
      </c>
      <c r="T490" s="5">
        <v>3626529781</v>
      </c>
      <c r="U490" s="9">
        <v>80624369</v>
      </c>
      <c r="V490" s="9">
        <v>193463071</v>
      </c>
      <c r="W490" s="5">
        <v>116285667</v>
      </c>
      <c r="X490" s="5">
        <v>117786193</v>
      </c>
      <c r="Y490" s="5">
        <v>0</v>
      </c>
      <c r="Z490" s="7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9">
        <v>0</v>
      </c>
      <c r="AJ490" s="9">
        <v>0</v>
      </c>
      <c r="AK490" s="5">
        <v>0</v>
      </c>
      <c r="AL490" s="5">
        <v>0</v>
      </c>
      <c r="AM490" s="5">
        <v>0</v>
      </c>
      <c r="AN490" s="5">
        <v>93861096</v>
      </c>
      <c r="AO490" s="7">
        <v>47508459506</v>
      </c>
      <c r="AP490" s="59"/>
      <c r="AQ490" s="58"/>
      <c r="AR490" s="58"/>
    </row>
    <row r="491" spans="1:44" s="47" customFormat="1" ht="10.5" customHeight="1">
      <c r="A491" s="47">
        <v>2022</v>
      </c>
      <c r="B491" s="47" t="s">
        <v>41</v>
      </c>
      <c r="C491" s="4">
        <v>44774</v>
      </c>
      <c r="D491" s="5">
        <v>6963485927</v>
      </c>
      <c r="E491" s="5">
        <v>242850847</v>
      </c>
      <c r="F491" s="5">
        <v>1569767187</v>
      </c>
      <c r="G491" s="5">
        <v>6678398723</v>
      </c>
      <c r="H491" s="5">
        <v>817092101</v>
      </c>
      <c r="I491" s="5">
        <v>1562894794</v>
      </c>
      <c r="J491" s="5">
        <v>0</v>
      </c>
      <c r="K491" s="5">
        <v>2098477252</v>
      </c>
      <c r="L491" s="5">
        <v>86159920</v>
      </c>
      <c r="M491" s="5">
        <v>44320093</v>
      </c>
      <c r="N491" s="9">
        <v>60681758</v>
      </c>
      <c r="O491" s="5">
        <v>10897627</v>
      </c>
      <c r="P491" s="5">
        <v>352074672</v>
      </c>
      <c r="Q491" s="5">
        <v>0</v>
      </c>
      <c r="R491" s="5">
        <v>23192183071</v>
      </c>
      <c r="S491" s="5">
        <v>100904352</v>
      </c>
      <c r="T491" s="5">
        <v>4483656076</v>
      </c>
      <c r="U491" s="9">
        <v>45945493</v>
      </c>
      <c r="V491" s="9">
        <v>125811325</v>
      </c>
      <c r="W491" s="5">
        <v>114676230</v>
      </c>
      <c r="X491" s="5">
        <v>102161847</v>
      </c>
      <c r="Y491" s="5">
        <v>0</v>
      </c>
      <c r="Z491" s="7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9">
        <v>0</v>
      </c>
      <c r="AJ491" s="9">
        <v>0</v>
      </c>
      <c r="AK491" s="5">
        <v>0</v>
      </c>
      <c r="AL491" s="5">
        <v>0</v>
      </c>
      <c r="AM491" s="5">
        <v>0</v>
      </c>
      <c r="AN491" s="5">
        <v>558748864</v>
      </c>
      <c r="AO491" s="7">
        <v>49251891557</v>
      </c>
      <c r="AP491" s="59"/>
      <c r="AQ491" s="58"/>
      <c r="AR491" s="58"/>
    </row>
    <row r="492" spans="1:44" s="47" customFormat="1" ht="10.5" customHeight="1">
      <c r="A492" s="47">
        <v>2022</v>
      </c>
      <c r="B492" s="47" t="s">
        <v>78</v>
      </c>
      <c r="C492" s="4">
        <v>44805</v>
      </c>
      <c r="D492" s="5">
        <v>6632588401</v>
      </c>
      <c r="E492" s="5">
        <v>260945124</v>
      </c>
      <c r="F492" s="5">
        <v>1534288148</v>
      </c>
      <c r="G492" s="5">
        <v>7880579740</v>
      </c>
      <c r="H492" s="5">
        <v>726322377</v>
      </c>
      <c r="I492" s="5">
        <v>1607506845</v>
      </c>
      <c r="J492" s="5">
        <v>0</v>
      </c>
      <c r="K492" s="5">
        <v>2034680991</v>
      </c>
      <c r="L492" s="5">
        <v>57148408</v>
      </c>
      <c r="M492" s="5">
        <v>48682560</v>
      </c>
      <c r="N492" s="9">
        <v>59462931</v>
      </c>
      <c r="O492" s="5">
        <v>100886343</v>
      </c>
      <c r="P492" s="5">
        <v>339015782</v>
      </c>
      <c r="Q492" s="5">
        <v>0</v>
      </c>
      <c r="R492" s="5">
        <v>23835766931</v>
      </c>
      <c r="S492" s="5">
        <v>100958921</v>
      </c>
      <c r="T492" s="5">
        <v>3639663255</v>
      </c>
      <c r="U492" s="9">
        <v>33983478</v>
      </c>
      <c r="V492" s="9">
        <v>88173846</v>
      </c>
      <c r="W492" s="5">
        <v>119747121</v>
      </c>
      <c r="X492" s="5">
        <v>101686473</v>
      </c>
      <c r="Y492" s="5">
        <v>0</v>
      </c>
      <c r="Z492" s="7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9">
        <v>0</v>
      </c>
      <c r="AJ492" s="9">
        <v>0</v>
      </c>
      <c r="AK492" s="5">
        <v>0</v>
      </c>
      <c r="AL492" s="5">
        <v>0</v>
      </c>
      <c r="AM492" s="5">
        <v>0</v>
      </c>
      <c r="AN492" s="5">
        <v>322361916</v>
      </c>
      <c r="AO492" s="7">
        <v>49541370667</v>
      </c>
      <c r="AP492" s="59"/>
      <c r="AQ492" s="58"/>
      <c r="AR492" s="58"/>
    </row>
    <row r="493" spans="1:44" s="47" customFormat="1" ht="10.5" customHeight="1">
      <c r="A493" s="47">
        <v>2022</v>
      </c>
      <c r="B493" s="47" t="s">
        <v>43</v>
      </c>
      <c r="C493" s="4">
        <v>44835</v>
      </c>
      <c r="D493" s="5">
        <v>8186810985</v>
      </c>
      <c r="E493" s="5">
        <v>259475235</v>
      </c>
      <c r="F493" s="5">
        <v>1452661198</v>
      </c>
      <c r="G493" s="5">
        <v>7195407778</v>
      </c>
      <c r="H493" s="5">
        <v>995586314</v>
      </c>
      <c r="I493" s="5">
        <v>1565303786</v>
      </c>
      <c r="J493" s="5">
        <v>0</v>
      </c>
      <c r="K493" s="5">
        <v>2044135301</v>
      </c>
      <c r="L493" s="5">
        <v>177373829</v>
      </c>
      <c r="M493" s="5">
        <v>82973417</v>
      </c>
      <c r="N493" s="9">
        <v>57027506</v>
      </c>
      <c r="O493" s="5">
        <v>148131672</v>
      </c>
      <c r="P493" s="5">
        <v>313875611</v>
      </c>
      <c r="Q493" s="5">
        <v>0</v>
      </c>
      <c r="R493" s="5">
        <v>23415291373</v>
      </c>
      <c r="S493" s="5">
        <v>100008549</v>
      </c>
      <c r="T493" s="5">
        <v>4136424954</v>
      </c>
      <c r="U493" s="9">
        <v>45829026</v>
      </c>
      <c r="V493" s="9">
        <v>118774702</v>
      </c>
      <c r="W493" s="5">
        <v>117374415</v>
      </c>
      <c r="X493" s="5">
        <v>109371374</v>
      </c>
      <c r="Y493" s="5">
        <v>0</v>
      </c>
      <c r="Z493" s="7">
        <v>0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9">
        <v>0</v>
      </c>
      <c r="AJ493" s="9">
        <v>0</v>
      </c>
      <c r="AK493" s="5">
        <v>0</v>
      </c>
      <c r="AL493" s="5">
        <v>0</v>
      </c>
      <c r="AM493" s="5">
        <v>0</v>
      </c>
      <c r="AN493" s="5">
        <v>503902053</v>
      </c>
      <c r="AO493" s="7">
        <v>51071709451</v>
      </c>
      <c r="AP493" s="59"/>
      <c r="AQ493" s="58"/>
      <c r="AR493" s="58"/>
    </row>
    <row r="494" spans="1:44" s="47" customFormat="1" ht="10.5" customHeight="1">
      <c r="A494" s="47">
        <v>2022</v>
      </c>
      <c r="B494" s="47" t="s">
        <v>44</v>
      </c>
      <c r="C494" s="4">
        <v>44866</v>
      </c>
      <c r="D494" s="5">
        <v>6759130943</v>
      </c>
      <c r="E494" s="5">
        <v>229801144</v>
      </c>
      <c r="F494" s="5">
        <v>1573188123</v>
      </c>
      <c r="G494" s="5">
        <v>7266420915</v>
      </c>
      <c r="H494" s="5">
        <v>932429148</v>
      </c>
      <c r="I494" s="5">
        <v>1532835019</v>
      </c>
      <c r="J494" s="5">
        <v>0</v>
      </c>
      <c r="K494" s="5">
        <v>2098068549</v>
      </c>
      <c r="L494" s="5">
        <v>120181451</v>
      </c>
      <c r="M494" s="5">
        <v>61595987</v>
      </c>
      <c r="N494" s="9">
        <v>57899225</v>
      </c>
      <c r="O494" s="5">
        <v>12712589</v>
      </c>
      <c r="P494" s="5">
        <v>336472956</v>
      </c>
      <c r="Q494" s="5">
        <v>0</v>
      </c>
      <c r="R494" s="5">
        <v>23881352821</v>
      </c>
      <c r="S494" s="5">
        <v>99920364</v>
      </c>
      <c r="T494" s="5">
        <v>5203018768</v>
      </c>
      <c r="U494" s="9">
        <v>31641726</v>
      </c>
      <c r="V494" s="9">
        <v>80633621</v>
      </c>
      <c r="W494" s="5">
        <v>114695974</v>
      </c>
      <c r="X494" s="5">
        <v>91862490</v>
      </c>
      <c r="Y494" s="5">
        <v>0</v>
      </c>
      <c r="Z494" s="7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9">
        <v>0</v>
      </c>
      <c r="AJ494" s="9">
        <v>0</v>
      </c>
      <c r="AK494" s="5">
        <v>0</v>
      </c>
      <c r="AL494" s="5">
        <v>0</v>
      </c>
      <c r="AM494" s="5">
        <v>0</v>
      </c>
      <c r="AN494" s="5">
        <v>318560599</v>
      </c>
      <c r="AO494" s="7">
        <v>50848708772</v>
      </c>
      <c r="AP494" s="59"/>
      <c r="AQ494" s="58"/>
      <c r="AR494" s="58"/>
    </row>
    <row r="495" spans="1:44" s="78" customFormat="1" ht="10.5" customHeight="1">
      <c r="A495" s="78">
        <v>2022</v>
      </c>
      <c r="B495" s="78" t="s">
        <v>45</v>
      </c>
      <c r="C495" s="79">
        <v>44896</v>
      </c>
      <c r="D495" s="80">
        <v>6338015288</v>
      </c>
      <c r="E495" s="80">
        <v>220308015</v>
      </c>
      <c r="F495" s="80">
        <v>1537683387</v>
      </c>
      <c r="G495" s="80">
        <v>7312597630</v>
      </c>
      <c r="H495" s="80">
        <v>839145841</v>
      </c>
      <c r="I495" s="80">
        <v>1736763989</v>
      </c>
      <c r="J495" s="80">
        <v>0</v>
      </c>
      <c r="K495" s="80">
        <v>1989733478</v>
      </c>
      <c r="L495" s="80">
        <v>52856948</v>
      </c>
      <c r="M495" s="80">
        <v>59175906</v>
      </c>
      <c r="N495" s="81">
        <v>359638079</v>
      </c>
      <c r="O495" s="80">
        <v>241768394</v>
      </c>
      <c r="P495" s="80">
        <v>445552198</v>
      </c>
      <c r="Q495" s="80">
        <v>0</v>
      </c>
      <c r="R495" s="80">
        <v>23846826781</v>
      </c>
      <c r="S495" s="80">
        <v>100530712</v>
      </c>
      <c r="T495" s="80">
        <v>5512531743</v>
      </c>
      <c r="U495" s="81">
        <v>21196959</v>
      </c>
      <c r="V495" s="81">
        <v>81146068</v>
      </c>
      <c r="W495" s="80">
        <v>135336305</v>
      </c>
      <c r="X495" s="80">
        <v>98962573</v>
      </c>
      <c r="Y495" s="80">
        <v>0</v>
      </c>
      <c r="Z495" s="82">
        <v>0</v>
      </c>
      <c r="AA495" s="80">
        <v>0</v>
      </c>
      <c r="AB495" s="80">
        <v>0</v>
      </c>
      <c r="AC495" s="80">
        <v>0</v>
      </c>
      <c r="AD495" s="80">
        <v>0</v>
      </c>
      <c r="AE495" s="80">
        <v>0</v>
      </c>
      <c r="AF495" s="80">
        <v>0</v>
      </c>
      <c r="AG495" s="80">
        <v>0</v>
      </c>
      <c r="AH495" s="80">
        <v>0</v>
      </c>
      <c r="AI495" s="81">
        <v>0</v>
      </c>
      <c r="AJ495" s="81">
        <v>0</v>
      </c>
      <c r="AK495" s="80">
        <v>0</v>
      </c>
      <c r="AL495" s="80">
        <v>0</v>
      </c>
      <c r="AM495" s="80">
        <v>0</v>
      </c>
      <c r="AN495" s="80">
        <v>60656712</v>
      </c>
      <c r="AO495" s="82">
        <v>51049818292</v>
      </c>
      <c r="AP495" s="83"/>
      <c r="AQ495" s="84"/>
      <c r="AR495" s="84"/>
    </row>
    <row r="496" spans="1:44" s="47" customFormat="1" ht="10.5" customHeight="1">
      <c r="A496" s="47">
        <v>2023</v>
      </c>
      <c r="B496" s="47" t="s">
        <v>34</v>
      </c>
      <c r="C496" s="4">
        <v>44927</v>
      </c>
      <c r="D496" s="5">
        <v>6777364492</v>
      </c>
      <c r="E496" s="5">
        <v>206563587</v>
      </c>
      <c r="F496" s="5">
        <v>1649888649</v>
      </c>
      <c r="G496" s="5">
        <v>8662246825</v>
      </c>
      <c r="H496" s="5">
        <v>1402361722</v>
      </c>
      <c r="I496" s="5">
        <v>1196287215</v>
      </c>
      <c r="J496" s="5">
        <v>0</v>
      </c>
      <c r="K496" s="5">
        <v>1833344608</v>
      </c>
      <c r="L496" s="5">
        <v>60193830</v>
      </c>
      <c r="M496" s="5">
        <v>35381155</v>
      </c>
      <c r="N496" s="9">
        <v>57826723</v>
      </c>
      <c r="O496" s="5">
        <v>5363348</v>
      </c>
      <c r="P496" s="5">
        <v>215523434</v>
      </c>
      <c r="Q496" s="5">
        <v>0</v>
      </c>
      <c r="R496" s="5">
        <v>26338935078</v>
      </c>
      <c r="S496" s="5">
        <v>97173295</v>
      </c>
      <c r="T496" s="5">
        <v>4726806508</v>
      </c>
      <c r="U496" s="9">
        <v>38910589</v>
      </c>
      <c r="V496" s="9">
        <v>95618922</v>
      </c>
      <c r="W496" s="5">
        <v>148450791</v>
      </c>
      <c r="X496" s="5">
        <v>80142059</v>
      </c>
      <c r="Y496" s="5">
        <v>0</v>
      </c>
      <c r="Z496" s="7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9">
        <v>0</v>
      </c>
      <c r="AJ496" s="9">
        <v>0</v>
      </c>
      <c r="AK496" s="5">
        <v>0</v>
      </c>
      <c r="AL496" s="5">
        <v>0</v>
      </c>
      <c r="AM496" s="5">
        <v>0</v>
      </c>
      <c r="AN496" s="5">
        <v>319471093</v>
      </c>
      <c r="AO496" s="7">
        <v>54042149198</v>
      </c>
      <c r="AP496" s="59"/>
      <c r="AQ496" s="58"/>
      <c r="AR496" s="58"/>
    </row>
    <row r="497" spans="1:44" s="47" customFormat="1" ht="10.5" customHeight="1">
      <c r="A497" s="47">
        <v>2023</v>
      </c>
      <c r="B497" s="47" t="s">
        <v>35</v>
      </c>
      <c r="C497" s="4">
        <v>44958</v>
      </c>
      <c r="D497" s="5">
        <v>5969775976</v>
      </c>
      <c r="E497" s="5">
        <v>175808212</v>
      </c>
      <c r="F497" s="5">
        <v>1265178147</v>
      </c>
      <c r="G497" s="5">
        <v>7270666865</v>
      </c>
      <c r="H497" s="5">
        <v>860620038</v>
      </c>
      <c r="I497" s="5">
        <v>1198490350</v>
      </c>
      <c r="J497" s="5">
        <v>0</v>
      </c>
      <c r="K497" s="5">
        <v>2059923901</v>
      </c>
      <c r="L497" s="5">
        <v>80531575</v>
      </c>
      <c r="M497" s="5">
        <v>44862912</v>
      </c>
      <c r="N497" s="9">
        <v>66614124</v>
      </c>
      <c r="O497" s="5">
        <v>4338375</v>
      </c>
      <c r="P497" s="5">
        <v>213783475</v>
      </c>
      <c r="Q497" s="5">
        <v>0</v>
      </c>
      <c r="R497" s="5">
        <v>21507892146</v>
      </c>
      <c r="S497" s="5">
        <v>101269487</v>
      </c>
      <c r="T497" s="5">
        <v>4096816356</v>
      </c>
      <c r="U497" s="9">
        <v>37347595</v>
      </c>
      <c r="V497" s="9">
        <v>86203342</v>
      </c>
      <c r="W497" s="5">
        <v>145753698</v>
      </c>
      <c r="X497" s="5">
        <v>63409328</v>
      </c>
      <c r="Y497" s="5">
        <v>0</v>
      </c>
      <c r="Z497" s="7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9">
        <v>0</v>
      </c>
      <c r="AJ497" s="9">
        <v>0</v>
      </c>
      <c r="AK497" s="5">
        <v>0</v>
      </c>
      <c r="AL497" s="5">
        <v>0</v>
      </c>
      <c r="AM497" s="5">
        <v>0</v>
      </c>
      <c r="AN497" s="5">
        <v>187904702</v>
      </c>
      <c r="AO497" s="7">
        <v>45483741250</v>
      </c>
      <c r="AP497" s="59"/>
      <c r="AQ497" s="58"/>
      <c r="AR497" s="58"/>
    </row>
    <row r="498" spans="1:44" s="47" customFormat="1" ht="10.5" customHeight="1">
      <c r="A498" s="47">
        <v>2023</v>
      </c>
      <c r="B498" s="47" t="s">
        <v>36</v>
      </c>
      <c r="C498" s="4">
        <v>44986</v>
      </c>
      <c r="D498" s="5">
        <v>6738543274</v>
      </c>
      <c r="E498" s="5">
        <v>212637377</v>
      </c>
      <c r="F498" s="5">
        <v>1222584173</v>
      </c>
      <c r="G498" s="5">
        <v>9153304714</v>
      </c>
      <c r="H498" s="5">
        <v>897550579</v>
      </c>
      <c r="I498" s="5">
        <v>1206328423</v>
      </c>
      <c r="J498" s="5">
        <v>0</v>
      </c>
      <c r="K498" s="5">
        <v>2223224912</v>
      </c>
      <c r="L498" s="5">
        <v>80121735</v>
      </c>
      <c r="M498" s="5">
        <v>47559069</v>
      </c>
      <c r="N498" s="9">
        <v>71818024</v>
      </c>
      <c r="O498" s="5">
        <v>-2141760</v>
      </c>
      <c r="P498" s="5">
        <v>319443205</v>
      </c>
      <c r="Q498" s="5">
        <v>0</v>
      </c>
      <c r="R498" s="5">
        <v>24385137217</v>
      </c>
      <c r="S498" s="5">
        <v>105416069</v>
      </c>
      <c r="T498" s="5">
        <v>4453663767</v>
      </c>
      <c r="U498" s="9">
        <v>24669697</v>
      </c>
      <c r="V498" s="9">
        <v>77727802</v>
      </c>
      <c r="W498" s="5">
        <v>129660942</v>
      </c>
      <c r="X498" s="5">
        <v>119822025</v>
      </c>
      <c r="Y498" s="5">
        <v>0</v>
      </c>
      <c r="Z498" s="7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9">
        <v>0</v>
      </c>
      <c r="AJ498" s="9">
        <v>0</v>
      </c>
      <c r="AK498" s="5">
        <v>0</v>
      </c>
      <c r="AL498" s="5">
        <v>0</v>
      </c>
      <c r="AM498" s="5">
        <v>0</v>
      </c>
      <c r="AN498" s="5">
        <v>223034120</v>
      </c>
      <c r="AO498" s="7">
        <v>51774014779</v>
      </c>
      <c r="AP498" s="59"/>
      <c r="AQ498" s="58"/>
      <c r="AR498" s="58"/>
    </row>
    <row r="499" spans="1:44" s="47" customFormat="1" ht="10.5" customHeight="1">
      <c r="A499" s="47">
        <v>2023</v>
      </c>
      <c r="B499" s="47" t="s">
        <v>37</v>
      </c>
      <c r="C499" s="4">
        <v>45017</v>
      </c>
      <c r="D499" s="5">
        <v>12155781611</v>
      </c>
      <c r="E499" s="5">
        <v>217536300</v>
      </c>
      <c r="F499" s="5">
        <v>1668089940</v>
      </c>
      <c r="G499" s="5">
        <v>6136257970</v>
      </c>
      <c r="H499" s="5">
        <v>1287420042</v>
      </c>
      <c r="I499" s="5">
        <v>1267923758</v>
      </c>
      <c r="J499" s="5">
        <v>0</v>
      </c>
      <c r="K499" s="5">
        <v>2488204948</v>
      </c>
      <c r="L499" s="5">
        <v>73604053</v>
      </c>
      <c r="M499" s="5">
        <v>38131170</v>
      </c>
      <c r="N499" s="9">
        <v>56010928</v>
      </c>
      <c r="O499" s="5">
        <v>3875022</v>
      </c>
      <c r="P499" s="5">
        <v>222836478</v>
      </c>
      <c r="Q499" s="5">
        <v>0</v>
      </c>
      <c r="R499" s="5">
        <v>20047259298</v>
      </c>
      <c r="S499" s="5">
        <v>102857406</v>
      </c>
      <c r="T499" s="5">
        <v>4519386697</v>
      </c>
      <c r="U499" s="9">
        <v>26996493</v>
      </c>
      <c r="V499" s="9">
        <v>70703749</v>
      </c>
      <c r="W499" s="5">
        <v>151378916</v>
      </c>
      <c r="X499" s="5">
        <v>86701807</v>
      </c>
      <c r="Y499" s="5">
        <v>0</v>
      </c>
      <c r="Z499" s="7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9">
        <v>0</v>
      </c>
      <c r="AJ499" s="9">
        <v>0</v>
      </c>
      <c r="AK499" s="5">
        <v>0</v>
      </c>
      <c r="AL499" s="5">
        <v>0</v>
      </c>
      <c r="AM499" s="5">
        <v>0</v>
      </c>
      <c r="AN499" s="5">
        <v>182946032</v>
      </c>
      <c r="AO499" s="7">
        <v>51410572658</v>
      </c>
      <c r="AP499" s="59"/>
      <c r="AQ499" s="58"/>
      <c r="AR499" s="58"/>
    </row>
    <row r="500" spans="1:44" s="47" customFormat="1" ht="10.5" customHeight="1">
      <c r="A500" s="47">
        <v>2023</v>
      </c>
      <c r="B500" s="47" t="s">
        <v>38</v>
      </c>
      <c r="C500" s="4">
        <v>45047</v>
      </c>
      <c r="D500" s="5">
        <v>6897017123</v>
      </c>
      <c r="E500" s="5">
        <v>188460900</v>
      </c>
      <c r="F500" s="5">
        <v>1500395023</v>
      </c>
      <c r="G500" s="5">
        <v>9278803722</v>
      </c>
      <c r="H500" s="5">
        <v>869327467</v>
      </c>
      <c r="I500" s="5">
        <v>1182194721</v>
      </c>
      <c r="J500" s="5">
        <v>0</v>
      </c>
      <c r="K500" s="5">
        <v>2573390234</v>
      </c>
      <c r="L500" s="5">
        <v>193904270</v>
      </c>
      <c r="M500" s="5">
        <v>49047446</v>
      </c>
      <c r="N500" s="9">
        <v>65322329</v>
      </c>
      <c r="O500" s="5">
        <v>-20197575</v>
      </c>
      <c r="P500" s="5">
        <v>322359584</v>
      </c>
      <c r="Q500" s="5">
        <v>0</v>
      </c>
      <c r="R500" s="5">
        <v>25412671978</v>
      </c>
      <c r="S500" s="5">
        <v>104096318</v>
      </c>
      <c r="T500" s="5">
        <v>4710829332</v>
      </c>
      <c r="U500" s="9">
        <v>20427659</v>
      </c>
      <c r="V500" s="9">
        <v>62303386</v>
      </c>
      <c r="W500" s="5">
        <v>117023685</v>
      </c>
      <c r="X500" s="5">
        <v>83113223</v>
      </c>
      <c r="Y500" s="5">
        <v>0</v>
      </c>
      <c r="Z500" s="7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9">
        <v>0</v>
      </c>
      <c r="AJ500" s="9">
        <v>0</v>
      </c>
      <c r="AK500" s="5">
        <v>0</v>
      </c>
      <c r="AL500" s="5">
        <v>0</v>
      </c>
      <c r="AM500" s="5">
        <v>0</v>
      </c>
      <c r="AN500" s="5">
        <v>1122646057</v>
      </c>
      <c r="AO500" s="7">
        <v>55128955968</v>
      </c>
      <c r="AP500" s="59"/>
      <c r="AQ500" s="58"/>
      <c r="AR500" s="58"/>
    </row>
    <row r="501" spans="1:44" s="47" customFormat="1" ht="10.5" customHeight="1">
      <c r="A501" s="47">
        <v>2023</v>
      </c>
      <c r="B501" s="47" t="s">
        <v>39</v>
      </c>
      <c r="C501" s="4">
        <v>45078</v>
      </c>
      <c r="D501" s="5">
        <v>6537642822</v>
      </c>
      <c r="E501" s="5">
        <v>232947921</v>
      </c>
      <c r="F501" s="5">
        <v>1373870938</v>
      </c>
      <c r="G501" s="5">
        <v>6742739522</v>
      </c>
      <c r="H501" s="5">
        <v>1031924771</v>
      </c>
      <c r="I501" s="5">
        <v>1329445329</v>
      </c>
      <c r="J501" s="5">
        <v>0</v>
      </c>
      <c r="K501" s="5">
        <v>2274834540</v>
      </c>
      <c r="L501" s="5">
        <v>42968099</v>
      </c>
      <c r="M501" s="5">
        <v>27202559</v>
      </c>
      <c r="N501" s="9">
        <v>62059571</v>
      </c>
      <c r="O501" s="5">
        <v>8931597</v>
      </c>
      <c r="P501" s="5">
        <v>292733970</v>
      </c>
      <c r="Q501" s="5">
        <v>0</v>
      </c>
      <c r="R501" s="5">
        <v>22190009094</v>
      </c>
      <c r="S501" s="5">
        <v>104065088</v>
      </c>
      <c r="T501" s="5">
        <v>3742432167</v>
      </c>
      <c r="U501" s="9">
        <v>29124860</v>
      </c>
      <c r="V501" s="9">
        <v>88982073</v>
      </c>
      <c r="W501" s="5">
        <v>133820383</v>
      </c>
      <c r="X501" s="5">
        <v>112996726</v>
      </c>
      <c r="Y501" s="5">
        <v>0</v>
      </c>
      <c r="Z501" s="7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9">
        <v>0</v>
      </c>
      <c r="AJ501" s="9">
        <v>0</v>
      </c>
      <c r="AK501" s="5">
        <v>0</v>
      </c>
      <c r="AL501" s="5">
        <v>0</v>
      </c>
      <c r="AM501" s="5">
        <v>0</v>
      </c>
      <c r="AN501" s="5">
        <v>615760675</v>
      </c>
      <c r="AO501" s="7">
        <v>47585623391</v>
      </c>
      <c r="AP501" s="59"/>
      <c r="AQ501" s="58"/>
      <c r="AR501" s="58"/>
    </row>
    <row r="502" spans="1:44" s="47" customFormat="1" ht="10.5" customHeight="1">
      <c r="A502" s="47">
        <v>2023</v>
      </c>
      <c r="B502" s="47" t="s">
        <v>40</v>
      </c>
      <c r="C502" s="4">
        <v>45108</v>
      </c>
      <c r="D502" s="5">
        <v>6301646983</v>
      </c>
      <c r="E502" s="5">
        <v>242859289</v>
      </c>
      <c r="F502" s="5">
        <v>1462246935</v>
      </c>
      <c r="G502" s="5">
        <v>6836736022</v>
      </c>
      <c r="H502" s="5">
        <v>1123014156</v>
      </c>
      <c r="I502" s="5">
        <v>1298230019</v>
      </c>
      <c r="J502" s="5">
        <v>0</v>
      </c>
      <c r="K502" s="5">
        <v>2247119915</v>
      </c>
      <c r="L502" s="5">
        <v>35392558</v>
      </c>
      <c r="M502" s="5">
        <v>19422033</v>
      </c>
      <c r="N502" s="9">
        <v>63590999</v>
      </c>
      <c r="O502" s="5">
        <v>3080311</v>
      </c>
      <c r="P502" s="5">
        <v>296155535</v>
      </c>
      <c r="Q502" s="5">
        <v>0</v>
      </c>
      <c r="R502" s="5">
        <v>24262523226</v>
      </c>
      <c r="S502" s="5">
        <v>102589336</v>
      </c>
      <c r="T502" s="5">
        <v>3745331617</v>
      </c>
      <c r="U502" s="9">
        <v>34963061</v>
      </c>
      <c r="V502" s="9">
        <v>97793701</v>
      </c>
      <c r="W502" s="5">
        <v>136120511</v>
      </c>
      <c r="X502" s="5">
        <v>81493928</v>
      </c>
      <c r="Y502" s="5">
        <v>0</v>
      </c>
      <c r="Z502" s="7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9">
        <v>0</v>
      </c>
      <c r="AJ502" s="9">
        <v>0</v>
      </c>
      <c r="AK502" s="5">
        <v>0</v>
      </c>
      <c r="AL502" s="5">
        <v>0</v>
      </c>
      <c r="AM502" s="5">
        <v>0</v>
      </c>
      <c r="AN502" s="5">
        <v>108190793</v>
      </c>
      <c r="AO502" s="7">
        <v>48567385349</v>
      </c>
      <c r="AP502" s="59"/>
      <c r="AQ502" s="58"/>
      <c r="AR502" s="58"/>
    </row>
    <row r="503" spans="1:44" s="47" customFormat="1" ht="10.5" customHeight="1">
      <c r="A503" s="47">
        <v>2023</v>
      </c>
      <c r="B503" s="47" t="s">
        <v>41</v>
      </c>
      <c r="C503" s="4">
        <v>45139</v>
      </c>
      <c r="D503" s="5">
        <v>6235949037</v>
      </c>
      <c r="E503" s="5">
        <v>209175027</v>
      </c>
      <c r="F503" s="5">
        <v>1577599267</v>
      </c>
      <c r="G503" s="5">
        <v>7151420473</v>
      </c>
      <c r="H503" s="5">
        <v>863758674</v>
      </c>
      <c r="I503" s="5">
        <v>1659468607</v>
      </c>
      <c r="J503" s="5">
        <v>0</v>
      </c>
      <c r="K503" s="5">
        <v>2251555598</v>
      </c>
      <c r="L503" s="5">
        <v>94954659</v>
      </c>
      <c r="M503" s="5">
        <v>46237283</v>
      </c>
      <c r="N503" s="9">
        <v>64369742</v>
      </c>
      <c r="O503" s="5">
        <v>8748034</v>
      </c>
      <c r="P503" s="5">
        <v>348097027</v>
      </c>
      <c r="Q503" s="5">
        <v>0</v>
      </c>
      <c r="R503" s="5">
        <v>22865821395</v>
      </c>
      <c r="S503" s="5">
        <v>102015329</v>
      </c>
      <c r="T503" s="5">
        <v>4927170324</v>
      </c>
      <c r="U503" s="9">
        <v>27825114</v>
      </c>
      <c r="V503" s="9">
        <v>79361769</v>
      </c>
      <c r="W503" s="5">
        <v>144290267</v>
      </c>
      <c r="X503" s="5">
        <v>96391414</v>
      </c>
      <c r="Y503" s="5">
        <v>0</v>
      </c>
      <c r="Z503" s="7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9">
        <v>0</v>
      </c>
      <c r="AJ503" s="9">
        <v>0</v>
      </c>
      <c r="AK503" s="5">
        <v>0</v>
      </c>
      <c r="AL503" s="5">
        <v>0</v>
      </c>
      <c r="AM503" s="5">
        <v>0</v>
      </c>
      <c r="AN503" s="5">
        <v>613775159</v>
      </c>
      <c r="AO503" s="7">
        <v>49491173179</v>
      </c>
      <c r="AP503" s="59"/>
      <c r="AQ503" s="58"/>
      <c r="AR503" s="58"/>
    </row>
    <row r="504" spans="1:44" s="47" customFormat="1" ht="10.5" customHeight="1">
      <c r="A504" s="47">
        <v>2023</v>
      </c>
      <c r="B504" s="47" t="s">
        <v>78</v>
      </c>
      <c r="C504" s="4">
        <v>45170</v>
      </c>
      <c r="D504" s="5">
        <v>6212342392</v>
      </c>
      <c r="E504" s="5">
        <v>234386968</v>
      </c>
      <c r="F504" s="5">
        <v>1367411211</v>
      </c>
      <c r="G504" s="5">
        <v>7812425272</v>
      </c>
      <c r="H504" s="5">
        <v>984458402</v>
      </c>
      <c r="I504" s="5">
        <v>1524995720</v>
      </c>
      <c r="J504" s="5">
        <v>0</v>
      </c>
      <c r="K504" s="5">
        <v>2199577173</v>
      </c>
      <c r="L504" s="5">
        <v>57202119</v>
      </c>
      <c r="M504" s="5">
        <v>46265513</v>
      </c>
      <c r="N504" s="9">
        <v>63399650</v>
      </c>
      <c r="O504" s="5">
        <v>87223049</v>
      </c>
      <c r="P504" s="5">
        <v>319573958</v>
      </c>
      <c r="Q504" s="5">
        <v>0</v>
      </c>
      <c r="R504" s="5">
        <v>24552195541</v>
      </c>
      <c r="S504" s="5">
        <v>102952641</v>
      </c>
      <c r="T504" s="5">
        <v>3991853041</v>
      </c>
      <c r="U504" s="9">
        <v>26476495</v>
      </c>
      <c r="V504" s="9">
        <v>78533025</v>
      </c>
      <c r="W504" s="5">
        <v>135755223</v>
      </c>
      <c r="X504" s="5">
        <v>101199345</v>
      </c>
      <c r="Y504" s="5">
        <v>0</v>
      </c>
      <c r="Z504" s="7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9">
        <v>0</v>
      </c>
      <c r="AJ504" s="9">
        <v>0</v>
      </c>
      <c r="AK504" s="5">
        <v>0</v>
      </c>
      <c r="AL504" s="5">
        <v>0</v>
      </c>
      <c r="AM504" s="5">
        <v>0</v>
      </c>
      <c r="AN504" s="5">
        <v>339547895</v>
      </c>
      <c r="AO504" s="7">
        <v>50330096332</v>
      </c>
      <c r="AP504" s="59"/>
      <c r="AQ504" s="58"/>
      <c r="AR504" s="58"/>
    </row>
    <row r="505" spans="1:44" s="47" customFormat="1" ht="10.5" customHeight="1">
      <c r="A505" s="47">
        <v>2023</v>
      </c>
      <c r="B505" s="47" t="s">
        <v>87</v>
      </c>
      <c r="C505" s="4">
        <v>45200</v>
      </c>
      <c r="D505" s="5">
        <v>7288027519</v>
      </c>
      <c r="E505" s="5">
        <v>189794842</v>
      </c>
      <c r="F505" s="5">
        <v>1662079675</v>
      </c>
      <c r="G505" s="5">
        <v>7937809223</v>
      </c>
      <c r="H505" s="5">
        <v>1168141849</v>
      </c>
      <c r="I505" s="5">
        <v>1545039263</v>
      </c>
      <c r="J505" s="5">
        <v>0</v>
      </c>
      <c r="K505" s="5">
        <v>2163460771</v>
      </c>
      <c r="L505" s="5">
        <v>125445346</v>
      </c>
      <c r="M505" s="5">
        <v>66307979</v>
      </c>
      <c r="N505" s="9">
        <v>59623270</v>
      </c>
      <c r="O505" s="5">
        <v>123083058</v>
      </c>
      <c r="P505" s="5">
        <v>331103150</v>
      </c>
      <c r="Q505" s="5">
        <v>0</v>
      </c>
      <c r="R505" s="5">
        <v>25431476927</v>
      </c>
      <c r="S505" s="5">
        <v>102567751</v>
      </c>
      <c r="T505" s="5">
        <v>5135500364</v>
      </c>
      <c r="U505" s="9">
        <v>37242440</v>
      </c>
      <c r="V505" s="9">
        <v>104135909</v>
      </c>
      <c r="W505" s="5">
        <v>136492363</v>
      </c>
      <c r="X505" s="5">
        <v>81270927</v>
      </c>
      <c r="Y505" s="5">
        <v>0</v>
      </c>
      <c r="Z505" s="7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9">
        <v>0</v>
      </c>
      <c r="AJ505" s="9">
        <v>0</v>
      </c>
      <c r="AK505" s="5">
        <v>0</v>
      </c>
      <c r="AL505" s="5">
        <v>0</v>
      </c>
      <c r="AM505" s="5">
        <v>0</v>
      </c>
      <c r="AN505" s="5">
        <v>514300483</v>
      </c>
      <c r="AO505" s="7">
        <v>54272110371</v>
      </c>
      <c r="AP505" s="59"/>
      <c r="AQ505" s="58"/>
      <c r="AR505" s="58"/>
    </row>
    <row r="506" spans="1:44" s="47" customFormat="1" ht="10.5" customHeight="1">
      <c r="A506" s="47">
        <v>2023</v>
      </c>
      <c r="B506" s="47" t="s">
        <v>88</v>
      </c>
      <c r="C506" s="4">
        <v>45231</v>
      </c>
      <c r="D506" s="5">
        <v>6212142829</v>
      </c>
      <c r="E506" s="5">
        <v>206432284</v>
      </c>
      <c r="F506" s="5">
        <v>1696387796</v>
      </c>
      <c r="G506" s="5">
        <v>7617394899</v>
      </c>
      <c r="H506" s="5">
        <v>1074754454</v>
      </c>
      <c r="I506" s="5">
        <v>1560140572</v>
      </c>
      <c r="J506" s="5">
        <v>0</v>
      </c>
      <c r="K506" s="5">
        <v>2188006687</v>
      </c>
      <c r="L506" s="5">
        <v>112565517</v>
      </c>
      <c r="M506" s="5">
        <v>53613700</v>
      </c>
      <c r="N506" s="9">
        <v>59605242</v>
      </c>
      <c r="O506" s="5">
        <v>13072118</v>
      </c>
      <c r="P506" s="5">
        <v>334658784</v>
      </c>
      <c r="Q506" s="5">
        <v>0</v>
      </c>
      <c r="R506" s="5">
        <v>25991979171</v>
      </c>
      <c r="S506" s="5">
        <v>102957930</v>
      </c>
      <c r="T506" s="5">
        <v>4891367566</v>
      </c>
      <c r="U506" s="9">
        <v>21476571</v>
      </c>
      <c r="V506" s="9">
        <v>65693686</v>
      </c>
      <c r="W506" s="5">
        <v>145712363</v>
      </c>
      <c r="X506" s="5">
        <v>96800747</v>
      </c>
      <c r="Y506" s="5">
        <v>0</v>
      </c>
      <c r="Z506" s="7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9">
        <v>0</v>
      </c>
      <c r="AJ506" s="9">
        <v>0</v>
      </c>
      <c r="AK506" s="5">
        <v>0</v>
      </c>
      <c r="AL506" s="5">
        <v>0</v>
      </c>
      <c r="AM506" s="5">
        <v>0</v>
      </c>
      <c r="AN506" s="5">
        <v>374294494</v>
      </c>
      <c r="AO506" s="7">
        <v>52885702010</v>
      </c>
      <c r="AP506" s="59"/>
      <c r="AQ506" s="58"/>
      <c r="AR506" s="58"/>
    </row>
    <row r="507" spans="1:44" s="47" customFormat="1" ht="10.5" customHeight="1">
      <c r="A507" s="47">
        <v>2023</v>
      </c>
      <c r="B507" s="47" t="s">
        <v>89</v>
      </c>
      <c r="C507" s="4">
        <v>45261</v>
      </c>
      <c r="D507" s="5">
        <v>6203762229</v>
      </c>
      <c r="E507" s="5">
        <v>248406498</v>
      </c>
      <c r="F507" s="5">
        <v>1552947300</v>
      </c>
      <c r="G507" s="5">
        <v>7551912960</v>
      </c>
      <c r="H507" s="5">
        <v>1028346834</v>
      </c>
      <c r="I507" s="5">
        <v>1679278851</v>
      </c>
      <c r="J507" s="5">
        <v>0</v>
      </c>
      <c r="K507" s="5">
        <v>2150186089</v>
      </c>
      <c r="L507" s="5">
        <v>74224546</v>
      </c>
      <c r="M507" s="5">
        <v>63225847</v>
      </c>
      <c r="N507" s="9">
        <v>61109148</v>
      </c>
      <c r="O507" s="5">
        <v>201761412</v>
      </c>
      <c r="P507" s="5">
        <v>424991442</v>
      </c>
      <c r="Q507" s="5">
        <v>0</v>
      </c>
      <c r="R507" s="5">
        <v>24340390255</v>
      </c>
      <c r="S507" s="5">
        <v>102696927</v>
      </c>
      <c r="T507" s="5">
        <v>4926543788</v>
      </c>
      <c r="U507" s="9">
        <v>26205582</v>
      </c>
      <c r="V507" s="9">
        <v>81843812</v>
      </c>
      <c r="W507" s="5">
        <v>148883258</v>
      </c>
      <c r="X507" s="5">
        <v>110714980</v>
      </c>
      <c r="Y507" s="5">
        <v>0</v>
      </c>
      <c r="Z507" s="7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9">
        <v>0</v>
      </c>
      <c r="AJ507" s="9">
        <v>0</v>
      </c>
      <c r="AK507" s="5">
        <v>0</v>
      </c>
      <c r="AL507" s="5">
        <v>0</v>
      </c>
      <c r="AM507" s="5">
        <v>0</v>
      </c>
      <c r="AN507" s="5">
        <v>62024204</v>
      </c>
      <c r="AO507" s="7">
        <v>51128976223</v>
      </c>
      <c r="AP507" s="59"/>
      <c r="AQ507" s="58"/>
      <c r="AR507" s="58"/>
    </row>
    <row r="508" spans="1:44" s="47" customFormat="1" ht="10.5" customHeight="1">
      <c r="A508" s="47">
        <v>2024</v>
      </c>
      <c r="B508" s="47" t="s">
        <v>34</v>
      </c>
      <c r="C508" s="4">
        <v>45292</v>
      </c>
      <c r="D508" s="5">
        <v>6422463048</v>
      </c>
      <c r="E508" s="5">
        <v>209630640</v>
      </c>
      <c r="F508" s="5">
        <v>1593081535</v>
      </c>
      <c r="G508" s="5">
        <v>9738212617</v>
      </c>
      <c r="H508" s="5">
        <v>1843526742</v>
      </c>
      <c r="I508" s="5">
        <v>1017511585</v>
      </c>
      <c r="J508" s="5">
        <v>0</v>
      </c>
      <c r="K508" s="5">
        <v>1993809150</v>
      </c>
      <c r="L508" s="5">
        <v>54369184</v>
      </c>
      <c r="M508" s="5">
        <v>34047661</v>
      </c>
      <c r="N508" s="9">
        <v>62917590</v>
      </c>
      <c r="O508" s="5">
        <v>2596148</v>
      </c>
      <c r="P508" s="5">
        <v>255423877</v>
      </c>
      <c r="Q508" s="5">
        <v>0</v>
      </c>
      <c r="R508" s="5">
        <v>28657637858</v>
      </c>
      <c r="S508" s="5">
        <v>104659835</v>
      </c>
      <c r="T508" s="5">
        <v>4908544332</v>
      </c>
      <c r="U508" s="9">
        <v>29648527</v>
      </c>
      <c r="V508" s="9">
        <v>82817719</v>
      </c>
      <c r="W508" s="5">
        <v>164740188</v>
      </c>
      <c r="X508" s="5">
        <v>109593420</v>
      </c>
      <c r="Y508" s="5">
        <v>0</v>
      </c>
      <c r="Z508" s="7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9">
        <v>0</v>
      </c>
      <c r="AJ508" s="9">
        <v>0</v>
      </c>
      <c r="AK508" s="5">
        <v>0</v>
      </c>
      <c r="AL508" s="5">
        <v>0</v>
      </c>
      <c r="AM508" s="5">
        <v>0</v>
      </c>
      <c r="AN508" s="5">
        <v>397179897</v>
      </c>
      <c r="AO508" s="7">
        <v>57764643342</v>
      </c>
      <c r="AP508" s="59"/>
      <c r="AQ508" s="58"/>
      <c r="AR508" s="58"/>
    </row>
    <row r="509" spans="1:44" s="47" customFormat="1" ht="10.5" customHeight="1">
      <c r="C509" s="4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9"/>
      <c r="O509" s="5"/>
      <c r="P509" s="5"/>
      <c r="Q509" s="5"/>
      <c r="R509" s="5"/>
      <c r="S509" s="5"/>
      <c r="T509" s="5"/>
      <c r="U509" s="9"/>
      <c r="V509" s="9"/>
      <c r="W509" s="5"/>
      <c r="X509" s="5"/>
      <c r="Y509" s="5"/>
      <c r="Z509" s="7"/>
      <c r="AA509" s="5"/>
      <c r="AB509" s="5"/>
      <c r="AC509" s="5"/>
      <c r="AD509" s="5"/>
      <c r="AE509" s="5"/>
      <c r="AF509" s="5"/>
      <c r="AG509" s="5"/>
      <c r="AH509" s="5"/>
      <c r="AI509" s="9"/>
      <c r="AJ509" s="9"/>
      <c r="AK509" s="5"/>
      <c r="AL509" s="5"/>
      <c r="AM509" s="5"/>
      <c r="AN509" s="5"/>
      <c r="AO509" s="7"/>
      <c r="AP509" s="59"/>
      <c r="AQ509" s="58"/>
      <c r="AR509" s="58"/>
    </row>
    <row r="510" spans="1:44" s="47" customFormat="1" ht="10.5" customHeight="1">
      <c r="C510" s="4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9"/>
      <c r="O510" s="5"/>
      <c r="P510" s="5"/>
      <c r="Q510" s="5"/>
      <c r="R510" s="5"/>
      <c r="S510" s="5"/>
      <c r="T510" s="5"/>
      <c r="U510" s="9"/>
      <c r="V510" s="9"/>
      <c r="W510" s="5"/>
      <c r="X510" s="5"/>
      <c r="Y510" s="5"/>
      <c r="Z510" s="7"/>
      <c r="AA510" s="5"/>
      <c r="AB510" s="5"/>
      <c r="AC510" s="5"/>
      <c r="AD510" s="5"/>
      <c r="AE510" s="5"/>
      <c r="AF510" s="5"/>
      <c r="AG510" s="5"/>
      <c r="AH510" s="5"/>
      <c r="AI510" s="9"/>
      <c r="AJ510" s="9"/>
      <c r="AK510" s="5"/>
      <c r="AL510" s="5"/>
      <c r="AM510" s="5"/>
      <c r="AN510" s="5"/>
      <c r="AO510" s="7"/>
      <c r="AP510" s="59"/>
      <c r="AQ510" s="58"/>
      <c r="AR510" s="58"/>
    </row>
    <row r="512" spans="1:44">
      <c r="D512" s="47" t="s">
        <v>81</v>
      </c>
      <c r="E512" s="47" t="s">
        <v>82</v>
      </c>
      <c r="F512" s="47"/>
    </row>
    <row r="513" spans="3:6">
      <c r="C513" s="47">
        <v>2010</v>
      </c>
      <c r="D513" s="76">
        <f ca="1">+SUMIF(A$340:D$459,C513,D$340:D$459)</f>
        <v>21436810618</v>
      </c>
      <c r="E513" s="76">
        <f ca="1">+SUMIF(A$340:Y$459,C513,Y$340:Y$459)</f>
        <v>333423870</v>
      </c>
      <c r="F513" s="47"/>
    </row>
    <row r="514" spans="3:6">
      <c r="C514" s="47">
        <v>2011</v>
      </c>
      <c r="D514" s="76">
        <f t="shared" ref="D514:D522" ca="1" si="22">+SUMIF(A$340:D$459,C514,D$340:D$459)</f>
        <v>21919890047</v>
      </c>
      <c r="E514" s="76">
        <f t="shared" ref="E514:E522" ca="1" si="23">+SUMIF(A$340:Y$459,C514,Y$340:Y$459)</f>
        <v>268094018</v>
      </c>
      <c r="F514" s="47"/>
    </row>
    <row r="515" spans="3:6">
      <c r="C515" s="47">
        <v>2012</v>
      </c>
      <c r="D515" s="76">
        <f t="shared" ca="1" si="22"/>
        <v>24140580845</v>
      </c>
      <c r="E515" s="76">
        <f t="shared" ca="1" si="23"/>
        <v>210091941</v>
      </c>
      <c r="F515" s="47"/>
    </row>
    <row r="516" spans="3:6">
      <c r="C516" s="47">
        <v>2013</v>
      </c>
      <c r="D516" s="76">
        <f t="shared" ca="1" si="22"/>
        <v>32093991331</v>
      </c>
      <c r="E516" s="76">
        <f t="shared" ca="1" si="23"/>
        <v>105381816</v>
      </c>
      <c r="F516" s="47"/>
    </row>
    <row r="517" spans="3:6">
      <c r="C517" s="47">
        <v>2014</v>
      </c>
      <c r="D517" s="76">
        <f t="shared" ca="1" si="22"/>
        <v>29407001112</v>
      </c>
      <c r="E517" s="76">
        <f t="shared" ca="1" si="23"/>
        <v>141729412</v>
      </c>
      <c r="F517" s="47"/>
    </row>
    <row r="518" spans="3:6">
      <c r="C518" s="47">
        <v>2015</v>
      </c>
      <c r="D518" s="76">
        <f t="shared" ca="1" si="22"/>
        <v>34720412279</v>
      </c>
      <c r="E518" s="76">
        <f t="shared" ca="1" si="23"/>
        <v>94031012</v>
      </c>
      <c r="F518" s="47"/>
    </row>
    <row r="519" spans="3:6">
      <c r="C519" s="47">
        <v>2016</v>
      </c>
      <c r="D519" s="76">
        <f t="shared" ca="1" si="22"/>
        <v>45460980028</v>
      </c>
      <c r="E519" s="76">
        <f t="shared" ca="1" si="23"/>
        <v>72949140</v>
      </c>
      <c r="F519" s="47"/>
    </row>
    <row r="520" spans="3:6">
      <c r="C520" s="47">
        <v>2017</v>
      </c>
      <c r="D520" s="76">
        <f t="shared" ca="1" si="22"/>
        <v>51080618343</v>
      </c>
      <c r="E520" s="76">
        <f t="shared" ca="1" si="23"/>
        <v>87972879</v>
      </c>
      <c r="F520" s="47"/>
    </row>
    <row r="521" spans="3:6">
      <c r="C521" s="47">
        <v>2018</v>
      </c>
      <c r="D521" s="76">
        <f t="shared" ca="1" si="22"/>
        <v>56316249752</v>
      </c>
      <c r="E521" s="76">
        <f t="shared" ca="1" si="23"/>
        <v>67047</v>
      </c>
      <c r="F521" s="76"/>
    </row>
    <row r="522" spans="3:6">
      <c r="C522" s="47">
        <v>2019</v>
      </c>
      <c r="D522" s="76">
        <f t="shared" ca="1" si="22"/>
        <v>58070979486</v>
      </c>
      <c r="E522" s="76">
        <f t="shared" ca="1" si="23"/>
        <v>10426</v>
      </c>
      <c r="F522" s="47"/>
    </row>
    <row r="523" spans="3:6">
      <c r="D523" s="47"/>
      <c r="E523" s="47"/>
      <c r="F523" s="47"/>
    </row>
    <row r="524" spans="3:6">
      <c r="D524" s="47"/>
      <c r="E524" s="47"/>
      <c r="F524" s="47"/>
    </row>
    <row r="525" spans="3:6">
      <c r="D525" s="47"/>
      <c r="E525" s="47"/>
      <c r="F525" s="47"/>
    </row>
    <row r="526" spans="3:6">
      <c r="D526" s="47"/>
      <c r="E526" s="47"/>
      <c r="F526" s="47"/>
    </row>
    <row r="527" spans="3:6">
      <c r="D527" s="47"/>
      <c r="E527" s="47"/>
      <c r="F527" s="47"/>
    </row>
    <row r="528" spans="3:6">
      <c r="C528" s="6" t="s">
        <v>83</v>
      </c>
      <c r="D528" s="47"/>
      <c r="E528" s="47"/>
      <c r="F528" s="47"/>
    </row>
    <row r="529" spans="3:6">
      <c r="C529" s="47">
        <v>2010</v>
      </c>
      <c r="D529" s="76">
        <v>21279615391</v>
      </c>
      <c r="E529" s="76">
        <v>490619097</v>
      </c>
      <c r="F529" s="47"/>
    </row>
    <row r="530" spans="3:6">
      <c r="C530" s="47">
        <v>2011</v>
      </c>
      <c r="D530" s="76">
        <v>21719215217</v>
      </c>
      <c r="E530" s="76">
        <v>468768848</v>
      </c>
      <c r="F530" s="47"/>
    </row>
    <row r="531" spans="3:6">
      <c r="C531" s="47">
        <v>2012</v>
      </c>
      <c r="D531" s="76">
        <v>23937012946</v>
      </c>
      <c r="E531" s="76">
        <v>413659840</v>
      </c>
      <c r="F531" s="47"/>
    </row>
    <row r="532" spans="3:6">
      <c r="C532" s="47">
        <v>2013</v>
      </c>
      <c r="D532" s="76">
        <v>31812082965</v>
      </c>
      <c r="E532" s="76">
        <v>387290182</v>
      </c>
      <c r="F532" s="47"/>
    </row>
    <row r="533" spans="3:6">
      <c r="C533" s="47">
        <v>2014</v>
      </c>
      <c r="D533" s="76">
        <v>29152427603</v>
      </c>
      <c r="E533" s="76">
        <v>396302921</v>
      </c>
      <c r="F533" s="47"/>
    </row>
    <row r="534" spans="3:6">
      <c r="C534" s="47">
        <v>2015</v>
      </c>
      <c r="D534" s="76">
        <v>34375148162</v>
      </c>
      <c r="E534" s="76">
        <v>439295129</v>
      </c>
      <c r="F534" s="47"/>
    </row>
    <row r="535" spans="3:6">
      <c r="C535" s="47">
        <v>2016</v>
      </c>
      <c r="D535" s="76">
        <v>45307965378</v>
      </c>
      <c r="E535" s="76">
        <v>72334423</v>
      </c>
      <c r="F535" s="47"/>
    </row>
    <row r="536" spans="3:6">
      <c r="C536" s="47">
        <v>2017</v>
      </c>
      <c r="D536" s="76">
        <v>50929092911</v>
      </c>
      <c r="E536" s="76">
        <v>239498311</v>
      </c>
      <c r="F536" s="47"/>
    </row>
    <row r="537" spans="3:6">
      <c r="C537" s="47">
        <v>2018</v>
      </c>
      <c r="D537" s="76">
        <v>56129621553</v>
      </c>
      <c r="E537" s="76">
        <v>196707595</v>
      </c>
      <c r="F537" s="77"/>
    </row>
    <row r="538" spans="3:6">
      <c r="C538" s="47">
        <v>2019</v>
      </c>
      <c r="D538" s="76">
        <v>58070979486</v>
      </c>
      <c r="E538" s="76">
        <v>10426</v>
      </c>
      <c r="F538" s="47"/>
    </row>
    <row r="539" spans="3:6">
      <c r="D539" s="47"/>
      <c r="E539" s="47"/>
      <c r="F539" s="47"/>
    </row>
    <row r="540" spans="3:6">
      <c r="D540" s="47"/>
      <c r="E540" s="47"/>
      <c r="F540" s="47"/>
    </row>
    <row r="541" spans="3:6">
      <c r="C541" s="47">
        <v>2010</v>
      </c>
      <c r="D541" s="77">
        <f t="shared" ref="D541:E550" ca="1" si="24">+D513-D529</f>
        <v>157195227</v>
      </c>
      <c r="E541" s="77">
        <f t="shared" ca="1" si="24"/>
        <v>-157195227</v>
      </c>
      <c r="F541" s="77">
        <f ca="1">+D541+E541</f>
        <v>0</v>
      </c>
    </row>
    <row r="542" spans="3:6">
      <c r="C542" s="47">
        <v>2011</v>
      </c>
      <c r="D542" s="77">
        <f t="shared" ca="1" si="24"/>
        <v>200674830</v>
      </c>
      <c r="E542" s="77">
        <f t="shared" ca="1" si="24"/>
        <v>-200674830</v>
      </c>
      <c r="F542" s="77">
        <f t="shared" ref="F542:F550" ca="1" si="25">+D542+E542</f>
        <v>0</v>
      </c>
    </row>
    <row r="543" spans="3:6">
      <c r="C543" s="47">
        <v>2012</v>
      </c>
      <c r="D543" s="77">
        <f t="shared" ca="1" si="24"/>
        <v>203567899</v>
      </c>
      <c r="E543" s="77">
        <f t="shared" ca="1" si="24"/>
        <v>-203567899</v>
      </c>
      <c r="F543" s="77">
        <f t="shared" ca="1" si="25"/>
        <v>0</v>
      </c>
    </row>
    <row r="544" spans="3:6">
      <c r="C544" s="47">
        <v>2013</v>
      </c>
      <c r="D544" s="77">
        <f t="shared" ca="1" si="24"/>
        <v>281908366</v>
      </c>
      <c r="E544" s="77">
        <f t="shared" ca="1" si="24"/>
        <v>-281908366</v>
      </c>
      <c r="F544" s="77">
        <f t="shared" ca="1" si="25"/>
        <v>0</v>
      </c>
    </row>
    <row r="545" spans="3:7">
      <c r="C545" s="47">
        <v>2014</v>
      </c>
      <c r="D545" s="77">
        <f t="shared" ca="1" si="24"/>
        <v>254573509</v>
      </c>
      <c r="E545" s="77">
        <f t="shared" ca="1" si="24"/>
        <v>-254573509</v>
      </c>
      <c r="F545" s="77">
        <f t="shared" ca="1" si="25"/>
        <v>0</v>
      </c>
    </row>
    <row r="546" spans="3:7">
      <c r="C546" s="47">
        <v>2015</v>
      </c>
      <c r="D546" s="77">
        <f t="shared" ca="1" si="24"/>
        <v>345264117</v>
      </c>
      <c r="E546" s="77">
        <f t="shared" ca="1" si="24"/>
        <v>-345264117</v>
      </c>
      <c r="F546" s="77">
        <f t="shared" ca="1" si="25"/>
        <v>0</v>
      </c>
    </row>
    <row r="547" spans="3:7">
      <c r="C547" s="47">
        <v>2016</v>
      </c>
      <c r="D547" s="77">
        <f t="shared" ca="1" si="24"/>
        <v>153014650</v>
      </c>
      <c r="E547" s="77">
        <f t="shared" ca="1" si="24"/>
        <v>614717</v>
      </c>
      <c r="F547" s="77">
        <f t="shared" ca="1" si="25"/>
        <v>153629367</v>
      </c>
      <c r="G547" s="6" t="s">
        <v>84</v>
      </c>
    </row>
    <row r="548" spans="3:7">
      <c r="C548" s="47">
        <v>2017</v>
      </c>
      <c r="D548" s="77">
        <f t="shared" ca="1" si="24"/>
        <v>151525432</v>
      </c>
      <c r="E548" s="77">
        <f t="shared" ca="1" si="24"/>
        <v>-151525432</v>
      </c>
      <c r="F548" s="77">
        <f t="shared" ca="1" si="25"/>
        <v>0</v>
      </c>
    </row>
    <row r="549" spans="3:7">
      <c r="C549" s="47">
        <v>2018</v>
      </c>
      <c r="D549" s="77">
        <f t="shared" ca="1" si="24"/>
        <v>186628199</v>
      </c>
      <c r="E549" s="77">
        <f t="shared" ca="1" si="24"/>
        <v>-196640548</v>
      </c>
      <c r="F549" s="77">
        <f t="shared" ca="1" si="25"/>
        <v>-10012349</v>
      </c>
    </row>
    <row r="550" spans="3:7">
      <c r="C550" s="47">
        <v>2019</v>
      </c>
      <c r="D550" s="77">
        <f t="shared" ca="1" si="24"/>
        <v>0</v>
      </c>
      <c r="E550" s="77">
        <f t="shared" ca="1" si="24"/>
        <v>0</v>
      </c>
      <c r="F550" s="77">
        <f t="shared" ca="1" si="25"/>
        <v>0</v>
      </c>
    </row>
    <row r="551" spans="3:7">
      <c r="D551" s="75"/>
      <c r="E551" s="75"/>
      <c r="F551" s="75"/>
    </row>
  </sheetData>
  <mergeCells count="3">
    <mergeCell ref="A1:A3"/>
    <mergeCell ref="B1:B3"/>
    <mergeCell ref="AP1:AR1"/>
  </mergeCells>
  <phoneticPr fontId="3" type="noConversion"/>
  <pageMargins left="0.74803149606299213" right="0.74803149606299213" top="0.98425196850393704" bottom="0.98425196850393704" header="0" footer="0"/>
  <pageSetup paperSize="9" scale="10" fitToWidth="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C1:I636"/>
  <sheetViews>
    <sheetView windowProtection="1" showGridLines="0" showRowColHeaders="0" tabSelected="1" workbookViewId="0">
      <selection activeCell="E6" sqref="E6:H6"/>
    </sheetView>
  </sheetViews>
  <sheetFormatPr baseColWidth="10" defaultColWidth="11.28515625" defaultRowHeight="12.75"/>
  <cols>
    <col min="1" max="2" width="11.28515625" style="24"/>
    <col min="3" max="3" width="11.28515625" style="19"/>
    <col min="4" max="4" width="12" style="19" customWidth="1"/>
    <col min="5" max="5" width="4.85546875" style="19" customWidth="1"/>
    <col min="6" max="6" width="14.7109375" style="19" customWidth="1"/>
    <col min="7" max="7" width="14.7109375" style="32" customWidth="1"/>
    <col min="8" max="8" width="14.7109375" style="19" customWidth="1"/>
    <col min="9" max="9" width="11.28515625" style="19"/>
    <col min="10" max="16384" width="11.28515625" style="24"/>
  </cols>
  <sheetData>
    <row r="1" spans="5:9">
      <c r="G1" s="19"/>
    </row>
    <row r="2" spans="5:9">
      <c r="G2" s="19"/>
    </row>
    <row r="3" spans="5:9">
      <c r="G3" s="19"/>
    </row>
    <row r="4" spans="5:9">
      <c r="G4" s="19"/>
    </row>
    <row r="5" spans="5:9" ht="13.5" thickBot="1">
      <c r="G5" s="19"/>
    </row>
    <row r="6" spans="5:9" ht="24.75" customHeight="1" thickBot="1">
      <c r="E6" s="89" t="s">
        <v>33</v>
      </c>
      <c r="F6" s="90"/>
      <c r="G6" s="90"/>
      <c r="H6" s="91"/>
    </row>
    <row r="7" spans="5:9">
      <c r="G7" s="19"/>
    </row>
    <row r="8" spans="5:9">
      <c r="G8" s="19"/>
    </row>
    <row r="9" spans="5:9">
      <c r="E9" s="92" t="s">
        <v>28</v>
      </c>
      <c r="F9" s="92"/>
      <c r="G9" s="92"/>
    </row>
    <row r="10" spans="5:9">
      <c r="E10" s="93" t="str">
        <f>HLOOKUP(E6,Series!C1:AO2,2,0)</f>
        <v>Inicio serie</v>
      </c>
      <c r="F10" s="93"/>
      <c r="G10" s="93"/>
    </row>
    <row r="11" spans="5:9">
      <c r="E11" s="93" t="s">
        <v>29</v>
      </c>
      <c r="F11" s="93"/>
      <c r="G11" s="93"/>
    </row>
    <row r="12" spans="5:9">
      <c r="E12" s="20"/>
      <c r="F12" s="20" t="str">
        <f>IF(AND(E6&lt;&gt;"SELECCIONE IMPUESTO",HLOOKUP(E6,Series!C1:AO3,3,0)&lt;&gt;""),"Ver nota al final","")</f>
        <v/>
      </c>
      <c r="G12" s="20"/>
    </row>
    <row r="13" spans="5:9">
      <c r="E13" s="20"/>
      <c r="G13" s="20"/>
    </row>
    <row r="14" spans="5:9">
      <c r="E14" s="20"/>
      <c r="F14" s="22" t="s">
        <v>77</v>
      </c>
      <c r="G14" s="21" t="s">
        <v>32</v>
      </c>
    </row>
    <row r="15" spans="5:9">
      <c r="E15" s="20"/>
      <c r="F15" s="65">
        <f>+Series!C4</f>
        <v>29952</v>
      </c>
      <c r="G15" s="30" t="str">
        <f>IF($E$6="seleccione impuesto"," - ",HLOOKUP($E$6,Series!$C$1:$AO$338, 4,0))</f>
        <v xml:space="preserve"> - </v>
      </c>
      <c r="H15" s="30"/>
      <c r="I15" s="23"/>
    </row>
    <row r="16" spans="5:9">
      <c r="E16" s="20"/>
      <c r="F16" s="65">
        <f>+Series!C5</f>
        <v>29983</v>
      </c>
      <c r="G16" s="30" t="str">
        <f>IF($E$6="seleccione impuesto"," - ",HLOOKUP($E$6,Series!$C$1:$AO$338, 5,0))</f>
        <v xml:space="preserve"> - </v>
      </c>
      <c r="H16" s="23"/>
      <c r="I16" s="23"/>
    </row>
    <row r="17" spans="5:9">
      <c r="E17" s="20"/>
      <c r="F17" s="65">
        <f>+Series!C6</f>
        <v>30011</v>
      </c>
      <c r="G17" s="30" t="str">
        <f>IF($E$6="seleccione impuesto"," - ",HLOOKUP($E$6,Series!$C$1:$AO$338, 6,0))</f>
        <v xml:space="preserve"> - </v>
      </c>
      <c r="H17" s="23"/>
      <c r="I17" s="23"/>
    </row>
    <row r="18" spans="5:9">
      <c r="E18" s="20"/>
      <c r="F18" s="65">
        <f>+Series!C7</f>
        <v>30042</v>
      </c>
      <c r="G18" s="30" t="str">
        <f>IF($E$6="seleccione impuesto"," - ",HLOOKUP($E$6,Series!$C$1:$AO$338, 7,0))</f>
        <v xml:space="preserve"> - </v>
      </c>
      <c r="H18" s="23"/>
    </row>
    <row r="19" spans="5:9">
      <c r="E19" s="20"/>
      <c r="F19" s="65">
        <f>+Series!C8</f>
        <v>30072</v>
      </c>
      <c r="G19" s="30" t="str">
        <f>IF($E$6="seleccione impuesto"," - ",HLOOKUP($E$6,Series!$C$1:$AO$338, 8,0))</f>
        <v xml:space="preserve"> - </v>
      </c>
      <c r="H19" s="23"/>
    </row>
    <row r="20" spans="5:9">
      <c r="E20" s="20"/>
      <c r="F20" s="65">
        <f>+Series!C9</f>
        <v>30103</v>
      </c>
      <c r="G20" s="30" t="str">
        <f>IF($E$6="seleccione impuesto"," - ",HLOOKUP($E$6,Series!$C$1:$AO$338, 9,0))</f>
        <v xml:space="preserve"> - </v>
      </c>
      <c r="H20" s="23"/>
    </row>
    <row r="21" spans="5:9">
      <c r="E21" s="20"/>
      <c r="F21" s="65">
        <f>+Series!C10</f>
        <v>30133</v>
      </c>
      <c r="G21" s="30" t="str">
        <f>IF($E$6="seleccione impuesto"," - ",HLOOKUP($E$6,Series!$C$1:$AO$338, 10,0))</f>
        <v xml:space="preserve"> - </v>
      </c>
      <c r="H21" s="23"/>
    </row>
    <row r="22" spans="5:9">
      <c r="E22" s="20"/>
      <c r="F22" s="65">
        <f>+Series!C11</f>
        <v>30164</v>
      </c>
      <c r="G22" s="30" t="str">
        <f>IF($E$6="seleccione impuesto"," - ",HLOOKUP($E$6,Series!$C$1:$AO$338, 11,0))</f>
        <v xml:space="preserve"> - </v>
      </c>
      <c r="H22" s="23"/>
    </row>
    <row r="23" spans="5:9">
      <c r="E23" s="20"/>
      <c r="F23" s="65">
        <f>+Series!C12</f>
        <v>30195</v>
      </c>
      <c r="G23" s="30" t="str">
        <f>IF($E$6="seleccione impuesto"," - ",HLOOKUP($E$6,Series!$C$1:$AO$338, 12,0))</f>
        <v xml:space="preserve"> - </v>
      </c>
      <c r="H23" s="23"/>
    </row>
    <row r="24" spans="5:9">
      <c r="E24" s="20"/>
      <c r="F24" s="65">
        <f>+Series!C13</f>
        <v>30225</v>
      </c>
      <c r="G24" s="30" t="str">
        <f>IF($E$6="seleccione impuesto"," - ",HLOOKUP($E$6,Series!$C$1:$AO$338, 13,0))</f>
        <v xml:space="preserve"> - </v>
      </c>
      <c r="H24" s="23"/>
    </row>
    <row r="25" spans="5:9">
      <c r="E25" s="20"/>
      <c r="F25" s="65">
        <f>+Series!C14</f>
        <v>30256</v>
      </c>
      <c r="G25" s="30" t="str">
        <f>IF($E$6="seleccione impuesto"," - ",HLOOKUP($E$6,Series!$C$1:$AO$338, 14,0))</f>
        <v xml:space="preserve"> - </v>
      </c>
      <c r="H25" s="23"/>
    </row>
    <row r="26" spans="5:9">
      <c r="E26" s="20"/>
      <c r="F26" s="65">
        <f>+Series!C15</f>
        <v>30286</v>
      </c>
      <c r="G26" s="30" t="str">
        <f>IF($E$6="seleccione impuesto"," - ",HLOOKUP($E$6,Series!$C$1:$AO$338, 15,0))</f>
        <v xml:space="preserve"> - </v>
      </c>
      <c r="H26" s="23"/>
    </row>
    <row r="27" spans="5:9">
      <c r="E27" s="20"/>
      <c r="F27" s="65">
        <f>+Series!C16</f>
        <v>30317</v>
      </c>
      <c r="G27" s="30" t="str">
        <f>IF($E$6="seleccione impuesto"," - ",HLOOKUP($E$6,Series!$C$1:$AO$338, 16,0))</f>
        <v xml:space="preserve"> - </v>
      </c>
      <c r="H27" s="23"/>
    </row>
    <row r="28" spans="5:9">
      <c r="E28" s="20"/>
      <c r="F28" s="65">
        <f>+Series!C17</f>
        <v>30348</v>
      </c>
      <c r="G28" s="30" t="str">
        <f>IF($E$6="seleccione impuesto"," - ",HLOOKUP($E$6,Series!$C$1:$AO$338, 17,0))</f>
        <v xml:space="preserve"> - </v>
      </c>
      <c r="H28" s="23"/>
    </row>
    <row r="29" spans="5:9">
      <c r="E29" s="20"/>
      <c r="F29" s="65">
        <f>+Series!C18</f>
        <v>30376</v>
      </c>
      <c r="G29" s="30" t="str">
        <f>IF($E$6="seleccione impuesto"," - ",HLOOKUP($E$6,Series!$C$1:$AO$338, 18,0))</f>
        <v xml:space="preserve"> - </v>
      </c>
      <c r="H29" s="23"/>
    </row>
    <row r="30" spans="5:9">
      <c r="E30" s="20"/>
      <c r="F30" s="65">
        <f>+Series!C19</f>
        <v>30407</v>
      </c>
      <c r="G30" s="30" t="str">
        <f>IF($E$6="seleccione impuesto"," - ",HLOOKUP($E$6,Series!$C$1:$AO$338, 19,0))</f>
        <v xml:space="preserve"> - </v>
      </c>
      <c r="H30" s="23"/>
    </row>
    <row r="31" spans="5:9">
      <c r="E31" s="20"/>
      <c r="F31" s="65">
        <f>+Series!C20</f>
        <v>30437</v>
      </c>
      <c r="G31" s="30" t="str">
        <f>IF($E$6="seleccione impuesto"," - ",HLOOKUP($E$6,Series!$C$1:$AO$338, 20,0))</f>
        <v xml:space="preserve"> - </v>
      </c>
      <c r="H31" s="23"/>
    </row>
    <row r="32" spans="5:9">
      <c r="E32" s="20"/>
      <c r="F32" s="65">
        <f>+Series!C21</f>
        <v>30468</v>
      </c>
      <c r="G32" s="30" t="str">
        <f>IF($E$6="seleccione impuesto"," - ",HLOOKUP($E$6,Series!$C$1:$AO$338, 21,0))</f>
        <v xml:space="preserve"> - </v>
      </c>
      <c r="H32" s="23"/>
    </row>
    <row r="33" spans="5:8">
      <c r="E33" s="20"/>
      <c r="F33" s="65">
        <f>+Series!C22</f>
        <v>30498</v>
      </c>
      <c r="G33" s="30" t="str">
        <f>IF($E$6="seleccione impuesto"," - ",HLOOKUP($E$6,Series!$C$1:$AO$338, 22,0))</f>
        <v xml:space="preserve"> - </v>
      </c>
      <c r="H33" s="23"/>
    </row>
    <row r="34" spans="5:8">
      <c r="E34" s="20"/>
      <c r="F34" s="65">
        <f>+Series!C23</f>
        <v>30529</v>
      </c>
      <c r="G34" s="30" t="str">
        <f>IF($E$6="seleccione impuesto"," - ",HLOOKUP($E$6,Series!$C$1:$AO$338, 23,0))</f>
        <v xml:space="preserve"> - </v>
      </c>
      <c r="H34" s="23"/>
    </row>
    <row r="35" spans="5:8">
      <c r="E35" s="20"/>
      <c r="F35" s="65">
        <f>+Series!C24</f>
        <v>30560</v>
      </c>
      <c r="G35" s="30" t="str">
        <f>IF($E$6="seleccione impuesto"," - ",HLOOKUP($E$6,Series!$C$1:$AO$338, 24,0))</f>
        <v xml:space="preserve"> - </v>
      </c>
      <c r="H35" s="23"/>
    </row>
    <row r="36" spans="5:8">
      <c r="E36" s="20"/>
      <c r="F36" s="65">
        <f>+Series!C25</f>
        <v>30590</v>
      </c>
      <c r="G36" s="30" t="str">
        <f>IF($E$6="seleccione impuesto"," - ",HLOOKUP($E$6,Series!$C$1:$AO$338, 25,0))</f>
        <v xml:space="preserve"> - </v>
      </c>
      <c r="H36" s="23"/>
    </row>
    <row r="37" spans="5:8">
      <c r="E37" s="20"/>
      <c r="F37" s="65">
        <f>+Series!C26</f>
        <v>30621</v>
      </c>
      <c r="G37" s="30" t="str">
        <f>IF($E$6="seleccione impuesto"," - ",HLOOKUP($E$6,Series!$C$1:$AO$338, 26,0))</f>
        <v xml:space="preserve"> - </v>
      </c>
      <c r="H37" s="23"/>
    </row>
    <row r="38" spans="5:8">
      <c r="E38" s="20"/>
      <c r="F38" s="65">
        <f>+Series!C27</f>
        <v>30651</v>
      </c>
      <c r="G38" s="30" t="str">
        <f>IF($E$6="seleccione impuesto"," - ",HLOOKUP($E$6,Series!$C$1:$AO$338, 27,0))</f>
        <v xml:space="preserve"> - </v>
      </c>
      <c r="H38" s="23"/>
    </row>
    <row r="39" spans="5:8">
      <c r="E39" s="20"/>
      <c r="F39" s="65">
        <f>+Series!C28</f>
        <v>30682</v>
      </c>
      <c r="G39" s="30" t="str">
        <f>IF($E$6="seleccione impuesto"," - ",HLOOKUP($E$6,Series!$C$1:$AO$338, 28,0))</f>
        <v xml:space="preserve"> - </v>
      </c>
      <c r="H39" s="23"/>
    </row>
    <row r="40" spans="5:8">
      <c r="E40" s="20"/>
      <c r="F40" s="65">
        <f>+Series!C29</f>
        <v>30713</v>
      </c>
      <c r="G40" s="30" t="str">
        <f>IF($E$6="seleccione impuesto"," - ",HLOOKUP($E$6,Series!$C$1:$AO$338, 29,0))</f>
        <v xml:space="preserve"> - </v>
      </c>
      <c r="H40" s="23"/>
    </row>
    <row r="41" spans="5:8">
      <c r="E41" s="20"/>
      <c r="F41" s="65">
        <f>+Series!C30</f>
        <v>30742</v>
      </c>
      <c r="G41" s="30" t="str">
        <f>IF($E$6="seleccione impuesto"," - ",HLOOKUP($E$6,Series!$C$1:$AO$338, 30,0))</f>
        <v xml:space="preserve"> - </v>
      </c>
      <c r="H41" s="23"/>
    </row>
    <row r="42" spans="5:8">
      <c r="E42" s="20"/>
      <c r="F42" s="65">
        <f>+Series!C31</f>
        <v>30773</v>
      </c>
      <c r="G42" s="30" t="str">
        <f>IF($E$6="seleccione impuesto"," - ",HLOOKUP($E$6,Series!$C$1:$AO$338, 31,0))</f>
        <v xml:space="preserve"> - </v>
      </c>
      <c r="H42" s="23"/>
    </row>
    <row r="43" spans="5:8">
      <c r="E43" s="20"/>
      <c r="F43" s="65">
        <f>+Series!C32</f>
        <v>30803</v>
      </c>
      <c r="G43" s="30" t="str">
        <f>IF($E$6="seleccione impuesto"," - ",HLOOKUP($E$6,Series!$C$1:$AO$338, 32,0))</f>
        <v xml:space="preserve"> - </v>
      </c>
      <c r="H43" s="23"/>
    </row>
    <row r="44" spans="5:8">
      <c r="E44" s="20"/>
      <c r="F44" s="65">
        <f>+Series!C33</f>
        <v>30834</v>
      </c>
      <c r="G44" s="30" t="str">
        <f>IF($E$6="seleccione impuesto"," - ",HLOOKUP($E$6,Series!$C$1:$AO$338, 33,0))</f>
        <v xml:space="preserve"> - </v>
      </c>
      <c r="H44" s="23"/>
    </row>
    <row r="45" spans="5:8">
      <c r="E45" s="20"/>
      <c r="F45" s="65">
        <f>+Series!C34</f>
        <v>30864</v>
      </c>
      <c r="G45" s="30" t="str">
        <f>IF($E$6="seleccione impuesto"," - ",HLOOKUP($E$6,Series!$C$1:$AO$338, 34,0))</f>
        <v xml:space="preserve"> - </v>
      </c>
      <c r="H45" s="23"/>
    </row>
    <row r="46" spans="5:8">
      <c r="E46" s="20"/>
      <c r="F46" s="65">
        <f>+Series!C35</f>
        <v>30895</v>
      </c>
      <c r="G46" s="30" t="str">
        <f>IF($E$6="seleccione impuesto"," - ",HLOOKUP($E$6,Series!$C$1:$AO$338, 35,0))</f>
        <v xml:space="preserve"> - </v>
      </c>
      <c r="H46" s="23"/>
    </row>
    <row r="47" spans="5:8">
      <c r="E47" s="20"/>
      <c r="F47" s="65">
        <f>+Series!C36</f>
        <v>30926</v>
      </c>
      <c r="G47" s="30" t="str">
        <f>IF($E$6="seleccione impuesto"," - ",HLOOKUP($E$6,Series!$C$1:$AO$338, 36,0))</f>
        <v xml:space="preserve"> - </v>
      </c>
      <c r="H47" s="23"/>
    </row>
    <row r="48" spans="5:8">
      <c r="E48" s="20"/>
      <c r="F48" s="65">
        <f>+Series!C37</f>
        <v>30956</v>
      </c>
      <c r="G48" s="30" t="str">
        <f>IF($E$6="seleccione impuesto"," - ",HLOOKUP($E$6,Series!$C$1:$AO$338, 37,0))</f>
        <v xml:space="preserve"> - </v>
      </c>
      <c r="H48" s="23"/>
    </row>
    <row r="49" spans="5:8">
      <c r="E49" s="20"/>
      <c r="F49" s="65">
        <f>+Series!C38</f>
        <v>30987</v>
      </c>
      <c r="G49" s="30" t="str">
        <f>IF($E$6="seleccione impuesto"," - ",HLOOKUP($E$6,Series!$C$1:$AO$338, 38,0))</f>
        <v xml:space="preserve"> - </v>
      </c>
      <c r="H49" s="23"/>
    </row>
    <row r="50" spans="5:8">
      <c r="E50" s="20"/>
      <c r="F50" s="65">
        <f>+Series!C39</f>
        <v>31017</v>
      </c>
      <c r="G50" s="30" t="str">
        <f>IF($E$6="seleccione impuesto"," - ",HLOOKUP($E$6,Series!$C$1:$AO$338, 39,0))</f>
        <v xml:space="preserve"> - </v>
      </c>
      <c r="H50" s="23"/>
    </row>
    <row r="51" spans="5:8">
      <c r="E51" s="20"/>
      <c r="F51" s="65">
        <f>+Series!C40</f>
        <v>31048</v>
      </c>
      <c r="G51" s="30" t="str">
        <f>IF($E$6="seleccione impuesto"," - ",HLOOKUP($E$6,Series!$C$1:$AO$338, 40,0))</f>
        <v xml:space="preserve"> - </v>
      </c>
      <c r="H51" s="23"/>
    </row>
    <row r="52" spans="5:8">
      <c r="E52" s="20"/>
      <c r="F52" s="65">
        <f>+Series!C41</f>
        <v>31079</v>
      </c>
      <c r="G52" s="30" t="str">
        <f>IF($E$6="seleccione impuesto"," - ",HLOOKUP($E$6,Series!$C$1:$AO$338, 41,0))</f>
        <v xml:space="preserve"> - </v>
      </c>
      <c r="H52" s="23"/>
    </row>
    <row r="53" spans="5:8">
      <c r="E53" s="20"/>
      <c r="F53" s="65">
        <f>+Series!C42</f>
        <v>31107</v>
      </c>
      <c r="G53" s="30" t="str">
        <f>IF($E$6="seleccione impuesto"," - ",HLOOKUP($E$6,Series!$C$1:$AO$338, 42,0))</f>
        <v xml:space="preserve"> - </v>
      </c>
      <c r="H53" s="23"/>
    </row>
    <row r="54" spans="5:8">
      <c r="E54" s="20"/>
      <c r="F54" s="65">
        <f>+Series!C43</f>
        <v>31138</v>
      </c>
      <c r="G54" s="30" t="str">
        <f>IF($E$6="seleccione impuesto"," - ",HLOOKUP($E$6,Series!$C$1:$AO$338, 43,0))</f>
        <v xml:space="preserve"> - </v>
      </c>
      <c r="H54" s="23"/>
    </row>
    <row r="55" spans="5:8">
      <c r="E55" s="20"/>
      <c r="F55" s="65">
        <f>+Series!C44</f>
        <v>31168</v>
      </c>
      <c r="G55" s="30" t="str">
        <f>IF($E$6="seleccione impuesto"," - ",HLOOKUP($E$6,Series!$C$1:$AO$338, 44,0))</f>
        <v xml:space="preserve"> - </v>
      </c>
      <c r="H55" s="23"/>
    </row>
    <row r="56" spans="5:8">
      <c r="E56" s="20"/>
      <c r="F56" s="65">
        <f>+Series!C45</f>
        <v>31199</v>
      </c>
      <c r="G56" s="30" t="str">
        <f>IF($E$6="seleccione impuesto"," - ",HLOOKUP($E$6,Series!$C$1:$AO$338, 45,0))</f>
        <v xml:space="preserve"> - </v>
      </c>
      <c r="H56" s="23"/>
    </row>
    <row r="57" spans="5:8">
      <c r="E57" s="20"/>
      <c r="F57" s="65">
        <f>+Series!C46</f>
        <v>31229</v>
      </c>
      <c r="G57" s="30" t="str">
        <f>IF($E$6="seleccione impuesto"," - ",HLOOKUP($E$6,Series!$C$1:$AO$338, 46,0))</f>
        <v xml:space="preserve"> - </v>
      </c>
      <c r="H57" s="23"/>
    </row>
    <row r="58" spans="5:8">
      <c r="E58" s="20"/>
      <c r="F58" s="65">
        <f>+Series!C47</f>
        <v>31260</v>
      </c>
      <c r="G58" s="30" t="str">
        <f>IF($E$6="seleccione impuesto"," - ",HLOOKUP($E$6,Series!$C$1:$AO$338, 47,0))</f>
        <v xml:space="preserve"> - </v>
      </c>
      <c r="H58" s="23"/>
    </row>
    <row r="59" spans="5:8">
      <c r="E59" s="20"/>
      <c r="F59" s="65">
        <f>+Series!C48</f>
        <v>31291</v>
      </c>
      <c r="G59" s="30" t="str">
        <f>IF($E$6="seleccione impuesto"," - ",HLOOKUP($E$6,Series!$C$1:$AO$338, 48,0))</f>
        <v xml:space="preserve"> - </v>
      </c>
      <c r="H59" s="23"/>
    </row>
    <row r="60" spans="5:8">
      <c r="E60" s="20"/>
      <c r="F60" s="65">
        <f>+Series!C49</f>
        <v>31321</v>
      </c>
      <c r="G60" s="30" t="str">
        <f>IF($E$6="seleccione impuesto"," - ",HLOOKUP($E$6,Series!$C$1:$AO$338, 49,0))</f>
        <v xml:space="preserve"> - </v>
      </c>
      <c r="H60" s="23"/>
    </row>
    <row r="61" spans="5:8">
      <c r="E61" s="20"/>
      <c r="F61" s="65">
        <f>+Series!C50</f>
        <v>31352</v>
      </c>
      <c r="G61" s="30" t="str">
        <f>IF($E$6="seleccione impuesto"," - ",HLOOKUP($E$6,Series!$C$1:$AO$338, 50,0))</f>
        <v xml:space="preserve"> - </v>
      </c>
      <c r="H61" s="23"/>
    </row>
    <row r="62" spans="5:8">
      <c r="E62" s="20"/>
      <c r="F62" s="65">
        <f>+Series!C51</f>
        <v>31382</v>
      </c>
      <c r="G62" s="30" t="str">
        <f>IF($E$6="seleccione impuesto"," - ",HLOOKUP($E$6,Series!$C$1:$AO$338, 51,0))</f>
        <v xml:space="preserve"> - </v>
      </c>
      <c r="H62" s="23"/>
    </row>
    <row r="63" spans="5:8">
      <c r="E63" s="20"/>
      <c r="F63" s="65">
        <f>+Series!C52</f>
        <v>31413</v>
      </c>
      <c r="G63" s="30" t="str">
        <f>IF($E$6="seleccione impuesto"," - ",HLOOKUP($E$6,Series!$C$1:$AO$338, 52,0))</f>
        <v xml:space="preserve"> - </v>
      </c>
      <c r="H63" s="23"/>
    </row>
    <row r="64" spans="5:8">
      <c r="E64" s="20"/>
      <c r="F64" s="65">
        <f>+Series!C53</f>
        <v>31444</v>
      </c>
      <c r="G64" s="30" t="str">
        <f>IF($E$6="seleccione impuesto"," - ",HLOOKUP($E$6,Series!$C$1:$AO$338, 53,0))</f>
        <v xml:space="preserve"> - </v>
      </c>
      <c r="H64" s="23"/>
    </row>
    <row r="65" spans="5:8">
      <c r="E65" s="20"/>
      <c r="F65" s="65">
        <f>+Series!C54</f>
        <v>31472</v>
      </c>
      <c r="G65" s="30" t="str">
        <f>IF($E$6="seleccione impuesto"," - ",HLOOKUP($E$6,Series!$C$1:$AO$338, 54,0))</f>
        <v xml:space="preserve"> - </v>
      </c>
      <c r="H65" s="23"/>
    </row>
    <row r="66" spans="5:8">
      <c r="E66" s="20"/>
      <c r="F66" s="65">
        <f>+Series!C55</f>
        <v>31503</v>
      </c>
      <c r="G66" s="30" t="str">
        <f>IF($E$6="seleccione impuesto"," - ",HLOOKUP($E$6,Series!$C$1:$AO$338, 55,0))</f>
        <v xml:space="preserve"> - </v>
      </c>
      <c r="H66" s="23"/>
    </row>
    <row r="67" spans="5:8">
      <c r="E67" s="20"/>
      <c r="F67" s="65">
        <f>+Series!C56</f>
        <v>31533</v>
      </c>
      <c r="G67" s="30" t="str">
        <f>IF($E$6="seleccione impuesto"," - ",HLOOKUP($E$6,Series!$C$1:$AO$338, 56,0))</f>
        <v xml:space="preserve"> - </v>
      </c>
      <c r="H67" s="23"/>
    </row>
    <row r="68" spans="5:8">
      <c r="E68" s="20"/>
      <c r="F68" s="65">
        <f>+Series!C57</f>
        <v>31564</v>
      </c>
      <c r="G68" s="30" t="str">
        <f>IF($E$6="seleccione impuesto"," - ",HLOOKUP($E$6,Series!$C$1:$AO$338, 57,0))</f>
        <v xml:space="preserve"> - </v>
      </c>
      <c r="H68" s="23"/>
    </row>
    <row r="69" spans="5:8">
      <c r="E69" s="20"/>
      <c r="F69" s="65">
        <f>+Series!C58</f>
        <v>31594</v>
      </c>
      <c r="G69" s="30" t="str">
        <f>IF($E$6="seleccione impuesto"," - ",HLOOKUP($E$6,Series!$C$1:$AO$338, 58,0))</f>
        <v xml:space="preserve"> - </v>
      </c>
      <c r="H69" s="23"/>
    </row>
    <row r="70" spans="5:8">
      <c r="E70" s="20"/>
      <c r="F70" s="65">
        <f>+Series!C59</f>
        <v>31625</v>
      </c>
      <c r="G70" s="30" t="str">
        <f>IF($E$6="seleccione impuesto"," - ",HLOOKUP($E$6,Series!$C$1:$AO$338, 59,0))</f>
        <v xml:space="preserve"> - </v>
      </c>
      <c r="H70" s="23"/>
    </row>
    <row r="71" spans="5:8">
      <c r="E71" s="20"/>
      <c r="F71" s="65">
        <f>+Series!C60</f>
        <v>31656</v>
      </c>
      <c r="G71" s="30" t="str">
        <f>IF($E$6="seleccione impuesto"," - ",HLOOKUP($E$6,Series!$C$1:$AO$338, 60,0))</f>
        <v xml:space="preserve"> - </v>
      </c>
      <c r="H71" s="23"/>
    </row>
    <row r="72" spans="5:8">
      <c r="E72" s="20"/>
      <c r="F72" s="65">
        <f>+Series!C61</f>
        <v>31686</v>
      </c>
      <c r="G72" s="30" t="str">
        <f>IF($E$6="seleccione impuesto"," - ",HLOOKUP($E$6,Series!$C$1:$AO$338, 61,0))</f>
        <v xml:space="preserve"> - </v>
      </c>
      <c r="H72" s="23"/>
    </row>
    <row r="73" spans="5:8">
      <c r="E73" s="20"/>
      <c r="F73" s="65">
        <f>+Series!C62</f>
        <v>31717</v>
      </c>
      <c r="G73" s="30" t="str">
        <f>IF($E$6="seleccione impuesto"," - ",HLOOKUP($E$6,Series!$C$1:$AO$338, 62,0))</f>
        <v xml:space="preserve"> - </v>
      </c>
      <c r="H73" s="23"/>
    </row>
    <row r="74" spans="5:8">
      <c r="E74" s="20"/>
      <c r="F74" s="65">
        <f>+Series!C63</f>
        <v>31747</v>
      </c>
      <c r="G74" s="30" t="str">
        <f>IF($E$6="seleccione impuesto"," - ",HLOOKUP($E$6,Series!$C$1:$AO$338, 63,0))</f>
        <v xml:space="preserve"> - </v>
      </c>
      <c r="H74" s="23"/>
    </row>
    <row r="75" spans="5:8">
      <c r="E75" s="20"/>
      <c r="F75" s="65">
        <f>+Series!C64</f>
        <v>31778</v>
      </c>
      <c r="G75" s="30" t="str">
        <f>IF($E$6="seleccione impuesto"," - ",HLOOKUP($E$6,Series!$C$1:$AO$338, 64,0))</f>
        <v xml:space="preserve"> - </v>
      </c>
      <c r="H75" s="23"/>
    </row>
    <row r="76" spans="5:8">
      <c r="E76" s="20"/>
      <c r="F76" s="65">
        <f>+Series!C65</f>
        <v>31809</v>
      </c>
      <c r="G76" s="30" t="str">
        <f>IF($E$6="seleccione impuesto"," - ",HLOOKUP($E$6,Series!$C$1:$AO$338, 65,0))</f>
        <v xml:space="preserve"> - </v>
      </c>
      <c r="H76" s="23"/>
    </row>
    <row r="77" spans="5:8">
      <c r="E77" s="20"/>
      <c r="F77" s="65">
        <f>+Series!C66</f>
        <v>31837</v>
      </c>
      <c r="G77" s="30" t="str">
        <f>IF($E$6="seleccione impuesto"," - ",HLOOKUP($E$6,Series!$C$1:$AO$338, 66,0))</f>
        <v xml:space="preserve"> - </v>
      </c>
      <c r="H77" s="23"/>
    </row>
    <row r="78" spans="5:8">
      <c r="E78" s="20"/>
      <c r="F78" s="65">
        <f>+Series!C67</f>
        <v>31868</v>
      </c>
      <c r="G78" s="30" t="str">
        <f>IF($E$6="seleccione impuesto"," - ",HLOOKUP($E$6,Series!$C$1:$AO$338, 67,0))</f>
        <v xml:space="preserve"> - </v>
      </c>
      <c r="H78" s="23"/>
    </row>
    <row r="79" spans="5:8">
      <c r="E79" s="20"/>
      <c r="F79" s="65">
        <f>+Series!C68</f>
        <v>31898</v>
      </c>
      <c r="G79" s="30" t="str">
        <f>IF($E$6="seleccione impuesto"," - ",HLOOKUP($E$6,Series!$C$1:$AO$338, 68,0))</f>
        <v xml:space="preserve"> - </v>
      </c>
      <c r="H79" s="23"/>
    </row>
    <row r="80" spans="5:8">
      <c r="E80" s="20"/>
      <c r="F80" s="65">
        <f>+Series!C69</f>
        <v>31929</v>
      </c>
      <c r="G80" s="30" t="str">
        <f>IF($E$6="seleccione impuesto"," - ",HLOOKUP($E$6,Series!$C$1:$AO$338, 69,0))</f>
        <v xml:space="preserve"> - </v>
      </c>
      <c r="H80" s="23"/>
    </row>
    <row r="81" spans="5:8">
      <c r="E81" s="20"/>
      <c r="F81" s="65">
        <f>+Series!C70</f>
        <v>31959</v>
      </c>
      <c r="G81" s="30" t="str">
        <f>IF($E$6="seleccione impuesto"," - ",HLOOKUP($E$6,Series!$C$1:$AO$338, 70,0))</f>
        <v xml:space="preserve"> - </v>
      </c>
      <c r="H81" s="23"/>
    </row>
    <row r="82" spans="5:8">
      <c r="E82" s="20"/>
      <c r="F82" s="65">
        <f>+Series!C71</f>
        <v>31990</v>
      </c>
      <c r="G82" s="30" t="str">
        <f>IF($E$6="seleccione impuesto"," - ",HLOOKUP($E$6,Series!$C$1:$AO$338, 71,0))</f>
        <v xml:space="preserve"> - </v>
      </c>
      <c r="H82" s="23"/>
    </row>
    <row r="83" spans="5:8">
      <c r="E83" s="20"/>
      <c r="F83" s="65">
        <f>+Series!C72</f>
        <v>32021</v>
      </c>
      <c r="G83" s="30" t="str">
        <f>IF($E$6="seleccione impuesto"," - ",HLOOKUP($E$6,Series!$C$1:$AO$338, 72,0))</f>
        <v xml:space="preserve"> - </v>
      </c>
      <c r="H83" s="23"/>
    </row>
    <row r="84" spans="5:8">
      <c r="E84" s="20"/>
      <c r="F84" s="65">
        <f>+Series!C73</f>
        <v>32051</v>
      </c>
      <c r="G84" s="30" t="str">
        <f>IF($E$6="seleccione impuesto"," - ",HLOOKUP($E$6,Series!$C$1:$AO$338, 73,0))</f>
        <v xml:space="preserve"> - </v>
      </c>
      <c r="H84" s="23"/>
    </row>
    <row r="85" spans="5:8">
      <c r="E85" s="20"/>
      <c r="F85" s="65">
        <f>+Series!C74</f>
        <v>32082</v>
      </c>
      <c r="G85" s="30" t="str">
        <f>IF($E$6="seleccione impuesto"," - ",HLOOKUP($E$6,Series!$C$1:$AO$338, 74,0))</f>
        <v xml:space="preserve"> - </v>
      </c>
      <c r="H85" s="23"/>
    </row>
    <row r="86" spans="5:8">
      <c r="E86" s="20"/>
      <c r="F86" s="65">
        <f>+Series!C75</f>
        <v>32112</v>
      </c>
      <c r="G86" s="30" t="str">
        <f>IF($E$6="seleccione impuesto"," - ",HLOOKUP($E$6,Series!$C$1:$AO$338, 75,0))</f>
        <v xml:space="preserve"> - </v>
      </c>
      <c r="H86" s="23"/>
    </row>
    <row r="87" spans="5:8">
      <c r="E87" s="20"/>
      <c r="F87" s="65">
        <f>+Series!C76</f>
        <v>32143</v>
      </c>
      <c r="G87" s="30" t="str">
        <f>IF($E$6="seleccione impuesto"," - ",HLOOKUP($E$6,Series!$C$1:$AO$338, 76,0))</f>
        <v xml:space="preserve"> - </v>
      </c>
      <c r="H87" s="23"/>
    </row>
    <row r="88" spans="5:8">
      <c r="E88" s="20"/>
      <c r="F88" s="65">
        <f>+Series!C77</f>
        <v>32174</v>
      </c>
      <c r="G88" s="30" t="str">
        <f>IF($E$6="seleccione impuesto"," - ",HLOOKUP($E$6,Series!$C$1:$AO$338, 77,0))</f>
        <v xml:space="preserve"> - </v>
      </c>
      <c r="H88" s="23"/>
    </row>
    <row r="89" spans="5:8">
      <c r="E89" s="20"/>
      <c r="F89" s="65">
        <f>+Series!C78</f>
        <v>32203</v>
      </c>
      <c r="G89" s="30" t="str">
        <f>IF($E$6="seleccione impuesto"," - ",HLOOKUP($E$6,Series!$C$1:$AO$338, 78,0))</f>
        <v xml:space="preserve"> - </v>
      </c>
      <c r="H89" s="23"/>
    </row>
    <row r="90" spans="5:8">
      <c r="E90" s="20"/>
      <c r="F90" s="65">
        <f>+Series!C79</f>
        <v>32234</v>
      </c>
      <c r="G90" s="30" t="str">
        <f>IF($E$6="seleccione impuesto"," - ",HLOOKUP($E$6,Series!$C$1:$AO$338, 79,0))</f>
        <v xml:space="preserve"> - </v>
      </c>
      <c r="H90" s="23"/>
    </row>
    <row r="91" spans="5:8">
      <c r="E91" s="20"/>
      <c r="F91" s="65">
        <f>+Series!C80</f>
        <v>32264</v>
      </c>
      <c r="G91" s="30" t="str">
        <f>IF($E$6="seleccione impuesto"," - ",HLOOKUP($E$6,Series!$C$1:$AO$338, 80,0))</f>
        <v xml:space="preserve"> - </v>
      </c>
      <c r="H91" s="23"/>
    </row>
    <row r="92" spans="5:8">
      <c r="E92" s="20"/>
      <c r="F92" s="65">
        <f>+Series!C81</f>
        <v>32295</v>
      </c>
      <c r="G92" s="30" t="str">
        <f>IF($E$6="seleccione impuesto"," - ",HLOOKUP($E$6,Series!$C$1:$AO$338, 81,0))</f>
        <v xml:space="preserve"> - </v>
      </c>
      <c r="H92" s="23"/>
    </row>
    <row r="93" spans="5:8">
      <c r="E93" s="20"/>
      <c r="F93" s="65">
        <f>+Series!C82</f>
        <v>32325</v>
      </c>
      <c r="G93" s="30" t="str">
        <f>IF($E$6="seleccione impuesto"," - ",HLOOKUP($E$6,Series!$C$1:$AO$338, 82,0))</f>
        <v xml:space="preserve"> - </v>
      </c>
      <c r="H93" s="23"/>
    </row>
    <row r="94" spans="5:8">
      <c r="E94" s="20"/>
      <c r="F94" s="65">
        <f>+Series!C83</f>
        <v>32356</v>
      </c>
      <c r="G94" s="30" t="str">
        <f>IF($E$6="seleccione impuesto"," - ",HLOOKUP($E$6,Series!$C$1:$AO$338, 83,0))</f>
        <v xml:space="preserve"> - </v>
      </c>
      <c r="H94" s="23"/>
    </row>
    <row r="95" spans="5:8">
      <c r="E95" s="20"/>
      <c r="F95" s="65">
        <f>+Series!C84</f>
        <v>32387</v>
      </c>
      <c r="G95" s="30" t="str">
        <f>IF($E$6="seleccione impuesto"," - ",HLOOKUP($E$6,Series!$C$1:$AO$338, 84,0))</f>
        <v xml:space="preserve"> - </v>
      </c>
      <c r="H95" s="23"/>
    </row>
    <row r="96" spans="5:8">
      <c r="E96" s="20"/>
      <c r="F96" s="65">
        <f>+Series!C85</f>
        <v>32417</v>
      </c>
      <c r="G96" s="30" t="str">
        <f>IF($E$6="seleccione impuesto"," - ",HLOOKUP($E$6,Series!$C$1:$AO$338, 85,0))</f>
        <v xml:space="preserve"> - </v>
      </c>
      <c r="H96" s="23"/>
    </row>
    <row r="97" spans="5:8">
      <c r="E97" s="20"/>
      <c r="F97" s="65">
        <f>+Series!C86</f>
        <v>32448</v>
      </c>
      <c r="G97" s="30" t="str">
        <f>IF($E$6="seleccione impuesto"," - ",HLOOKUP($E$6,Series!$C$1:$AO$338, 86,0))</f>
        <v xml:space="preserve"> - </v>
      </c>
      <c r="H97" s="23"/>
    </row>
    <row r="98" spans="5:8">
      <c r="E98" s="20"/>
      <c r="F98" s="65">
        <f>+Series!C87</f>
        <v>32478</v>
      </c>
      <c r="G98" s="30" t="str">
        <f>IF($E$6="seleccione impuesto"," - ",HLOOKUP($E$6,Series!$C$1:$AO$338, 87,0))</f>
        <v xml:space="preserve"> - </v>
      </c>
      <c r="H98" s="23"/>
    </row>
    <row r="99" spans="5:8">
      <c r="E99" s="20"/>
      <c r="F99" s="65">
        <f>+Series!C88</f>
        <v>32509</v>
      </c>
      <c r="G99" s="30" t="str">
        <f>IF($E$6="seleccione impuesto"," - ",HLOOKUP($E$6,Series!$C$1:$AO$338, 88,0))</f>
        <v xml:space="preserve"> - </v>
      </c>
      <c r="H99" s="23"/>
    </row>
    <row r="100" spans="5:8">
      <c r="E100" s="20"/>
      <c r="F100" s="65">
        <f>+Series!C89</f>
        <v>32540</v>
      </c>
      <c r="G100" s="30" t="str">
        <f>IF($E$6="seleccione impuesto"," - ",HLOOKUP($E$6,Series!$C$1:$AO$338, 89,0))</f>
        <v xml:space="preserve"> - </v>
      </c>
      <c r="H100" s="23"/>
    </row>
    <row r="101" spans="5:8">
      <c r="E101" s="20"/>
      <c r="F101" s="65">
        <f>+Series!C90</f>
        <v>32568</v>
      </c>
      <c r="G101" s="30" t="str">
        <f>IF($E$6="seleccione impuesto"," - ",HLOOKUP($E$6,Series!$C$1:$AO$338, 90,0))</f>
        <v xml:space="preserve"> - </v>
      </c>
      <c r="H101" s="23"/>
    </row>
    <row r="102" spans="5:8">
      <c r="E102" s="20"/>
      <c r="F102" s="65">
        <f>+Series!C91</f>
        <v>32599</v>
      </c>
      <c r="G102" s="30" t="str">
        <f>IF($E$6="seleccione impuesto"," - ",HLOOKUP($E$6,Series!$C$1:$AO$338, 91,0))</f>
        <v xml:space="preserve"> - </v>
      </c>
      <c r="H102" s="23"/>
    </row>
    <row r="103" spans="5:8">
      <c r="E103" s="20"/>
      <c r="F103" s="65">
        <f>+Series!C92</f>
        <v>32629</v>
      </c>
      <c r="G103" s="30" t="str">
        <f>IF($E$6="seleccione impuesto"," - ",HLOOKUP($E$6,Series!$C$1:$AO$338, 92,0))</f>
        <v xml:space="preserve"> - </v>
      </c>
      <c r="H103" s="23"/>
    </row>
    <row r="104" spans="5:8">
      <c r="E104" s="20"/>
      <c r="F104" s="65">
        <f>+Series!C93</f>
        <v>32660</v>
      </c>
      <c r="G104" s="30" t="str">
        <f>IF($E$6="seleccione impuesto"," - ",HLOOKUP($E$6,Series!$C$1:$AO$338, 93,0))</f>
        <v xml:space="preserve"> - </v>
      </c>
      <c r="H104" s="23"/>
    </row>
    <row r="105" spans="5:8">
      <c r="E105" s="20"/>
      <c r="F105" s="65">
        <f>+Series!C94</f>
        <v>32690</v>
      </c>
      <c r="G105" s="30" t="str">
        <f>IF($E$6="seleccione impuesto"," - ",HLOOKUP($E$6,Series!$C$1:$AO$338, 94,0))</f>
        <v xml:space="preserve"> - </v>
      </c>
      <c r="H105" s="23"/>
    </row>
    <row r="106" spans="5:8">
      <c r="E106" s="20"/>
      <c r="F106" s="65">
        <f>+Series!C95</f>
        <v>32721</v>
      </c>
      <c r="G106" s="30" t="str">
        <f>IF($E$6="seleccione impuesto"," - ",HLOOKUP($E$6,Series!$C$1:$AO$338, 95,0))</f>
        <v xml:space="preserve"> - </v>
      </c>
      <c r="H106" s="23"/>
    </row>
    <row r="107" spans="5:8">
      <c r="E107" s="20"/>
      <c r="F107" s="65">
        <f>+Series!C96</f>
        <v>32752</v>
      </c>
      <c r="G107" s="30" t="str">
        <f>IF($E$6="seleccione impuesto"," - ",HLOOKUP($E$6,Series!$C$1:$AO$338, 96,0))</f>
        <v xml:space="preserve"> - </v>
      </c>
      <c r="H107" s="23"/>
    </row>
    <row r="108" spans="5:8">
      <c r="E108" s="20"/>
      <c r="F108" s="65">
        <f>+Series!C97</f>
        <v>32782</v>
      </c>
      <c r="G108" s="30" t="str">
        <f>IF($E$6="seleccione impuesto"," - ",HLOOKUP($E$6,Series!$C$1:$AO$338, 97,0))</f>
        <v xml:space="preserve"> - </v>
      </c>
      <c r="H108" s="23"/>
    </row>
    <row r="109" spans="5:8">
      <c r="E109" s="20"/>
      <c r="F109" s="65">
        <f>+Series!C98</f>
        <v>32813</v>
      </c>
      <c r="G109" s="30" t="str">
        <f>IF($E$6="seleccione impuesto"," - ",HLOOKUP($E$6,Series!$C$1:$AO$338, 98,0))</f>
        <v xml:space="preserve"> - </v>
      </c>
      <c r="H109" s="23"/>
    </row>
    <row r="110" spans="5:8">
      <c r="E110" s="20"/>
      <c r="F110" s="65">
        <f>+Series!C99</f>
        <v>32843</v>
      </c>
      <c r="G110" s="30" t="str">
        <f>IF($E$6="seleccione impuesto"," - ",HLOOKUP($E$6,Series!$C$1:$AO$338, 99,0))</f>
        <v xml:space="preserve"> - </v>
      </c>
      <c r="H110" s="23"/>
    </row>
    <row r="111" spans="5:8">
      <c r="E111" s="20"/>
      <c r="F111" s="65">
        <f>+Series!C100</f>
        <v>32874</v>
      </c>
      <c r="G111" s="30" t="str">
        <f>IF($E$6="seleccione impuesto"," - ",HLOOKUP($E$6,Series!$C$1:$AO$338, 100,0))</f>
        <v xml:space="preserve"> - </v>
      </c>
      <c r="H111" s="23"/>
    </row>
    <row r="112" spans="5:8">
      <c r="E112" s="20"/>
      <c r="F112" s="65">
        <f>+Series!C101</f>
        <v>32905</v>
      </c>
      <c r="G112" s="30" t="str">
        <f>IF($E$6="seleccione impuesto"," - ",HLOOKUP($E$6,Series!$C$1:$AO$338, 101,0))</f>
        <v xml:space="preserve"> - </v>
      </c>
      <c r="H112" s="23"/>
    </row>
    <row r="113" spans="5:8">
      <c r="E113" s="20"/>
      <c r="F113" s="65">
        <f>+Series!C102</f>
        <v>32933</v>
      </c>
      <c r="G113" s="30" t="str">
        <f>IF($E$6="seleccione impuesto"," - ",HLOOKUP($E$6,Series!$C$1:$AO$338, 102,0))</f>
        <v xml:space="preserve"> - </v>
      </c>
      <c r="H113" s="23"/>
    </row>
    <row r="114" spans="5:8">
      <c r="E114" s="20"/>
      <c r="F114" s="65">
        <f>+Series!C103</f>
        <v>32964</v>
      </c>
      <c r="G114" s="30" t="str">
        <f>IF($E$6="seleccione impuesto"," - ",HLOOKUP($E$6,Series!$C$1:$AO$338, 103,0))</f>
        <v xml:space="preserve"> - </v>
      </c>
      <c r="H114" s="23"/>
    </row>
    <row r="115" spans="5:8">
      <c r="E115" s="20"/>
      <c r="F115" s="65">
        <f>+Series!C104</f>
        <v>32994</v>
      </c>
      <c r="G115" s="30" t="str">
        <f>IF($E$6="seleccione impuesto"," - ",HLOOKUP($E$6,Series!$C$1:$AO$338, 104,0))</f>
        <v xml:space="preserve"> - </v>
      </c>
      <c r="H115" s="23"/>
    </row>
    <row r="116" spans="5:8">
      <c r="E116" s="20"/>
      <c r="F116" s="65">
        <f>+Series!C105</f>
        <v>33025</v>
      </c>
      <c r="G116" s="30" t="str">
        <f>IF($E$6="seleccione impuesto"," - ",HLOOKUP($E$6,Series!$C$1:$AO$338, 105,0))</f>
        <v xml:space="preserve"> - </v>
      </c>
      <c r="H116" s="23"/>
    </row>
    <row r="117" spans="5:8">
      <c r="E117" s="20"/>
      <c r="F117" s="65">
        <f>+Series!C106</f>
        <v>33055</v>
      </c>
      <c r="G117" s="30" t="str">
        <f>IF($E$6="seleccione impuesto"," - ",HLOOKUP($E$6,Series!$C$1:$AO$338, 106,0))</f>
        <v xml:space="preserve"> - </v>
      </c>
      <c r="H117" s="23"/>
    </row>
    <row r="118" spans="5:8">
      <c r="E118" s="20"/>
      <c r="F118" s="65">
        <f>+Series!C107</f>
        <v>33086</v>
      </c>
      <c r="G118" s="30" t="str">
        <f>IF($E$6="seleccione impuesto"," - ",HLOOKUP($E$6,Series!$C$1:$AO$338, 107,0))</f>
        <v xml:space="preserve"> - </v>
      </c>
      <c r="H118" s="23"/>
    </row>
    <row r="119" spans="5:8">
      <c r="E119" s="20"/>
      <c r="F119" s="65">
        <f>+Series!C108</f>
        <v>33117</v>
      </c>
      <c r="G119" s="30" t="str">
        <f>IF($E$6="seleccione impuesto"," - ",HLOOKUP($E$6,Series!$C$1:$AO$338, 108,0))</f>
        <v xml:space="preserve"> - </v>
      </c>
      <c r="H119" s="23"/>
    </row>
    <row r="120" spans="5:8">
      <c r="E120" s="20"/>
      <c r="F120" s="65">
        <f>+Series!C109</f>
        <v>33147</v>
      </c>
      <c r="G120" s="30" t="str">
        <f>IF($E$6="seleccione impuesto"," - ",HLOOKUP($E$6,Series!$C$1:$AO$338, 109,0))</f>
        <v xml:space="preserve"> - </v>
      </c>
      <c r="H120" s="23"/>
    </row>
    <row r="121" spans="5:8">
      <c r="E121" s="20"/>
      <c r="F121" s="65">
        <f>+Series!C110</f>
        <v>33178</v>
      </c>
      <c r="G121" s="30" t="str">
        <f>IF($E$6="seleccione impuesto"," - ",HLOOKUP($E$6,Series!$C$1:$AO$338, 110,0))</f>
        <v xml:space="preserve"> - </v>
      </c>
      <c r="H121" s="23"/>
    </row>
    <row r="122" spans="5:8">
      <c r="E122" s="20"/>
      <c r="F122" s="65">
        <f>+Series!C111</f>
        <v>33208</v>
      </c>
      <c r="G122" s="30" t="str">
        <f>IF($E$6="seleccione impuesto"," - ",HLOOKUP($E$6,Series!$C$1:$AO$338, 111,0))</f>
        <v xml:space="preserve"> - </v>
      </c>
      <c r="H122" s="23"/>
    </row>
    <row r="123" spans="5:8">
      <c r="E123" s="20"/>
      <c r="F123" s="65">
        <f>+Series!C112</f>
        <v>33239</v>
      </c>
      <c r="G123" s="30" t="str">
        <f>IF($E$6="seleccione impuesto"," - ",HLOOKUP($E$6,Series!$C$1:$AO$338, 112,0))</f>
        <v xml:space="preserve"> - </v>
      </c>
      <c r="H123" s="23"/>
    </row>
    <row r="124" spans="5:8">
      <c r="E124" s="20"/>
      <c r="F124" s="65">
        <f>+Series!C113</f>
        <v>33270</v>
      </c>
      <c r="G124" s="30" t="str">
        <f>IF($E$6="seleccione impuesto"," - ",HLOOKUP($E$6,Series!$C$1:$AO$338, 113,0))</f>
        <v xml:space="preserve"> - </v>
      </c>
      <c r="H124" s="23"/>
    </row>
    <row r="125" spans="5:8">
      <c r="E125" s="20"/>
      <c r="F125" s="65">
        <f>+Series!C114</f>
        <v>33298</v>
      </c>
      <c r="G125" s="30" t="str">
        <f>IF($E$6="seleccione impuesto"," - ",HLOOKUP($E$6,Series!$C$1:$AO$338, 114,0))</f>
        <v xml:space="preserve"> - </v>
      </c>
      <c r="H125" s="23"/>
    </row>
    <row r="126" spans="5:8">
      <c r="E126" s="20"/>
      <c r="F126" s="65">
        <f>+Series!C115</f>
        <v>33329</v>
      </c>
      <c r="G126" s="30" t="str">
        <f>IF($E$6="seleccione impuesto"," - ",HLOOKUP($E$6,Series!$C$1:$AO$338, 115,0))</f>
        <v xml:space="preserve"> - </v>
      </c>
      <c r="H126" s="23"/>
    </row>
    <row r="127" spans="5:8">
      <c r="E127" s="20"/>
      <c r="F127" s="65">
        <f>+Series!C116</f>
        <v>33359</v>
      </c>
      <c r="G127" s="30" t="str">
        <f>IF($E$6="seleccione impuesto"," - ",HLOOKUP($E$6,Series!$C$1:$AO$338, 116,0))</f>
        <v xml:space="preserve"> - </v>
      </c>
      <c r="H127" s="23"/>
    </row>
    <row r="128" spans="5:8">
      <c r="E128" s="20"/>
      <c r="F128" s="65">
        <f>+Series!C117</f>
        <v>33390</v>
      </c>
      <c r="G128" s="30" t="str">
        <f>IF($E$6="seleccione impuesto"," - ",HLOOKUP($E$6,Series!$C$1:$AO$338, 117,0))</f>
        <v xml:space="preserve"> - </v>
      </c>
      <c r="H128" s="23"/>
    </row>
    <row r="129" spans="5:8">
      <c r="E129" s="20"/>
      <c r="F129" s="65">
        <f>+Series!C118</f>
        <v>33420</v>
      </c>
      <c r="G129" s="30" t="str">
        <f>IF($E$6="seleccione impuesto"," - ",HLOOKUP($E$6,Series!$C$1:$AO$338, 118,0))</f>
        <v xml:space="preserve"> - </v>
      </c>
      <c r="H129" s="23"/>
    </row>
    <row r="130" spans="5:8">
      <c r="E130" s="20"/>
      <c r="F130" s="65">
        <f>+Series!C119</f>
        <v>33451</v>
      </c>
      <c r="G130" s="30" t="str">
        <f>IF($E$6="seleccione impuesto"," - ",HLOOKUP($E$6,Series!$C$1:$AO$338, 119,0))</f>
        <v xml:space="preserve"> - </v>
      </c>
      <c r="H130" s="23"/>
    </row>
    <row r="131" spans="5:8">
      <c r="E131" s="20"/>
      <c r="F131" s="65">
        <f>+Series!C120</f>
        <v>33482</v>
      </c>
      <c r="G131" s="30" t="str">
        <f>IF($E$6="seleccione impuesto"," - ",HLOOKUP($E$6,Series!$C$1:$AO$338, 120,0))</f>
        <v xml:space="preserve"> - </v>
      </c>
      <c r="H131" s="23"/>
    </row>
    <row r="132" spans="5:8">
      <c r="E132" s="20"/>
      <c r="F132" s="65">
        <f>+Series!C121</f>
        <v>33512</v>
      </c>
      <c r="G132" s="30" t="str">
        <f>IF($E$6="seleccione impuesto"," - ",HLOOKUP($E$6,Series!$C$1:$AO$338, 121,0))</f>
        <v xml:space="preserve"> - </v>
      </c>
      <c r="H132" s="23"/>
    </row>
    <row r="133" spans="5:8">
      <c r="E133" s="20"/>
      <c r="F133" s="65">
        <f>+Series!C122</f>
        <v>33543</v>
      </c>
      <c r="G133" s="30" t="str">
        <f>IF($E$6="seleccione impuesto"," - ",HLOOKUP($E$6,Series!$C$1:$AO$338, 122,0))</f>
        <v xml:space="preserve"> - </v>
      </c>
      <c r="H133" s="23"/>
    </row>
    <row r="134" spans="5:8">
      <c r="E134" s="20"/>
      <c r="F134" s="65">
        <f>+Series!C123</f>
        <v>33573</v>
      </c>
      <c r="G134" s="30" t="str">
        <f>IF($E$6="seleccione impuesto"," - ",HLOOKUP($E$6,Series!$C$1:$AO$338, 123,0))</f>
        <v xml:space="preserve"> - </v>
      </c>
      <c r="H134" s="23"/>
    </row>
    <row r="135" spans="5:8">
      <c r="E135" s="20"/>
      <c r="F135" s="65">
        <f>+Series!C124</f>
        <v>33604</v>
      </c>
      <c r="G135" s="30" t="str">
        <f>IF($E$6="seleccione impuesto"," - ",HLOOKUP($E$6,Series!$C$1:$AO$338, 124,0))</f>
        <v xml:space="preserve"> - </v>
      </c>
      <c r="H135" s="23"/>
    </row>
    <row r="136" spans="5:8">
      <c r="E136" s="20"/>
      <c r="F136" s="65">
        <f>+Series!C125</f>
        <v>33635</v>
      </c>
      <c r="G136" s="30" t="str">
        <f>IF($E$6="seleccione impuesto"," - ",HLOOKUP($E$6,Series!$C$1:$AO$338, 125,0))</f>
        <v xml:space="preserve"> - </v>
      </c>
      <c r="H136" s="23"/>
    </row>
    <row r="137" spans="5:8">
      <c r="E137" s="20"/>
      <c r="F137" s="65">
        <f>+Series!C126</f>
        <v>33664</v>
      </c>
      <c r="G137" s="30" t="str">
        <f>IF($E$6="seleccione impuesto"," - ",HLOOKUP($E$6,Series!$C$1:$AO$338, 126,0))</f>
        <v xml:space="preserve"> - </v>
      </c>
      <c r="H137" s="23"/>
    </row>
    <row r="138" spans="5:8">
      <c r="E138" s="20"/>
      <c r="F138" s="65">
        <f>+Series!C127</f>
        <v>33695</v>
      </c>
      <c r="G138" s="30" t="str">
        <f>IF($E$6="seleccione impuesto"," - ",HLOOKUP($E$6,Series!$C$1:$AO$338, 127,0))</f>
        <v xml:space="preserve"> - </v>
      </c>
      <c r="H138" s="23"/>
    </row>
    <row r="139" spans="5:8">
      <c r="E139" s="20"/>
      <c r="F139" s="65">
        <f>+Series!C128</f>
        <v>33725</v>
      </c>
      <c r="G139" s="30" t="str">
        <f>IF($E$6="seleccione impuesto"," - ",HLOOKUP($E$6,Series!$C$1:$AO$338, 128,0))</f>
        <v xml:space="preserve"> - </v>
      </c>
      <c r="H139" s="23"/>
    </row>
    <row r="140" spans="5:8">
      <c r="E140" s="20"/>
      <c r="F140" s="65">
        <f>+Series!C129</f>
        <v>33756</v>
      </c>
      <c r="G140" s="30" t="str">
        <f>IF($E$6="seleccione impuesto"," - ",HLOOKUP($E$6,Series!$C$1:$AO$338, 129,0))</f>
        <v xml:space="preserve"> - </v>
      </c>
      <c r="H140" s="23"/>
    </row>
    <row r="141" spans="5:8">
      <c r="E141" s="20"/>
      <c r="F141" s="65">
        <f>+Series!C130</f>
        <v>33786</v>
      </c>
      <c r="G141" s="30" t="str">
        <f>IF($E$6="seleccione impuesto"," - ",HLOOKUP($E$6,Series!$C$1:$AO$338, 130,0))</f>
        <v xml:space="preserve"> - </v>
      </c>
      <c r="H141" s="23"/>
    </row>
    <row r="142" spans="5:8">
      <c r="E142" s="20"/>
      <c r="F142" s="65">
        <f>+Series!C131</f>
        <v>33817</v>
      </c>
      <c r="G142" s="30" t="str">
        <f>IF($E$6="seleccione impuesto"," - ",HLOOKUP($E$6,Series!$C$1:$AO$338, 131,0))</f>
        <v xml:space="preserve"> - </v>
      </c>
      <c r="H142" s="23"/>
    </row>
    <row r="143" spans="5:8">
      <c r="E143" s="20"/>
      <c r="F143" s="65">
        <f>+Series!C132</f>
        <v>33848</v>
      </c>
      <c r="G143" s="30" t="str">
        <f>IF($E$6="seleccione impuesto"," - ",HLOOKUP($E$6,Series!$C$1:$AO$338, 132,0))</f>
        <v xml:space="preserve"> - </v>
      </c>
      <c r="H143" s="23"/>
    </row>
    <row r="144" spans="5:8">
      <c r="E144" s="20"/>
      <c r="F144" s="65">
        <f>+Series!C133</f>
        <v>33878</v>
      </c>
      <c r="G144" s="30" t="str">
        <f>IF($E$6="seleccione impuesto"," - ",HLOOKUP($E$6,Series!$C$1:$AO$338, 133,0))</f>
        <v xml:space="preserve"> - </v>
      </c>
      <c r="H144" s="23"/>
    </row>
    <row r="145" spans="5:8">
      <c r="E145" s="20"/>
      <c r="F145" s="65">
        <f>+Series!C134</f>
        <v>33909</v>
      </c>
      <c r="G145" s="30" t="str">
        <f>IF($E$6="seleccione impuesto"," - ",HLOOKUP($E$6,Series!$C$1:$AO$338, 134,0))</f>
        <v xml:space="preserve"> - </v>
      </c>
      <c r="H145" s="23"/>
    </row>
    <row r="146" spans="5:8">
      <c r="E146" s="20"/>
      <c r="F146" s="65">
        <f>+Series!C135</f>
        <v>33939</v>
      </c>
      <c r="G146" s="30" t="str">
        <f>IF($E$6="seleccione impuesto"," - ",HLOOKUP($E$6,Series!$C$1:$AO$338, 135,0))</f>
        <v xml:space="preserve"> - </v>
      </c>
      <c r="H146" s="23"/>
    </row>
    <row r="147" spans="5:8">
      <c r="E147" s="20"/>
      <c r="F147" s="65">
        <f>+Series!C136</f>
        <v>33970</v>
      </c>
      <c r="G147" s="30" t="str">
        <f>IF($E$6="seleccione impuesto"," - ",HLOOKUP($E$6,Series!$C$1:$AO$338, 136,0))</f>
        <v xml:space="preserve"> - </v>
      </c>
      <c r="H147" s="23"/>
    </row>
    <row r="148" spans="5:8">
      <c r="E148" s="20"/>
      <c r="F148" s="65">
        <f>+Series!C137</f>
        <v>34001</v>
      </c>
      <c r="G148" s="30" t="str">
        <f>IF($E$6="seleccione impuesto"," - ",HLOOKUP($E$6,Series!$C$1:$AO$338, 137,0))</f>
        <v xml:space="preserve"> - </v>
      </c>
      <c r="H148" s="23"/>
    </row>
    <row r="149" spans="5:8">
      <c r="E149" s="20"/>
      <c r="F149" s="65">
        <f>+Series!C138</f>
        <v>34029</v>
      </c>
      <c r="G149" s="30" t="str">
        <f>IF($E$6="seleccione impuesto"," - ",HLOOKUP($E$6,Series!$C$1:$AO$338, 138,0))</f>
        <v xml:space="preserve"> - </v>
      </c>
      <c r="H149" s="23"/>
    </row>
    <row r="150" spans="5:8">
      <c r="E150" s="20"/>
      <c r="F150" s="65">
        <f>+Series!C139</f>
        <v>34060</v>
      </c>
      <c r="G150" s="30" t="str">
        <f>IF($E$6="seleccione impuesto"," - ",HLOOKUP($E$6,Series!$C$1:$AO$338, 139,0))</f>
        <v xml:space="preserve"> - </v>
      </c>
      <c r="H150" s="23"/>
    </row>
    <row r="151" spans="5:8">
      <c r="E151" s="20"/>
      <c r="F151" s="65">
        <f>+Series!C140</f>
        <v>34090</v>
      </c>
      <c r="G151" s="30" t="str">
        <f>IF($E$6="seleccione impuesto"," - ",HLOOKUP($E$6,Series!$C$1:$AO$338, 140,0))</f>
        <v xml:space="preserve"> - </v>
      </c>
      <c r="H151" s="23"/>
    </row>
    <row r="152" spans="5:8">
      <c r="E152" s="20"/>
      <c r="F152" s="65">
        <f>+Series!C141</f>
        <v>34121</v>
      </c>
      <c r="G152" s="30" t="str">
        <f>IF($E$6="seleccione impuesto"," - ",HLOOKUP($E$6,Series!$C$1:$AO$338, 141,0))</f>
        <v xml:space="preserve"> - </v>
      </c>
      <c r="H152" s="23"/>
    </row>
    <row r="153" spans="5:8">
      <c r="E153" s="20"/>
      <c r="F153" s="65">
        <f>+Series!C142</f>
        <v>34151</v>
      </c>
      <c r="G153" s="30" t="str">
        <f>IF($E$6="seleccione impuesto"," - ",HLOOKUP($E$6,Series!$C$1:$AO$338, 142,0))</f>
        <v xml:space="preserve"> - </v>
      </c>
      <c r="H153" s="23"/>
    </row>
    <row r="154" spans="5:8">
      <c r="E154" s="20"/>
      <c r="F154" s="65">
        <f>+Series!C143</f>
        <v>34182</v>
      </c>
      <c r="G154" s="30" t="str">
        <f>IF($E$6="seleccione impuesto"," - ",HLOOKUP($E$6,Series!$C$1:$AO$338, 143,0))</f>
        <v xml:space="preserve"> - </v>
      </c>
      <c r="H154" s="23"/>
    </row>
    <row r="155" spans="5:8">
      <c r="E155" s="20"/>
      <c r="F155" s="65">
        <f>+Series!C144</f>
        <v>34213</v>
      </c>
      <c r="G155" s="30" t="str">
        <f>IF($E$6="seleccione impuesto"," - ",HLOOKUP($E$6,Series!$C$1:$AO$338, 144,0))</f>
        <v xml:space="preserve"> - </v>
      </c>
      <c r="H155" s="23"/>
    </row>
    <row r="156" spans="5:8">
      <c r="E156" s="20"/>
      <c r="F156" s="65">
        <f>+Series!C145</f>
        <v>34243</v>
      </c>
      <c r="G156" s="30" t="str">
        <f>IF($E$6="seleccione impuesto"," - ",HLOOKUP($E$6,Series!$C$1:$AO$338, 145,0))</f>
        <v xml:space="preserve"> - </v>
      </c>
      <c r="H156" s="23"/>
    </row>
    <row r="157" spans="5:8">
      <c r="E157" s="20"/>
      <c r="F157" s="65">
        <f>+Series!C146</f>
        <v>34274</v>
      </c>
      <c r="G157" s="30" t="str">
        <f>IF($E$6="seleccione impuesto"," - ",HLOOKUP($E$6,Series!$C$1:$AO$338, 146,0))</f>
        <v xml:space="preserve"> - </v>
      </c>
      <c r="H157" s="23"/>
    </row>
    <row r="158" spans="5:8">
      <c r="E158" s="20"/>
      <c r="F158" s="65">
        <f>+Series!C147</f>
        <v>34304</v>
      </c>
      <c r="G158" s="30" t="str">
        <f>IF($E$6="seleccione impuesto"," - ",HLOOKUP($E$6,Series!$C$1:$AO$338, 147,0))</f>
        <v xml:space="preserve"> - </v>
      </c>
      <c r="H158" s="23"/>
    </row>
    <row r="159" spans="5:8">
      <c r="E159" s="20"/>
      <c r="F159" s="65">
        <f>+Series!C148</f>
        <v>34335</v>
      </c>
      <c r="G159" s="30" t="str">
        <f>IF($E$6="seleccione impuesto"," - ",HLOOKUP($E$6,Series!$C$1:$AO$338, 148,0))</f>
        <v xml:space="preserve"> - </v>
      </c>
      <c r="H159" s="23"/>
    </row>
    <row r="160" spans="5:8">
      <c r="E160" s="20"/>
      <c r="F160" s="65">
        <f>+Series!C149</f>
        <v>34366</v>
      </c>
      <c r="G160" s="30" t="str">
        <f>IF($E$6="seleccione impuesto"," - ",HLOOKUP($E$6,Series!$C$1:$AO$338, 149,0))</f>
        <v xml:space="preserve"> - </v>
      </c>
      <c r="H160" s="23"/>
    </row>
    <row r="161" spans="5:8">
      <c r="E161" s="20"/>
      <c r="F161" s="65">
        <f>+Series!C150</f>
        <v>34394</v>
      </c>
      <c r="G161" s="30" t="str">
        <f>IF($E$6="seleccione impuesto"," - ",HLOOKUP($E$6,Series!$C$1:$AO$338, 150,0))</f>
        <v xml:space="preserve"> - </v>
      </c>
      <c r="H161" s="23"/>
    </row>
    <row r="162" spans="5:8">
      <c r="E162" s="20"/>
      <c r="F162" s="65">
        <f>+Series!C151</f>
        <v>34425</v>
      </c>
      <c r="G162" s="30" t="str">
        <f>IF($E$6="seleccione impuesto"," - ",HLOOKUP($E$6,Series!$C$1:$AO$338, 151,0))</f>
        <v xml:space="preserve"> - </v>
      </c>
      <c r="H162" s="23"/>
    </row>
    <row r="163" spans="5:8">
      <c r="E163" s="20"/>
      <c r="F163" s="65">
        <f>+Series!C152</f>
        <v>34455</v>
      </c>
      <c r="G163" s="30" t="str">
        <f>IF($E$6="seleccione impuesto"," - ",HLOOKUP($E$6,Series!$C$1:$AO$338, 152,0))</f>
        <v xml:space="preserve"> - </v>
      </c>
      <c r="H163" s="23"/>
    </row>
    <row r="164" spans="5:8">
      <c r="E164" s="20"/>
      <c r="F164" s="65">
        <f>+Series!C153</f>
        <v>34486</v>
      </c>
      <c r="G164" s="30" t="str">
        <f>IF($E$6="seleccione impuesto"," - ",HLOOKUP($E$6,Series!$C$1:$AO$338, 153,0))</f>
        <v xml:space="preserve"> - </v>
      </c>
      <c r="H164" s="23"/>
    </row>
    <row r="165" spans="5:8">
      <c r="E165" s="20"/>
      <c r="F165" s="65">
        <f>+Series!C154</f>
        <v>34516</v>
      </c>
      <c r="G165" s="30" t="str">
        <f>IF($E$6="seleccione impuesto"," - ",HLOOKUP($E$6,Series!$C$1:$AO$338, 154,0))</f>
        <v xml:space="preserve"> - </v>
      </c>
      <c r="H165" s="23"/>
    </row>
    <row r="166" spans="5:8">
      <c r="E166" s="20"/>
      <c r="F166" s="65">
        <f>+Series!C155</f>
        <v>34547</v>
      </c>
      <c r="G166" s="30" t="str">
        <f>IF($E$6="seleccione impuesto"," - ",HLOOKUP($E$6,Series!$C$1:$AO$338, 155,0))</f>
        <v xml:space="preserve"> - </v>
      </c>
      <c r="H166" s="23"/>
    </row>
    <row r="167" spans="5:8">
      <c r="E167" s="20"/>
      <c r="F167" s="65">
        <f>+Series!C156</f>
        <v>34578</v>
      </c>
      <c r="G167" s="30" t="str">
        <f>IF($E$6="seleccione impuesto"," - ",HLOOKUP($E$6,Series!$C$1:$AO$338, 156,0))</f>
        <v xml:space="preserve"> - </v>
      </c>
      <c r="H167" s="23"/>
    </row>
    <row r="168" spans="5:8">
      <c r="E168" s="20"/>
      <c r="F168" s="65">
        <f>+Series!C157</f>
        <v>34608</v>
      </c>
      <c r="G168" s="30" t="str">
        <f>IF($E$6="seleccione impuesto"," - ",HLOOKUP($E$6,Series!$C$1:$AO$338, 157,0))</f>
        <v xml:space="preserve"> - </v>
      </c>
      <c r="H168" s="23"/>
    </row>
    <row r="169" spans="5:8">
      <c r="E169" s="20"/>
      <c r="F169" s="65">
        <f>+Series!C158</f>
        <v>34639</v>
      </c>
      <c r="G169" s="30" t="str">
        <f>IF($E$6="seleccione impuesto"," - ",HLOOKUP($E$6,Series!$C$1:$AO$338, 158,0))</f>
        <v xml:space="preserve"> - </v>
      </c>
      <c r="H169" s="23"/>
    </row>
    <row r="170" spans="5:8">
      <c r="E170" s="20"/>
      <c r="F170" s="65">
        <f>+Series!C159</f>
        <v>34669</v>
      </c>
      <c r="G170" s="30" t="str">
        <f>IF($E$6="seleccione impuesto"," - ",HLOOKUP($E$6,Series!$C$1:$AO$338, 159,0))</f>
        <v xml:space="preserve"> - </v>
      </c>
      <c r="H170" s="23"/>
    </row>
    <row r="171" spans="5:8">
      <c r="E171" s="20"/>
      <c r="F171" s="65">
        <f>+Series!C160</f>
        <v>34700</v>
      </c>
      <c r="G171" s="30" t="str">
        <f>IF($E$6="seleccione impuesto"," - ",HLOOKUP($E$6,Series!$C$1:$AO$338, 160,0))</f>
        <v xml:space="preserve"> - </v>
      </c>
      <c r="H171" s="23"/>
    </row>
    <row r="172" spans="5:8">
      <c r="E172" s="20"/>
      <c r="F172" s="65">
        <f>+Series!C161</f>
        <v>34731</v>
      </c>
      <c r="G172" s="30" t="str">
        <f>IF($E$6="seleccione impuesto"," - ",HLOOKUP($E$6,Series!$C$1:$AO$338, 161,0))</f>
        <v xml:space="preserve"> - </v>
      </c>
      <c r="H172" s="23"/>
    </row>
    <row r="173" spans="5:8">
      <c r="E173" s="20"/>
      <c r="F173" s="65">
        <f>+Series!C162</f>
        <v>34759</v>
      </c>
      <c r="G173" s="30" t="str">
        <f>IF($E$6="seleccione impuesto"," - ",HLOOKUP($E$6,Series!$C$1:$AO$338, 162,0))</f>
        <v xml:space="preserve"> - </v>
      </c>
      <c r="H173" s="23"/>
    </row>
    <row r="174" spans="5:8">
      <c r="E174" s="20"/>
      <c r="F174" s="65">
        <f>+Series!C163</f>
        <v>34790</v>
      </c>
      <c r="G174" s="30" t="str">
        <f>IF($E$6="seleccione impuesto"," - ",HLOOKUP($E$6,Series!$C$1:$AO$338, 163,0))</f>
        <v xml:space="preserve"> - </v>
      </c>
      <c r="H174" s="23"/>
    </row>
    <row r="175" spans="5:8">
      <c r="E175" s="20"/>
      <c r="F175" s="65">
        <f>+Series!C164</f>
        <v>34820</v>
      </c>
      <c r="G175" s="30" t="str">
        <f>IF($E$6="seleccione impuesto"," - ",HLOOKUP($E$6,Series!$C$1:$AO$338, 164,0))</f>
        <v xml:space="preserve"> - </v>
      </c>
      <c r="H175" s="23"/>
    </row>
    <row r="176" spans="5:8">
      <c r="E176" s="20"/>
      <c r="F176" s="65">
        <f>+Series!C165</f>
        <v>34851</v>
      </c>
      <c r="G176" s="30" t="str">
        <f>IF($E$6="seleccione impuesto"," - ",HLOOKUP($E$6,Series!$C$1:$AO$338, 165,0))</f>
        <v xml:space="preserve"> - </v>
      </c>
      <c r="H176" s="23"/>
    </row>
    <row r="177" spans="5:8">
      <c r="E177" s="20"/>
      <c r="F177" s="65">
        <f>+Series!C166</f>
        <v>34881</v>
      </c>
      <c r="G177" s="30" t="str">
        <f>IF($E$6="seleccione impuesto"," - ",HLOOKUP($E$6,Series!$C$1:$AO$338, 166,0))</f>
        <v xml:space="preserve"> - </v>
      </c>
      <c r="H177" s="23"/>
    </row>
    <row r="178" spans="5:8">
      <c r="E178" s="20"/>
      <c r="F178" s="65">
        <f>+Series!C167</f>
        <v>34912</v>
      </c>
      <c r="G178" s="30" t="str">
        <f>IF($E$6="seleccione impuesto"," - ",HLOOKUP($E$6,Series!$C$1:$AO$338, 167,0))</f>
        <v xml:space="preserve"> - </v>
      </c>
      <c r="H178" s="23"/>
    </row>
    <row r="179" spans="5:8">
      <c r="E179" s="20"/>
      <c r="F179" s="65">
        <f>+Series!C168</f>
        <v>34943</v>
      </c>
      <c r="G179" s="30" t="str">
        <f>IF($E$6="seleccione impuesto"," - ",HLOOKUP($E$6,Series!$C$1:$AO$338, 168,0))</f>
        <v xml:space="preserve"> - </v>
      </c>
      <c r="H179" s="23"/>
    </row>
    <row r="180" spans="5:8">
      <c r="E180" s="20"/>
      <c r="F180" s="65">
        <f>+Series!C169</f>
        <v>34973</v>
      </c>
      <c r="G180" s="30" t="str">
        <f>IF($E$6="seleccione impuesto"," - ",HLOOKUP($E$6,Series!$C$1:$AO$338, 169,0))</f>
        <v xml:space="preserve"> - </v>
      </c>
      <c r="H180" s="23"/>
    </row>
    <row r="181" spans="5:8">
      <c r="E181" s="20"/>
      <c r="F181" s="65">
        <f>+Series!C170</f>
        <v>35004</v>
      </c>
      <c r="G181" s="30" t="str">
        <f>IF($E$6="seleccione impuesto"," - ",HLOOKUP($E$6,Series!$C$1:$AO$338, 170,0))</f>
        <v xml:space="preserve"> - </v>
      </c>
      <c r="H181" s="23"/>
    </row>
    <row r="182" spans="5:8">
      <c r="E182" s="20"/>
      <c r="F182" s="65">
        <f>+Series!C171</f>
        <v>35034</v>
      </c>
      <c r="G182" s="30" t="str">
        <f>IF($E$6="seleccione impuesto"," - ",HLOOKUP($E$6,Series!$C$1:$AO$338, 171,0))</f>
        <v xml:space="preserve"> - </v>
      </c>
      <c r="H182" s="23"/>
    </row>
    <row r="183" spans="5:8">
      <c r="E183" s="20"/>
      <c r="F183" s="65">
        <f>+Series!C172</f>
        <v>35065</v>
      </c>
      <c r="G183" s="30" t="str">
        <f>IF($E$6="seleccione impuesto"," - ",HLOOKUP($E$6,Series!$C$1:$AO$338, 172,0))</f>
        <v xml:space="preserve"> - </v>
      </c>
      <c r="H183" s="23"/>
    </row>
    <row r="184" spans="5:8">
      <c r="E184" s="20"/>
      <c r="F184" s="65">
        <f>+Series!C173</f>
        <v>35096</v>
      </c>
      <c r="G184" s="30" t="str">
        <f>IF($E$6="seleccione impuesto"," - ",HLOOKUP($E$6,Series!$C$1:$AO$338, 173,0))</f>
        <v xml:space="preserve"> - </v>
      </c>
      <c r="H184" s="23"/>
    </row>
    <row r="185" spans="5:8">
      <c r="E185" s="20"/>
      <c r="F185" s="65">
        <f>+Series!C174</f>
        <v>35125</v>
      </c>
      <c r="G185" s="30" t="str">
        <f>IF($E$6="seleccione impuesto"," - ",HLOOKUP($E$6,Series!$C$1:$AO$338, 174,0))</f>
        <v xml:space="preserve"> - </v>
      </c>
      <c r="H185" s="23"/>
    </row>
    <row r="186" spans="5:8">
      <c r="E186" s="20"/>
      <c r="F186" s="65">
        <f>+Series!C175</f>
        <v>35156</v>
      </c>
      <c r="G186" s="30" t="str">
        <f>IF($E$6="seleccione impuesto"," - ",HLOOKUP($E$6,Series!$C$1:$AO$338, 175,0))</f>
        <v xml:space="preserve"> - </v>
      </c>
      <c r="H186" s="23"/>
    </row>
    <row r="187" spans="5:8">
      <c r="E187" s="20"/>
      <c r="F187" s="65">
        <f>+Series!C176</f>
        <v>35186</v>
      </c>
      <c r="G187" s="30" t="str">
        <f>IF($E$6="seleccione impuesto"," - ",HLOOKUP($E$6,Series!$C$1:$AO$338, 176,0))</f>
        <v xml:space="preserve"> - </v>
      </c>
      <c r="H187" s="23"/>
    </row>
    <row r="188" spans="5:8">
      <c r="E188" s="20"/>
      <c r="F188" s="65">
        <f>+Series!C177</f>
        <v>35217</v>
      </c>
      <c r="G188" s="30" t="str">
        <f>IF($E$6="seleccione impuesto"," - ",HLOOKUP($E$6,Series!$C$1:$AO$338, 177,0))</f>
        <v xml:space="preserve"> - </v>
      </c>
      <c r="H188" s="23"/>
    </row>
    <row r="189" spans="5:8">
      <c r="E189" s="20"/>
      <c r="F189" s="65">
        <f>+Series!C178</f>
        <v>35247</v>
      </c>
      <c r="G189" s="30" t="str">
        <f>IF($E$6="seleccione impuesto"," - ",HLOOKUP($E$6,Series!$C$1:$AO$338, 178,0))</f>
        <v xml:space="preserve"> - </v>
      </c>
      <c r="H189" s="23"/>
    </row>
    <row r="190" spans="5:8">
      <c r="E190" s="20"/>
      <c r="F190" s="65">
        <f>+Series!C179</f>
        <v>35278</v>
      </c>
      <c r="G190" s="30" t="str">
        <f>IF($E$6="seleccione impuesto"," - ",HLOOKUP($E$6,Series!$C$1:$AO$338, 179,0))</f>
        <v xml:space="preserve"> - </v>
      </c>
      <c r="H190" s="23"/>
    </row>
    <row r="191" spans="5:8">
      <c r="E191" s="20"/>
      <c r="F191" s="65">
        <f>+Series!C180</f>
        <v>35309</v>
      </c>
      <c r="G191" s="30" t="str">
        <f>IF($E$6="seleccione impuesto"," - ",HLOOKUP($E$6,Series!$C$1:$AO$338, 180,0))</f>
        <v xml:space="preserve"> - </v>
      </c>
      <c r="H191" s="23"/>
    </row>
    <row r="192" spans="5:8">
      <c r="E192" s="20"/>
      <c r="F192" s="65">
        <f>+Series!C181</f>
        <v>35339</v>
      </c>
      <c r="G192" s="30" t="str">
        <f>IF($E$6="seleccione impuesto"," - ",HLOOKUP($E$6,Series!$C$1:$AO$338, 181,0))</f>
        <v xml:space="preserve"> - </v>
      </c>
      <c r="H192" s="23"/>
    </row>
    <row r="193" spans="5:8">
      <c r="E193" s="20"/>
      <c r="F193" s="65">
        <f>+Series!C182</f>
        <v>35370</v>
      </c>
      <c r="G193" s="30" t="str">
        <f>IF($E$6="seleccione impuesto"," - ",HLOOKUP($E$6,Series!$C$1:$AO$338, 182,0))</f>
        <v xml:space="preserve"> - </v>
      </c>
      <c r="H193" s="23"/>
    </row>
    <row r="194" spans="5:8">
      <c r="E194" s="20"/>
      <c r="F194" s="65">
        <f>+Series!C183</f>
        <v>35400</v>
      </c>
      <c r="G194" s="30" t="str">
        <f>IF($E$6="seleccione impuesto"," - ",HLOOKUP($E$6,Series!$C$1:$AO$338, 183,0))</f>
        <v xml:space="preserve"> - </v>
      </c>
      <c r="H194" s="23"/>
    </row>
    <row r="195" spans="5:8">
      <c r="E195" s="20"/>
      <c r="F195" s="65">
        <f>+Series!C184</f>
        <v>35431</v>
      </c>
      <c r="G195" s="30" t="str">
        <f>IF($E$6="seleccione impuesto"," - ",HLOOKUP($E$6,Series!$C$1:$AO$338, 184,0))</f>
        <v xml:space="preserve"> - </v>
      </c>
      <c r="H195" s="23"/>
    </row>
    <row r="196" spans="5:8">
      <c r="E196" s="20"/>
      <c r="F196" s="65">
        <f>+Series!C185</f>
        <v>35462</v>
      </c>
      <c r="G196" s="30" t="str">
        <f>IF($E$6="seleccione impuesto"," - ",HLOOKUP($E$6,Series!$C$1:$AO$338, 185,0))</f>
        <v xml:space="preserve"> - </v>
      </c>
      <c r="H196" s="23"/>
    </row>
    <row r="197" spans="5:8">
      <c r="E197" s="20"/>
      <c r="F197" s="65">
        <f>+Series!C186</f>
        <v>35490</v>
      </c>
      <c r="G197" s="30" t="str">
        <f>IF($E$6="seleccione impuesto"," - ",HLOOKUP($E$6,Series!$C$1:$AO$338, 186,0))</f>
        <v xml:space="preserve"> - </v>
      </c>
      <c r="H197" s="23"/>
    </row>
    <row r="198" spans="5:8">
      <c r="E198" s="20"/>
      <c r="F198" s="65">
        <f>+Series!C187</f>
        <v>35521</v>
      </c>
      <c r="G198" s="30" t="str">
        <f>IF($E$6="seleccione impuesto"," - ",HLOOKUP($E$6,Series!$C$1:$AO$338, 187,0))</f>
        <v xml:space="preserve"> - </v>
      </c>
      <c r="H198" s="23"/>
    </row>
    <row r="199" spans="5:8">
      <c r="E199" s="20"/>
      <c r="F199" s="65">
        <f>+Series!C188</f>
        <v>35551</v>
      </c>
      <c r="G199" s="30" t="str">
        <f>IF($E$6="seleccione impuesto"," - ",HLOOKUP($E$6,Series!$C$1:$AO$338, 188,0))</f>
        <v xml:space="preserve"> - </v>
      </c>
      <c r="H199" s="23"/>
    </row>
    <row r="200" spans="5:8">
      <c r="E200" s="20"/>
      <c r="F200" s="65">
        <f>+Series!C189</f>
        <v>35582</v>
      </c>
      <c r="G200" s="30" t="str">
        <f>IF($E$6="seleccione impuesto"," - ",HLOOKUP($E$6,Series!$C$1:$AO$338, 189,0))</f>
        <v xml:space="preserve"> - </v>
      </c>
      <c r="H200" s="23"/>
    </row>
    <row r="201" spans="5:8">
      <c r="E201" s="20"/>
      <c r="F201" s="65">
        <f>+Series!C190</f>
        <v>35612</v>
      </c>
      <c r="G201" s="30" t="str">
        <f>IF($E$6="seleccione impuesto"," - ",HLOOKUP($E$6,Series!$C$1:$AO$338, 190,0))</f>
        <v xml:space="preserve"> - </v>
      </c>
      <c r="H201" s="23"/>
    </row>
    <row r="202" spans="5:8">
      <c r="E202" s="20"/>
      <c r="F202" s="65">
        <f>+Series!C191</f>
        <v>35643</v>
      </c>
      <c r="G202" s="30" t="str">
        <f>IF($E$6="seleccione impuesto"," - ",HLOOKUP($E$6,Series!$C$1:$AO$338, 191,0))</f>
        <v xml:space="preserve"> - </v>
      </c>
      <c r="H202" s="23"/>
    </row>
    <row r="203" spans="5:8">
      <c r="E203" s="20"/>
      <c r="F203" s="65">
        <f>+Series!C192</f>
        <v>35674</v>
      </c>
      <c r="G203" s="30" t="str">
        <f>IF($E$6="seleccione impuesto"," - ",HLOOKUP($E$6,Series!$C$1:$AO$338, 192,0))</f>
        <v xml:space="preserve"> - </v>
      </c>
      <c r="H203" s="23"/>
    </row>
    <row r="204" spans="5:8">
      <c r="E204" s="20"/>
      <c r="F204" s="65">
        <f>+Series!C193</f>
        <v>35704</v>
      </c>
      <c r="G204" s="30" t="str">
        <f>IF($E$6="seleccione impuesto"," - ",HLOOKUP($E$6,Series!$C$1:$AO$338, 193,0))</f>
        <v xml:space="preserve"> - </v>
      </c>
      <c r="H204" s="23"/>
    </row>
    <row r="205" spans="5:8">
      <c r="E205" s="20"/>
      <c r="F205" s="65">
        <f>+Series!C194</f>
        <v>35735</v>
      </c>
      <c r="G205" s="30" t="str">
        <f>IF($E$6="seleccione impuesto"," - ",HLOOKUP($E$6,Series!$C$1:$AO$338, 194,0))</f>
        <v xml:space="preserve"> - </v>
      </c>
      <c r="H205" s="23"/>
    </row>
    <row r="206" spans="5:8">
      <c r="E206" s="20"/>
      <c r="F206" s="65">
        <f>+Series!C195</f>
        <v>35765</v>
      </c>
      <c r="G206" s="30" t="str">
        <f>IF($E$6="seleccione impuesto"," - ",HLOOKUP($E$6,Series!$C$1:$AO$338, 195,0))</f>
        <v xml:space="preserve"> - </v>
      </c>
      <c r="H206" s="23"/>
    </row>
    <row r="207" spans="5:8">
      <c r="E207" s="20"/>
      <c r="F207" s="65">
        <f>+Series!C196</f>
        <v>35796</v>
      </c>
      <c r="G207" s="30" t="str">
        <f>IF($E$6="seleccione impuesto"," - ",HLOOKUP($E$6,Series!$C$1:$AO$338, 196,0))</f>
        <v xml:space="preserve"> - </v>
      </c>
      <c r="H207" s="23"/>
    </row>
    <row r="208" spans="5:8">
      <c r="E208" s="20"/>
      <c r="F208" s="65">
        <f>+Series!C197</f>
        <v>35827</v>
      </c>
      <c r="G208" s="30" t="str">
        <f>IF($E$6="seleccione impuesto"," - ",HLOOKUP($E$6,Series!$C$1:$AO$338, 197,0))</f>
        <v xml:space="preserve"> - </v>
      </c>
      <c r="H208" s="23"/>
    </row>
    <row r="209" spans="5:8">
      <c r="E209" s="20"/>
      <c r="F209" s="65">
        <f>+Series!C198</f>
        <v>35855</v>
      </c>
      <c r="G209" s="30" t="str">
        <f>IF($E$6="seleccione impuesto"," - ",HLOOKUP($E$6,Series!$C$1:$AO$338, 198,0))</f>
        <v xml:space="preserve"> - </v>
      </c>
      <c r="H209" s="23"/>
    </row>
    <row r="210" spans="5:8">
      <c r="E210" s="20"/>
      <c r="F210" s="65">
        <f>+Series!C199</f>
        <v>35886</v>
      </c>
      <c r="G210" s="30" t="str">
        <f>IF($E$6="seleccione impuesto"," - ",HLOOKUP($E$6,Series!$C$1:$AO$338, 199,0))</f>
        <v xml:space="preserve"> - </v>
      </c>
      <c r="H210" s="23"/>
    </row>
    <row r="211" spans="5:8">
      <c r="E211" s="20"/>
      <c r="F211" s="65">
        <f>+Series!C200</f>
        <v>35916</v>
      </c>
      <c r="G211" s="30" t="str">
        <f>IF($E$6="seleccione impuesto"," - ",HLOOKUP($E$6,Series!$C$1:$AO$338, 200,0))</f>
        <v xml:space="preserve"> - </v>
      </c>
      <c r="H211" s="23"/>
    </row>
    <row r="212" spans="5:8">
      <c r="E212" s="20"/>
      <c r="F212" s="65">
        <f>+Series!C201</f>
        <v>35947</v>
      </c>
      <c r="G212" s="30" t="str">
        <f>IF($E$6="seleccione impuesto"," - ",HLOOKUP($E$6,Series!$C$1:$AO$338, 201,0))</f>
        <v xml:space="preserve"> - </v>
      </c>
      <c r="H212" s="23"/>
    </row>
    <row r="213" spans="5:8">
      <c r="E213" s="20"/>
      <c r="F213" s="65">
        <f>+Series!C202</f>
        <v>35977</v>
      </c>
      <c r="G213" s="30" t="str">
        <f>IF($E$6="seleccione impuesto"," - ",HLOOKUP($E$6,Series!$C$1:$AO$338, 202,0))</f>
        <v xml:space="preserve"> - </v>
      </c>
      <c r="H213" s="23"/>
    </row>
    <row r="214" spans="5:8">
      <c r="E214" s="20"/>
      <c r="F214" s="65">
        <f>+Series!C203</f>
        <v>36008</v>
      </c>
      <c r="G214" s="30" t="str">
        <f>IF($E$6="seleccione impuesto"," - ",HLOOKUP($E$6,Series!$C$1:$AO$338, 203,0))</f>
        <v xml:space="preserve"> - </v>
      </c>
      <c r="H214" s="23"/>
    </row>
    <row r="215" spans="5:8">
      <c r="E215" s="20"/>
      <c r="F215" s="65">
        <f>+Series!C204</f>
        <v>36039</v>
      </c>
      <c r="G215" s="30" t="str">
        <f>IF($E$6="seleccione impuesto"," - ",HLOOKUP($E$6,Series!$C$1:$AO$338, 204,0))</f>
        <v xml:space="preserve"> - </v>
      </c>
      <c r="H215" s="23"/>
    </row>
    <row r="216" spans="5:8">
      <c r="E216" s="20"/>
      <c r="F216" s="65">
        <f>+Series!C205</f>
        <v>36069</v>
      </c>
      <c r="G216" s="30" t="str">
        <f>IF($E$6="seleccione impuesto"," - ",HLOOKUP($E$6,Series!$C$1:$AO$338, 205,0))</f>
        <v xml:space="preserve"> - </v>
      </c>
      <c r="H216" s="23"/>
    </row>
    <row r="217" spans="5:8">
      <c r="E217" s="20"/>
      <c r="F217" s="65">
        <f>+Series!C206</f>
        <v>36100</v>
      </c>
      <c r="G217" s="30" t="str">
        <f>IF($E$6="seleccione impuesto"," - ",HLOOKUP($E$6,Series!$C$1:$AO$338, 206,0))</f>
        <v xml:space="preserve"> - </v>
      </c>
      <c r="H217" s="23"/>
    </row>
    <row r="218" spans="5:8">
      <c r="E218" s="20"/>
      <c r="F218" s="65">
        <f>+Series!C207</f>
        <v>36130</v>
      </c>
      <c r="G218" s="30" t="str">
        <f>IF($E$6="seleccione impuesto"," - ",HLOOKUP($E$6,Series!$C$1:$AO$338, 207,0))</f>
        <v xml:space="preserve"> - </v>
      </c>
      <c r="H218" s="23"/>
    </row>
    <row r="219" spans="5:8">
      <c r="E219" s="20"/>
      <c r="F219" s="65">
        <f>+Series!C208</f>
        <v>36161</v>
      </c>
      <c r="G219" s="30" t="str">
        <f>IF($E$6="seleccione impuesto"," - ",HLOOKUP($E$6,Series!$C$1:$AO$338, 208,0))</f>
        <v xml:space="preserve"> - </v>
      </c>
      <c r="H219" s="23"/>
    </row>
    <row r="220" spans="5:8">
      <c r="E220" s="20"/>
      <c r="F220" s="65">
        <f>+Series!C209</f>
        <v>36192</v>
      </c>
      <c r="G220" s="30" t="str">
        <f>IF($E$6="seleccione impuesto"," - ",HLOOKUP($E$6,Series!$C$1:$AO$338, 209,0))</f>
        <v xml:space="preserve"> - </v>
      </c>
      <c r="H220" s="23"/>
    </row>
    <row r="221" spans="5:8">
      <c r="E221" s="20"/>
      <c r="F221" s="65">
        <f>+Series!C210</f>
        <v>36220</v>
      </c>
      <c r="G221" s="30" t="str">
        <f>IF($E$6="seleccione impuesto"," - ",HLOOKUP($E$6,Series!$C$1:$AO$338, 210,0))</f>
        <v xml:space="preserve"> - </v>
      </c>
      <c r="H221" s="23"/>
    </row>
    <row r="222" spans="5:8">
      <c r="E222" s="20"/>
      <c r="F222" s="65">
        <f>+Series!C211</f>
        <v>36251</v>
      </c>
      <c r="G222" s="30" t="str">
        <f>IF($E$6="seleccione impuesto"," - ",HLOOKUP($E$6,Series!$C$1:$AO$338, 211,0))</f>
        <v xml:space="preserve"> - </v>
      </c>
      <c r="H222" s="23"/>
    </row>
    <row r="223" spans="5:8">
      <c r="E223" s="20"/>
      <c r="F223" s="65">
        <f>+Series!C212</f>
        <v>36281</v>
      </c>
      <c r="G223" s="30" t="str">
        <f>IF($E$6="seleccione impuesto"," - ",HLOOKUP($E$6,Series!$C$1:$AO$338, 212,0))</f>
        <v xml:space="preserve"> - </v>
      </c>
      <c r="H223" s="23"/>
    </row>
    <row r="224" spans="5:8">
      <c r="E224" s="20"/>
      <c r="F224" s="65">
        <f>+Series!C213</f>
        <v>36312</v>
      </c>
      <c r="G224" s="30" t="str">
        <f>IF($E$6="seleccione impuesto"," - ",HLOOKUP($E$6,Series!$C$1:$AO$338, 213,0))</f>
        <v xml:space="preserve"> - </v>
      </c>
      <c r="H224" s="23"/>
    </row>
    <row r="225" spans="5:8">
      <c r="E225" s="20"/>
      <c r="F225" s="65">
        <f>+Series!C214</f>
        <v>36342</v>
      </c>
      <c r="G225" s="30" t="str">
        <f>IF($E$6="seleccione impuesto"," - ",HLOOKUP($E$6,Series!$C$1:$AO$338, 214,0))</f>
        <v xml:space="preserve"> - </v>
      </c>
      <c r="H225" s="23"/>
    </row>
    <row r="226" spans="5:8">
      <c r="E226" s="20"/>
      <c r="F226" s="65">
        <f>+Series!C215</f>
        <v>36373</v>
      </c>
      <c r="G226" s="30" t="str">
        <f>IF($E$6="seleccione impuesto"," - ",HLOOKUP($E$6,Series!$C$1:$AO$338, 215,0))</f>
        <v xml:space="preserve"> - </v>
      </c>
      <c r="H226" s="23"/>
    </row>
    <row r="227" spans="5:8">
      <c r="E227" s="20"/>
      <c r="F227" s="65">
        <f>+Series!C216</f>
        <v>36404</v>
      </c>
      <c r="G227" s="30" t="str">
        <f>IF($E$6="seleccione impuesto"," - ",HLOOKUP($E$6,Series!$C$1:$AO$338, 216,0))</f>
        <v xml:space="preserve"> - </v>
      </c>
      <c r="H227" s="23"/>
    </row>
    <row r="228" spans="5:8">
      <c r="E228" s="20"/>
      <c r="F228" s="65">
        <f>+Series!C217</f>
        <v>36434</v>
      </c>
      <c r="G228" s="30" t="str">
        <f>IF($E$6="seleccione impuesto"," - ",HLOOKUP($E$6,Series!$C$1:$AO$338, 217,0))</f>
        <v xml:space="preserve"> - </v>
      </c>
      <c r="H228" s="23"/>
    </row>
    <row r="229" spans="5:8">
      <c r="E229" s="20"/>
      <c r="F229" s="65">
        <f>+Series!C218</f>
        <v>36465</v>
      </c>
      <c r="G229" s="30" t="str">
        <f>IF($E$6="seleccione impuesto"," - ",HLOOKUP($E$6,Series!$C$1:$AO$338, 218,0))</f>
        <v xml:space="preserve"> - </v>
      </c>
      <c r="H229" s="23"/>
    </row>
    <row r="230" spans="5:8">
      <c r="E230" s="20"/>
      <c r="F230" s="65">
        <f>+Series!C219</f>
        <v>36495</v>
      </c>
      <c r="G230" s="30" t="str">
        <f>IF($E$6="seleccione impuesto"," - ",HLOOKUP($E$6,Series!$C$1:$AO$338, 219,0))</f>
        <v xml:space="preserve"> - </v>
      </c>
      <c r="H230" s="23"/>
    </row>
    <row r="231" spans="5:8">
      <c r="E231" s="20"/>
      <c r="F231" s="65">
        <f>+Series!C220</f>
        <v>36526</v>
      </c>
      <c r="G231" s="30" t="str">
        <f>IF($E$6="seleccione impuesto"," - ",HLOOKUP($E$6,Series!$C$1:$AO$338, 220,0))</f>
        <v xml:space="preserve"> - </v>
      </c>
      <c r="H231" s="23"/>
    </row>
    <row r="232" spans="5:8">
      <c r="E232" s="20"/>
      <c r="F232" s="65">
        <f>+Series!C221</f>
        <v>36557</v>
      </c>
      <c r="G232" s="30" t="str">
        <f>IF($E$6="seleccione impuesto"," - ",HLOOKUP($E$6,Series!$C$1:$AO$338, 221,0))</f>
        <v xml:space="preserve"> - </v>
      </c>
      <c r="H232" s="23"/>
    </row>
    <row r="233" spans="5:8">
      <c r="E233" s="20"/>
      <c r="F233" s="65">
        <f>+Series!C222</f>
        <v>36586</v>
      </c>
      <c r="G233" s="30" t="str">
        <f>IF($E$6="seleccione impuesto"," - ",HLOOKUP($E$6,Series!$C$1:$AO$338, 222,0))</f>
        <v xml:space="preserve"> - </v>
      </c>
      <c r="H233" s="23"/>
    </row>
    <row r="234" spans="5:8">
      <c r="E234" s="20"/>
      <c r="F234" s="65">
        <f>+Series!C223</f>
        <v>36617</v>
      </c>
      <c r="G234" s="30" t="str">
        <f>IF($E$6="seleccione impuesto"," - ",HLOOKUP($E$6,Series!$C$1:$AO$338, 223,0))</f>
        <v xml:space="preserve"> - </v>
      </c>
      <c r="H234" s="23"/>
    </row>
    <row r="235" spans="5:8">
      <c r="E235" s="20"/>
      <c r="F235" s="65">
        <f>+Series!C224</f>
        <v>36647</v>
      </c>
      <c r="G235" s="30" t="str">
        <f>IF($E$6="seleccione impuesto"," - ",HLOOKUP($E$6,Series!$C$1:$AO$338, 224,0))</f>
        <v xml:space="preserve"> - </v>
      </c>
      <c r="H235" s="23"/>
    </row>
    <row r="236" spans="5:8">
      <c r="E236" s="20"/>
      <c r="F236" s="65">
        <f>+Series!C225</f>
        <v>36678</v>
      </c>
      <c r="G236" s="30" t="str">
        <f>IF($E$6="seleccione impuesto"," - ",HLOOKUP($E$6,Series!$C$1:$AO$338, 225,0))</f>
        <v xml:space="preserve"> - </v>
      </c>
      <c r="H236" s="23"/>
    </row>
    <row r="237" spans="5:8">
      <c r="E237" s="20"/>
      <c r="F237" s="65">
        <f>+Series!C226</f>
        <v>36708</v>
      </c>
      <c r="G237" s="30" t="str">
        <f>IF($E$6="seleccione impuesto"," - ",HLOOKUP($E$6,Series!$C$1:$AO$338, 226,0))</f>
        <v xml:space="preserve"> - </v>
      </c>
      <c r="H237" s="23"/>
    </row>
    <row r="238" spans="5:8">
      <c r="E238" s="20"/>
      <c r="F238" s="65">
        <f>+Series!C227</f>
        <v>36739</v>
      </c>
      <c r="G238" s="30" t="str">
        <f>IF($E$6="seleccione impuesto"," - ",HLOOKUP($E$6,Series!$C$1:$AO$338, 227,0))</f>
        <v xml:space="preserve"> - </v>
      </c>
      <c r="H238" s="23"/>
    </row>
    <row r="239" spans="5:8">
      <c r="E239" s="20"/>
      <c r="F239" s="65">
        <f>+Series!C228</f>
        <v>36770</v>
      </c>
      <c r="G239" s="30" t="str">
        <f>IF($E$6="seleccione impuesto"," - ",HLOOKUP($E$6,Series!$C$1:$AO$338, 228,0))</f>
        <v xml:space="preserve"> - </v>
      </c>
      <c r="H239" s="23"/>
    </row>
    <row r="240" spans="5:8">
      <c r="E240" s="20"/>
      <c r="F240" s="65">
        <f>+Series!C229</f>
        <v>36800</v>
      </c>
      <c r="G240" s="30" t="str">
        <f>IF($E$6="seleccione impuesto"," - ",HLOOKUP($E$6,Series!$C$1:$AO$338, 229,0))</f>
        <v xml:space="preserve"> - </v>
      </c>
      <c r="H240" s="23"/>
    </row>
    <row r="241" spans="5:8">
      <c r="E241" s="20"/>
      <c r="F241" s="65">
        <f>+Series!C230</f>
        <v>36831</v>
      </c>
      <c r="G241" s="30" t="str">
        <f>IF($E$6="seleccione impuesto"," - ",HLOOKUP($E$6,Series!$C$1:$AO$338, 230,0))</f>
        <v xml:space="preserve"> - </v>
      </c>
      <c r="H241" s="23"/>
    </row>
    <row r="242" spans="5:8">
      <c r="E242" s="20"/>
      <c r="F242" s="65">
        <f>+Series!C231</f>
        <v>36861</v>
      </c>
      <c r="G242" s="30" t="str">
        <f>IF($E$6="seleccione impuesto"," - ",HLOOKUP($E$6,Series!$C$1:$AO$338, 231,0))</f>
        <v xml:space="preserve"> - </v>
      </c>
      <c r="H242" s="23"/>
    </row>
    <row r="243" spans="5:8">
      <c r="E243" s="20"/>
      <c r="F243" s="65">
        <f>+Series!C232</f>
        <v>36892</v>
      </c>
      <c r="G243" s="30" t="str">
        <f>IF($E$6="seleccione impuesto"," - ",HLOOKUP($E$6,Series!$C$1:$AO$338, 232,0))</f>
        <v xml:space="preserve"> - </v>
      </c>
      <c r="H243" s="23"/>
    </row>
    <row r="244" spans="5:8">
      <c r="E244" s="20"/>
      <c r="F244" s="65">
        <f>+Series!C233</f>
        <v>36923</v>
      </c>
      <c r="G244" s="30" t="str">
        <f>IF($E$6="seleccione impuesto"," - ",HLOOKUP($E$6,Series!$C$1:$AO$338, 233,0))</f>
        <v xml:space="preserve"> - </v>
      </c>
      <c r="H244" s="23"/>
    </row>
    <row r="245" spans="5:8">
      <c r="E245" s="20"/>
      <c r="F245" s="65">
        <f>+Series!C234</f>
        <v>36951</v>
      </c>
      <c r="G245" s="30" t="str">
        <f>IF($E$6="seleccione impuesto"," - ",HLOOKUP($E$6,Series!$C$1:$AO$338, 234,0))</f>
        <v xml:space="preserve"> - </v>
      </c>
      <c r="H245" s="23"/>
    </row>
    <row r="246" spans="5:8">
      <c r="E246" s="20"/>
      <c r="F246" s="65">
        <f>+Series!C235</f>
        <v>36982</v>
      </c>
      <c r="G246" s="30" t="str">
        <f>IF($E$6="seleccione impuesto"," - ",HLOOKUP($E$6,Series!$C$1:$AO$338, 235,0))</f>
        <v xml:space="preserve"> - </v>
      </c>
      <c r="H246" s="23"/>
    </row>
    <row r="247" spans="5:8">
      <c r="E247" s="20"/>
      <c r="F247" s="65">
        <f>+Series!C236</f>
        <v>37012</v>
      </c>
      <c r="G247" s="30" t="str">
        <f>IF($E$6="seleccione impuesto"," - ",HLOOKUP($E$6,Series!$C$1:$AO$338, 236,0))</f>
        <v xml:space="preserve"> - </v>
      </c>
      <c r="H247" s="23"/>
    </row>
    <row r="248" spans="5:8">
      <c r="E248" s="20"/>
      <c r="F248" s="65">
        <f>+Series!C237</f>
        <v>37043</v>
      </c>
      <c r="G248" s="30" t="str">
        <f>IF($E$6="seleccione impuesto"," - ",HLOOKUP($E$6,Series!$C$1:$AO$338, 237,0))</f>
        <v xml:space="preserve"> - </v>
      </c>
      <c r="H248" s="23"/>
    </row>
    <row r="249" spans="5:8">
      <c r="E249" s="20"/>
      <c r="F249" s="65">
        <f>+Series!C238</f>
        <v>37073</v>
      </c>
      <c r="G249" s="30" t="str">
        <f>IF($E$6="seleccione impuesto"," - ",HLOOKUP($E$6,Series!$C$1:$AO$338, 238,0))</f>
        <v xml:space="preserve"> - </v>
      </c>
      <c r="H249" s="23"/>
    </row>
    <row r="250" spans="5:8">
      <c r="E250" s="20"/>
      <c r="F250" s="65">
        <f>+Series!C239</f>
        <v>37104</v>
      </c>
      <c r="G250" s="30" t="str">
        <f>IF($E$6="seleccione impuesto"," - ",HLOOKUP($E$6,Series!$C$1:$AO$338, 239,0))</f>
        <v xml:space="preserve"> - </v>
      </c>
      <c r="H250" s="23"/>
    </row>
    <row r="251" spans="5:8">
      <c r="E251" s="20"/>
      <c r="F251" s="65">
        <f>+Series!C240</f>
        <v>37135</v>
      </c>
      <c r="G251" s="30" t="str">
        <f>IF($E$6="seleccione impuesto"," - ",HLOOKUP($E$6,Series!$C$1:$AO$338, 240,0))</f>
        <v xml:space="preserve"> - </v>
      </c>
      <c r="H251" s="23"/>
    </row>
    <row r="252" spans="5:8">
      <c r="E252" s="20"/>
      <c r="F252" s="65">
        <f>+Series!C241</f>
        <v>37165</v>
      </c>
      <c r="G252" s="30" t="str">
        <f>IF($E$6="seleccione impuesto"," - ",HLOOKUP($E$6,Series!$C$1:$AO$338, 241,0))</f>
        <v xml:space="preserve"> - </v>
      </c>
      <c r="H252" s="23"/>
    </row>
    <row r="253" spans="5:8">
      <c r="E253" s="20"/>
      <c r="F253" s="65">
        <f>+Series!C242</f>
        <v>37196</v>
      </c>
      <c r="G253" s="30" t="str">
        <f>IF($E$6="seleccione impuesto"," - ",HLOOKUP($E$6,Series!$C$1:$AO$338, 242,0))</f>
        <v xml:space="preserve"> - </v>
      </c>
      <c r="H253" s="23"/>
    </row>
    <row r="254" spans="5:8">
      <c r="E254" s="20"/>
      <c r="F254" s="65">
        <f>+Series!C243</f>
        <v>37226</v>
      </c>
      <c r="G254" s="30" t="str">
        <f>IF($E$6="seleccione impuesto"," - ",HLOOKUP($E$6,Series!$C$1:$AO$338, 243,0))</f>
        <v xml:space="preserve"> - </v>
      </c>
      <c r="H254" s="23"/>
    </row>
    <row r="255" spans="5:8">
      <c r="E255" s="20"/>
      <c r="F255" s="65">
        <f>+Series!C244</f>
        <v>37257</v>
      </c>
      <c r="G255" s="30" t="str">
        <f>IF($E$6="seleccione impuesto"," - ",HLOOKUP($E$6,Series!$C$1:$AO$338, 244,0))</f>
        <v xml:space="preserve"> - </v>
      </c>
      <c r="H255" s="23"/>
    </row>
    <row r="256" spans="5:8">
      <c r="E256" s="20"/>
      <c r="F256" s="65">
        <f>+Series!C245</f>
        <v>37288</v>
      </c>
      <c r="G256" s="30" t="str">
        <f>IF($E$6="seleccione impuesto"," - ",HLOOKUP($E$6,Series!$C$1:$AO$338, 245,0))</f>
        <v xml:space="preserve"> - </v>
      </c>
      <c r="H256" s="23"/>
    </row>
    <row r="257" spans="5:8">
      <c r="E257" s="20"/>
      <c r="F257" s="65">
        <f>+Series!C246</f>
        <v>37316</v>
      </c>
      <c r="G257" s="30" t="str">
        <f>IF($E$6="seleccione impuesto"," - ",HLOOKUP($E$6,Series!$C$1:$AO$338, 246,0))</f>
        <v xml:space="preserve"> - </v>
      </c>
      <c r="H257" s="23"/>
    </row>
    <row r="258" spans="5:8">
      <c r="E258" s="20"/>
      <c r="F258" s="65">
        <f>+Series!C247</f>
        <v>37347</v>
      </c>
      <c r="G258" s="30" t="str">
        <f>IF($E$6="seleccione impuesto"," - ",HLOOKUP($E$6,Series!$C$1:$AO$338, 247,0))</f>
        <v xml:space="preserve"> - </v>
      </c>
      <c r="H258" s="23"/>
    </row>
    <row r="259" spans="5:8">
      <c r="E259" s="20"/>
      <c r="F259" s="65">
        <f>+Series!C248</f>
        <v>37377</v>
      </c>
      <c r="G259" s="30" t="str">
        <f>IF($E$6="seleccione impuesto"," - ",HLOOKUP($E$6,Series!$C$1:$AO$338, 248,0))</f>
        <v xml:space="preserve"> - </v>
      </c>
      <c r="H259" s="23"/>
    </row>
    <row r="260" spans="5:8">
      <c r="E260" s="20"/>
      <c r="F260" s="65">
        <f>+Series!C249</f>
        <v>37408</v>
      </c>
      <c r="G260" s="30" t="str">
        <f>IF($E$6="seleccione impuesto"," - ",HLOOKUP($E$6,Series!$C$1:$AO$338, 249,0))</f>
        <v xml:space="preserve"> - </v>
      </c>
      <c r="H260" s="23"/>
    </row>
    <row r="261" spans="5:8">
      <c r="E261" s="20"/>
      <c r="F261" s="65">
        <f>+Series!C250</f>
        <v>37438</v>
      </c>
      <c r="G261" s="30" t="str">
        <f>IF($E$6="seleccione impuesto"," - ",HLOOKUP($E$6,Series!$C$1:$AO$338, 250,0))</f>
        <v xml:space="preserve"> - </v>
      </c>
      <c r="H261" s="23"/>
    </row>
    <row r="262" spans="5:8">
      <c r="E262" s="20"/>
      <c r="F262" s="65">
        <f>+Series!C251</f>
        <v>37469</v>
      </c>
      <c r="G262" s="30" t="str">
        <f>IF($E$6="seleccione impuesto"," - ",HLOOKUP($E$6,Series!$C$1:$AO$338, 251,0))</f>
        <v xml:space="preserve"> - </v>
      </c>
      <c r="H262" s="23"/>
    </row>
    <row r="263" spans="5:8">
      <c r="E263" s="20"/>
      <c r="F263" s="65">
        <f>+Series!C252</f>
        <v>37500</v>
      </c>
      <c r="G263" s="30" t="str">
        <f>IF($E$6="seleccione impuesto"," - ",HLOOKUP($E$6,Series!$C$1:$AO$338, 252,0))</f>
        <v xml:space="preserve"> - </v>
      </c>
      <c r="H263" s="23"/>
    </row>
    <row r="264" spans="5:8">
      <c r="E264" s="20"/>
      <c r="F264" s="65">
        <f>+Series!C253</f>
        <v>37530</v>
      </c>
      <c r="G264" s="30" t="str">
        <f>IF($E$6="seleccione impuesto"," - ",HLOOKUP($E$6,Series!$C$1:$AO$338, 253,0))</f>
        <v xml:space="preserve"> - </v>
      </c>
      <c r="H264" s="23"/>
    </row>
    <row r="265" spans="5:8">
      <c r="E265" s="20"/>
      <c r="F265" s="65">
        <f>+Series!C254</f>
        <v>37561</v>
      </c>
      <c r="G265" s="30" t="str">
        <f>IF($E$6="seleccione impuesto"," - ",HLOOKUP($E$6,Series!$C$1:$AO$338, 254,0))</f>
        <v xml:space="preserve"> - </v>
      </c>
      <c r="H265" s="23"/>
    </row>
    <row r="266" spans="5:8">
      <c r="E266" s="20"/>
      <c r="F266" s="65">
        <f>+Series!C255</f>
        <v>37591</v>
      </c>
      <c r="G266" s="30" t="str">
        <f>IF($E$6="seleccione impuesto"," - ",HLOOKUP($E$6,Series!$C$1:$AO$338, 255,0))</f>
        <v xml:space="preserve"> - </v>
      </c>
      <c r="H266" s="23"/>
    </row>
    <row r="267" spans="5:8">
      <c r="E267" s="20"/>
      <c r="F267" s="65">
        <f>+Series!C256</f>
        <v>37622</v>
      </c>
      <c r="G267" s="30" t="str">
        <f>IF($E$6="seleccione impuesto"," - ",HLOOKUP($E$6,Series!$C$1:$AO$338, 256,0))</f>
        <v xml:space="preserve"> - </v>
      </c>
      <c r="H267" s="23"/>
    </row>
    <row r="268" spans="5:8">
      <c r="E268" s="20"/>
      <c r="F268" s="65">
        <f>+Series!C257</f>
        <v>37653</v>
      </c>
      <c r="G268" s="30" t="str">
        <f>IF($E$6="seleccione impuesto"," - ",HLOOKUP($E$6,Series!$C$1:$AO$338, 257,0))</f>
        <v xml:space="preserve"> - </v>
      </c>
      <c r="H268" s="23"/>
    </row>
    <row r="269" spans="5:8">
      <c r="E269" s="20"/>
      <c r="F269" s="65">
        <f>+Series!C258</f>
        <v>37681</v>
      </c>
      <c r="G269" s="30" t="str">
        <f>IF($E$6="seleccione impuesto"," - ",HLOOKUP($E$6,Series!$C$1:$AO$338, 258,0))</f>
        <v xml:space="preserve"> - </v>
      </c>
      <c r="H269" s="23"/>
    </row>
    <row r="270" spans="5:8">
      <c r="E270" s="20"/>
      <c r="F270" s="65">
        <f>+Series!C259</f>
        <v>37712</v>
      </c>
      <c r="G270" s="30" t="str">
        <f>IF($E$6="seleccione impuesto"," - ",HLOOKUP($E$6,Series!$C$1:$AO$338, 259,0))</f>
        <v xml:space="preserve"> - </v>
      </c>
      <c r="H270" s="23"/>
    </row>
    <row r="271" spans="5:8">
      <c r="E271" s="20"/>
      <c r="F271" s="65">
        <f>+Series!C260</f>
        <v>37742</v>
      </c>
      <c r="G271" s="30" t="str">
        <f>IF($E$6="seleccione impuesto"," - ",HLOOKUP($E$6,Series!$C$1:$AO$338, 260,0))</f>
        <v xml:space="preserve"> - </v>
      </c>
      <c r="H271" s="23"/>
    </row>
    <row r="272" spans="5:8">
      <c r="E272" s="20"/>
      <c r="F272" s="65">
        <f>+Series!C261</f>
        <v>37773</v>
      </c>
      <c r="G272" s="30" t="str">
        <f>IF($E$6="seleccione impuesto"," - ",HLOOKUP($E$6,Series!$C$1:$AO$338, 261,0))</f>
        <v xml:space="preserve"> - </v>
      </c>
      <c r="H272" s="23"/>
    </row>
    <row r="273" spans="5:8">
      <c r="E273" s="20"/>
      <c r="F273" s="65">
        <f>+Series!C262</f>
        <v>37803</v>
      </c>
      <c r="G273" s="30" t="str">
        <f>IF($E$6="seleccione impuesto"," - ",HLOOKUP($E$6,Series!$C$1:$AO$338, 262,0))</f>
        <v xml:space="preserve"> - </v>
      </c>
      <c r="H273" s="23"/>
    </row>
    <row r="274" spans="5:8">
      <c r="E274" s="20"/>
      <c r="F274" s="65">
        <f>+Series!C263</f>
        <v>37834</v>
      </c>
      <c r="G274" s="30" t="str">
        <f>IF($E$6="seleccione impuesto"," - ",HLOOKUP($E$6,Series!$C$1:$AO$338, 263,0))</f>
        <v xml:space="preserve"> - </v>
      </c>
      <c r="H274" s="23"/>
    </row>
    <row r="275" spans="5:8">
      <c r="E275" s="20"/>
      <c r="F275" s="65">
        <f>+Series!C264</f>
        <v>37865</v>
      </c>
      <c r="G275" s="30" t="str">
        <f>IF($E$6="seleccione impuesto"," - ",HLOOKUP($E$6,Series!$C$1:$AO$338, 264,0))</f>
        <v xml:space="preserve"> - </v>
      </c>
      <c r="H275" s="23"/>
    </row>
    <row r="276" spans="5:8">
      <c r="E276" s="20"/>
      <c r="F276" s="65">
        <f>+Series!C265</f>
        <v>37895</v>
      </c>
      <c r="G276" s="30" t="str">
        <f>IF($E$6="seleccione impuesto"," - ",HLOOKUP($E$6,Series!$C$1:$AO$338, 265,0))</f>
        <v xml:space="preserve"> - </v>
      </c>
      <c r="H276" s="23"/>
    </row>
    <row r="277" spans="5:8">
      <c r="E277" s="20"/>
      <c r="F277" s="65">
        <f>+Series!C266</f>
        <v>37926</v>
      </c>
      <c r="G277" s="30" t="str">
        <f>IF($E$6="seleccione impuesto"," - ",HLOOKUP($E$6,Series!$C$1:$AO$338, 266,0))</f>
        <v xml:space="preserve"> - </v>
      </c>
      <c r="H277" s="23"/>
    </row>
    <row r="278" spans="5:8">
      <c r="E278" s="20"/>
      <c r="F278" s="65">
        <f>+Series!C267</f>
        <v>37956</v>
      </c>
      <c r="G278" s="30" t="str">
        <f>IF($E$6="seleccione impuesto"," - ",HLOOKUP($E$6,Series!$C$1:$AO$338, 267,0))</f>
        <v xml:space="preserve"> - </v>
      </c>
      <c r="H278" s="23"/>
    </row>
    <row r="279" spans="5:8">
      <c r="E279" s="20"/>
      <c r="F279" s="65">
        <f>+Series!C268</f>
        <v>37987</v>
      </c>
      <c r="G279" s="30" t="str">
        <f>IF($E$6="seleccione impuesto"," - ",HLOOKUP($E$6,Series!$C$1:$AO$338, 268,0))</f>
        <v xml:space="preserve"> - </v>
      </c>
      <c r="H279" s="23"/>
    </row>
    <row r="280" spans="5:8">
      <c r="E280" s="20"/>
      <c r="F280" s="65">
        <f>+Series!C269</f>
        <v>38018</v>
      </c>
      <c r="G280" s="30" t="str">
        <f>IF($E$6="seleccione impuesto"," - ",HLOOKUP($E$6,Series!$C$1:$AO$338, 269,0))</f>
        <v xml:space="preserve"> - </v>
      </c>
      <c r="H280" s="23"/>
    </row>
    <row r="281" spans="5:8">
      <c r="E281" s="20"/>
      <c r="F281" s="65">
        <f>+Series!C270</f>
        <v>38047</v>
      </c>
      <c r="G281" s="30" t="str">
        <f>IF($E$6="seleccione impuesto"," - ",HLOOKUP($E$6,Series!$C$1:$AO$338, 270,0))</f>
        <v xml:space="preserve"> - </v>
      </c>
      <c r="H281" s="23"/>
    </row>
    <row r="282" spans="5:8">
      <c r="E282" s="20"/>
      <c r="F282" s="65">
        <f>+Series!C271</f>
        <v>38078</v>
      </c>
      <c r="G282" s="30" t="str">
        <f>IF($E$6="seleccione impuesto"," - ",HLOOKUP($E$6,Series!$C$1:$AO$338, 271,0))</f>
        <v xml:space="preserve"> - </v>
      </c>
      <c r="H282" s="23"/>
    </row>
    <row r="283" spans="5:8">
      <c r="E283" s="20"/>
      <c r="F283" s="65">
        <f>+Series!C272</f>
        <v>38108</v>
      </c>
      <c r="G283" s="30" t="str">
        <f>IF($E$6="seleccione impuesto"," - ",HLOOKUP($E$6,Series!$C$1:$AO$338, 272,0))</f>
        <v xml:space="preserve"> - </v>
      </c>
      <c r="H283" s="23"/>
    </row>
    <row r="284" spans="5:8">
      <c r="E284" s="20"/>
      <c r="F284" s="65">
        <f>+Series!C273</f>
        <v>38139</v>
      </c>
      <c r="G284" s="30" t="str">
        <f>IF($E$6="seleccione impuesto"," - ",HLOOKUP($E$6,Series!$C$1:$AO$338, 273,0))</f>
        <v xml:space="preserve"> - </v>
      </c>
      <c r="H284" s="23"/>
    </row>
    <row r="285" spans="5:8">
      <c r="E285" s="20"/>
      <c r="F285" s="65">
        <f>+Series!C274</f>
        <v>38169</v>
      </c>
      <c r="G285" s="30" t="str">
        <f>IF($E$6="seleccione impuesto"," - ",HLOOKUP($E$6,Series!$C$1:$AO$338, 274,0))</f>
        <v xml:space="preserve"> - </v>
      </c>
      <c r="H285" s="23"/>
    </row>
    <row r="286" spans="5:8">
      <c r="E286" s="20"/>
      <c r="F286" s="65">
        <f>+Series!C275</f>
        <v>38200</v>
      </c>
      <c r="G286" s="30" t="str">
        <f>IF($E$6="seleccione impuesto"," - ",HLOOKUP($E$6,Series!$C$1:$AO$338, 275,0))</f>
        <v xml:space="preserve"> - </v>
      </c>
      <c r="H286" s="23"/>
    </row>
    <row r="287" spans="5:8">
      <c r="E287" s="20"/>
      <c r="F287" s="65">
        <f>+Series!C276</f>
        <v>38231</v>
      </c>
      <c r="G287" s="30" t="str">
        <f>IF($E$6="seleccione impuesto"," - ",HLOOKUP($E$6,Series!$C$1:$AO$338, 276,0))</f>
        <v xml:space="preserve"> - </v>
      </c>
      <c r="H287" s="23"/>
    </row>
    <row r="288" spans="5:8">
      <c r="E288" s="20"/>
      <c r="F288" s="65">
        <f>+Series!C277</f>
        <v>38261</v>
      </c>
      <c r="G288" s="30" t="str">
        <f>IF($E$6="seleccione impuesto"," - ",HLOOKUP($E$6,Series!$C$1:$AO$338, 277,0))</f>
        <v xml:space="preserve"> - </v>
      </c>
      <c r="H288" s="23"/>
    </row>
    <row r="289" spans="5:8">
      <c r="E289" s="20"/>
      <c r="F289" s="65">
        <f>+Series!C278</f>
        <v>38292</v>
      </c>
      <c r="G289" s="30" t="str">
        <f>IF($E$6="seleccione impuesto"," - ",HLOOKUP($E$6,Series!$C$1:$AO$338, 278,0))</f>
        <v xml:space="preserve"> - </v>
      </c>
      <c r="H289" s="23"/>
    </row>
    <row r="290" spans="5:8">
      <c r="E290" s="20"/>
      <c r="F290" s="65">
        <f>+Series!C279</f>
        <v>38322</v>
      </c>
      <c r="G290" s="30" t="str">
        <f>IF($E$6="seleccione impuesto"," - ",HLOOKUP($E$6,Series!$C$1:$AO$338, 279,0))</f>
        <v xml:space="preserve"> - </v>
      </c>
      <c r="H290" s="23"/>
    </row>
    <row r="291" spans="5:8">
      <c r="E291" s="20"/>
      <c r="F291" s="65">
        <f>+Series!C280</f>
        <v>38353</v>
      </c>
      <c r="G291" s="30" t="str">
        <f>IF($E$6="seleccione impuesto"," - ",HLOOKUP($E$6,Series!$C$1:$AO$338, 280,0))</f>
        <v xml:space="preserve"> - </v>
      </c>
      <c r="H291" s="23"/>
    </row>
    <row r="292" spans="5:8">
      <c r="E292" s="20"/>
      <c r="F292" s="65">
        <f>+Series!C281</f>
        <v>38384</v>
      </c>
      <c r="G292" s="30" t="str">
        <f>IF($E$6="seleccione impuesto"," - ",HLOOKUP($E$6,Series!$C$1:$AO$338, 281,0))</f>
        <v xml:space="preserve"> - </v>
      </c>
      <c r="H292" s="23"/>
    </row>
    <row r="293" spans="5:8">
      <c r="E293" s="20"/>
      <c r="F293" s="65">
        <f>+Series!C282</f>
        <v>38412</v>
      </c>
      <c r="G293" s="30" t="str">
        <f>IF($E$6="seleccione impuesto"," - ",HLOOKUP($E$6,Series!$C$1:$AO$338, 282,0))</f>
        <v xml:space="preserve"> - </v>
      </c>
      <c r="H293" s="23"/>
    </row>
    <row r="294" spans="5:8">
      <c r="E294" s="20"/>
      <c r="F294" s="65">
        <f>+Series!C283</f>
        <v>38443</v>
      </c>
      <c r="G294" s="30" t="str">
        <f>IF($E$6="seleccione impuesto"," - ",HLOOKUP($E$6,Series!$C$1:$AO$338, 283,0))</f>
        <v xml:space="preserve"> - </v>
      </c>
      <c r="H294" s="23"/>
    </row>
    <row r="295" spans="5:8">
      <c r="E295" s="20"/>
      <c r="F295" s="65">
        <f>+Series!C284</f>
        <v>38473</v>
      </c>
      <c r="G295" s="30" t="str">
        <f>IF($E$6="seleccione impuesto"," - ",HLOOKUP($E$6,Series!$C$1:$AO$338, 284,0))</f>
        <v xml:space="preserve"> - </v>
      </c>
      <c r="H295" s="23"/>
    </row>
    <row r="296" spans="5:8">
      <c r="E296" s="20"/>
      <c r="F296" s="65">
        <f>+Series!C285</f>
        <v>38504</v>
      </c>
      <c r="G296" s="30" t="str">
        <f>IF($E$6="seleccione impuesto"," - ",HLOOKUP($E$6,Series!$C$1:$AO$338, 285,0))</f>
        <v xml:space="preserve"> - </v>
      </c>
      <c r="H296" s="23"/>
    </row>
    <row r="297" spans="5:8">
      <c r="E297" s="20"/>
      <c r="F297" s="65">
        <f>+Series!C286</f>
        <v>38534</v>
      </c>
      <c r="G297" s="30" t="str">
        <f>IF($E$6="seleccione impuesto"," - ",HLOOKUP($E$6,Series!$C$1:$AO$338, 286,0))</f>
        <v xml:space="preserve"> - </v>
      </c>
      <c r="H297" s="23"/>
    </row>
    <row r="298" spans="5:8">
      <c r="E298" s="20"/>
      <c r="F298" s="65">
        <f>+Series!C287</f>
        <v>38565</v>
      </c>
      <c r="G298" s="30" t="str">
        <f>IF($E$6="seleccione impuesto"," - ",HLOOKUP($E$6,Series!$C$1:$AO$338, 287,0))</f>
        <v xml:space="preserve"> - </v>
      </c>
      <c r="H298" s="23"/>
    </row>
    <row r="299" spans="5:8">
      <c r="E299" s="20"/>
      <c r="F299" s="65">
        <f>+Series!C288</f>
        <v>38596</v>
      </c>
      <c r="G299" s="30" t="str">
        <f>IF($E$6="seleccione impuesto"," - ",HLOOKUP($E$6,Series!$C$1:$AO$338, 288,0))</f>
        <v xml:space="preserve"> - </v>
      </c>
      <c r="H299" s="23"/>
    </row>
    <row r="300" spans="5:8">
      <c r="E300" s="20"/>
      <c r="F300" s="65">
        <f>+Series!C289</f>
        <v>38626</v>
      </c>
      <c r="G300" s="30" t="str">
        <f>IF($E$6="seleccione impuesto"," - ",HLOOKUP($E$6,Series!$C$1:$AO$338, 289,0))</f>
        <v xml:space="preserve"> - </v>
      </c>
      <c r="H300" s="23"/>
    </row>
    <row r="301" spans="5:8">
      <c r="E301" s="20"/>
      <c r="F301" s="65">
        <f>+Series!C290</f>
        <v>38657</v>
      </c>
      <c r="G301" s="30" t="str">
        <f>IF($E$6="seleccione impuesto"," - ",HLOOKUP($E$6,Series!$C$1:$AO$338, 290,0))</f>
        <v xml:space="preserve"> - </v>
      </c>
      <c r="H301" s="23"/>
    </row>
    <row r="302" spans="5:8">
      <c r="E302" s="20"/>
      <c r="F302" s="65">
        <f>+Series!C291</f>
        <v>38687</v>
      </c>
      <c r="G302" s="30" t="str">
        <f>IF($E$6="seleccione impuesto"," - ",HLOOKUP($E$6,Series!$C$1:$AO$338, 291,0))</f>
        <v xml:space="preserve"> - </v>
      </c>
      <c r="H302" s="23"/>
    </row>
    <row r="303" spans="5:8">
      <c r="E303" s="20"/>
      <c r="F303" s="65">
        <f>+Series!C292</f>
        <v>38718</v>
      </c>
      <c r="G303" s="30" t="str">
        <f>IF($E$6="seleccione impuesto"," - ",HLOOKUP($E$6,Series!$C$1:$AO$338, 292,0))</f>
        <v xml:space="preserve"> - </v>
      </c>
      <c r="H303" s="23"/>
    </row>
    <row r="304" spans="5:8">
      <c r="E304" s="20"/>
      <c r="F304" s="65">
        <f>+Series!C293</f>
        <v>38749</v>
      </c>
      <c r="G304" s="30" t="str">
        <f>IF($E$6="seleccione impuesto"," - ",HLOOKUP($E$6,Series!$C$1:$AO$338, 293,0))</f>
        <v xml:space="preserve"> - </v>
      </c>
      <c r="H304" s="23"/>
    </row>
    <row r="305" spans="5:8">
      <c r="E305" s="20"/>
      <c r="F305" s="65">
        <f>+Series!C294</f>
        <v>38777</v>
      </c>
      <c r="G305" s="30" t="str">
        <f>IF($E$6="seleccione impuesto"," - ",HLOOKUP($E$6,Series!$C$1:$AO$338, 294,0))</f>
        <v xml:space="preserve"> - </v>
      </c>
      <c r="H305" s="23"/>
    </row>
    <row r="306" spans="5:8">
      <c r="E306" s="20"/>
      <c r="F306" s="65">
        <f>+Series!C295</f>
        <v>38808</v>
      </c>
      <c r="G306" s="30" t="str">
        <f>IF($E$6="seleccione impuesto"," - ",HLOOKUP($E$6,Series!$C$1:$AO$338, 295,0))</f>
        <v xml:space="preserve"> - </v>
      </c>
      <c r="H306" s="23"/>
    </row>
    <row r="307" spans="5:8">
      <c r="E307" s="20"/>
      <c r="F307" s="65">
        <f>+Series!C296</f>
        <v>38838</v>
      </c>
      <c r="G307" s="30" t="str">
        <f>IF($E$6="seleccione impuesto"," - ",HLOOKUP($E$6,Series!$C$1:$AO$338, 296,0))</f>
        <v xml:space="preserve"> - </v>
      </c>
      <c r="H307" s="23"/>
    </row>
    <row r="308" spans="5:8">
      <c r="E308" s="20"/>
      <c r="F308" s="65">
        <f>+Series!C297</f>
        <v>38869</v>
      </c>
      <c r="G308" s="30" t="str">
        <f>IF($E$6="seleccione impuesto"," - ",HLOOKUP($E$6,Series!$C$1:$AO$338, 297,0))</f>
        <v xml:space="preserve"> - </v>
      </c>
      <c r="H308" s="23"/>
    </row>
    <row r="309" spans="5:8">
      <c r="E309" s="20"/>
      <c r="F309" s="65">
        <f>+Series!C298</f>
        <v>38899</v>
      </c>
      <c r="G309" s="30" t="str">
        <f>IF($E$6="seleccione impuesto"," - ",HLOOKUP($E$6,Series!$C$1:$AO$338, 298,0))</f>
        <v xml:space="preserve"> - </v>
      </c>
      <c r="H309" s="23"/>
    </row>
    <row r="310" spans="5:8">
      <c r="E310" s="20"/>
      <c r="F310" s="65">
        <f>+Series!C299</f>
        <v>38930</v>
      </c>
      <c r="G310" s="30" t="str">
        <f>IF($E$6="seleccione impuesto"," - ",HLOOKUP($E$6,Series!$C$1:$AO$338, 299,0))</f>
        <v xml:space="preserve"> - </v>
      </c>
      <c r="H310" s="23"/>
    </row>
    <row r="311" spans="5:8">
      <c r="E311" s="20"/>
      <c r="F311" s="65">
        <f>+Series!C300</f>
        <v>38961</v>
      </c>
      <c r="G311" s="30" t="str">
        <f>IF($E$6="seleccione impuesto"," - ",HLOOKUP($E$6,Series!$C$1:$AO$338, 300,0))</f>
        <v xml:space="preserve"> - </v>
      </c>
      <c r="H311" s="23"/>
    </row>
    <row r="312" spans="5:8">
      <c r="E312" s="20"/>
      <c r="F312" s="65">
        <f>+Series!C301</f>
        <v>38991</v>
      </c>
      <c r="G312" s="30" t="str">
        <f>IF($E$6="seleccione impuesto"," - ",HLOOKUP($E$6,Series!$C$1:$AO$338, 301,0))</f>
        <v xml:space="preserve"> - </v>
      </c>
      <c r="H312" s="23"/>
    </row>
    <row r="313" spans="5:8">
      <c r="E313" s="20"/>
      <c r="F313" s="65">
        <f>+Series!C302</f>
        <v>39022</v>
      </c>
      <c r="G313" s="30" t="str">
        <f>IF($E$6="seleccione impuesto"," - ",HLOOKUP($E$6,Series!$C$1:$AO$338, 302,0))</f>
        <v xml:space="preserve"> - </v>
      </c>
      <c r="H313" s="23"/>
    </row>
    <row r="314" spans="5:8">
      <c r="E314" s="20"/>
      <c r="F314" s="65">
        <f>+Series!C303</f>
        <v>39052</v>
      </c>
      <c r="G314" s="30" t="str">
        <f>IF($E$6="seleccione impuesto"," - ",HLOOKUP($E$6,Series!$C$1:$AO$338, 303,0))</f>
        <v xml:space="preserve"> - </v>
      </c>
      <c r="H314" s="23"/>
    </row>
    <row r="315" spans="5:8">
      <c r="E315" s="20"/>
      <c r="F315" s="65">
        <f>+Series!C304</f>
        <v>39083</v>
      </c>
      <c r="G315" s="30" t="str">
        <f>IF($E$6="seleccione impuesto"," - ",HLOOKUP($E$6,Series!$C$1:$AO$338, 304,0))</f>
        <v xml:space="preserve"> - </v>
      </c>
      <c r="H315" s="23"/>
    </row>
    <row r="316" spans="5:8">
      <c r="E316" s="20"/>
      <c r="F316" s="65">
        <f>+Series!C305</f>
        <v>39114</v>
      </c>
      <c r="G316" s="30" t="str">
        <f>IF($E$6="seleccione impuesto"," - ",HLOOKUP($E$6,Series!$C$1:$AO$338, 305,0))</f>
        <v xml:space="preserve"> - </v>
      </c>
      <c r="H316" s="23"/>
    </row>
    <row r="317" spans="5:8">
      <c r="E317" s="20"/>
      <c r="F317" s="65">
        <f>+Series!C306</f>
        <v>39142</v>
      </c>
      <c r="G317" s="30" t="str">
        <f>IF($E$6="seleccione impuesto"," - ",HLOOKUP($E$6,Series!$C$1:$AO$338, 306,0))</f>
        <v xml:space="preserve"> - </v>
      </c>
      <c r="H317" s="23"/>
    </row>
    <row r="318" spans="5:8">
      <c r="E318" s="20"/>
      <c r="F318" s="65">
        <f>+Series!C307</f>
        <v>39173</v>
      </c>
      <c r="G318" s="30" t="str">
        <f>IF($E$6="seleccione impuesto"," - ",HLOOKUP($E$6,Series!$C$1:$AO$338, 307,0))</f>
        <v xml:space="preserve"> - </v>
      </c>
      <c r="H318" s="23"/>
    </row>
    <row r="319" spans="5:8">
      <c r="E319" s="20"/>
      <c r="F319" s="65">
        <f>+Series!C308</f>
        <v>39203</v>
      </c>
      <c r="G319" s="30" t="str">
        <f>IF($E$6="seleccione impuesto"," - ",HLOOKUP($E$6,Series!$C$1:$AO$338, 308,0))</f>
        <v xml:space="preserve"> - </v>
      </c>
      <c r="H319" s="23"/>
    </row>
    <row r="320" spans="5:8">
      <c r="E320" s="20"/>
      <c r="F320" s="65">
        <f>+Series!C309</f>
        <v>39234</v>
      </c>
      <c r="G320" s="30" t="str">
        <f>IF($E$6="seleccione impuesto"," - ",HLOOKUP($E$6,Series!$C$1:$AO$338, 309,0))</f>
        <v xml:space="preserve"> - </v>
      </c>
      <c r="H320" s="23"/>
    </row>
    <row r="321" spans="5:8">
      <c r="E321" s="20"/>
      <c r="F321" s="65">
        <f>+Series!C310</f>
        <v>39264</v>
      </c>
      <c r="G321" s="30" t="str">
        <f>IF($E$6="seleccione impuesto"," - ",HLOOKUP($E$6,Series!$C$1:$AO$338, 310,0))</f>
        <v xml:space="preserve"> - </v>
      </c>
      <c r="H321" s="23"/>
    </row>
    <row r="322" spans="5:8">
      <c r="E322" s="20"/>
      <c r="F322" s="65">
        <f>+Series!C311</f>
        <v>39295</v>
      </c>
      <c r="G322" s="30" t="str">
        <f>IF($E$6="seleccione impuesto"," - ",HLOOKUP($E$6,Series!$C$1:$AO$338, 311,0))</f>
        <v xml:space="preserve"> - </v>
      </c>
      <c r="H322" s="23"/>
    </row>
    <row r="323" spans="5:8">
      <c r="E323" s="20"/>
      <c r="F323" s="65">
        <f>+Series!C312</f>
        <v>39326</v>
      </c>
      <c r="G323" s="30" t="str">
        <f>IF($E$6="seleccione impuesto"," - ",HLOOKUP($E$6,Series!$C$1:$AO$338, 312,0))</f>
        <v xml:space="preserve"> - </v>
      </c>
      <c r="H323" s="23"/>
    </row>
    <row r="324" spans="5:8">
      <c r="E324" s="20"/>
      <c r="F324" s="65">
        <f>+Series!C313</f>
        <v>39356</v>
      </c>
      <c r="G324" s="30" t="str">
        <f>IF($E$6="seleccione impuesto"," - ",HLOOKUP($E$6,Series!$C$1:$AO$338, 313,0))</f>
        <v xml:space="preserve"> - </v>
      </c>
      <c r="H324" s="23"/>
    </row>
    <row r="325" spans="5:8">
      <c r="E325" s="20"/>
      <c r="F325" s="65">
        <f>+Series!C314</f>
        <v>39387</v>
      </c>
      <c r="G325" s="30" t="str">
        <f>IF($E$6="seleccione impuesto"," - ",HLOOKUP($E$6,Series!$C$1:$AO$338, 314,0))</f>
        <v xml:space="preserve"> - </v>
      </c>
      <c r="H325" s="23"/>
    </row>
    <row r="326" spans="5:8">
      <c r="E326" s="20"/>
      <c r="F326" s="65">
        <f>+Series!C315</f>
        <v>39417</v>
      </c>
      <c r="G326" s="30" t="str">
        <f>IF($E$6="seleccione impuesto"," - ",HLOOKUP($E$6,Series!$C$1:$AO$338, 315,0))</f>
        <v xml:space="preserve"> - </v>
      </c>
      <c r="H326" s="23"/>
    </row>
    <row r="327" spans="5:8">
      <c r="E327" s="20"/>
      <c r="F327" s="65">
        <f>+Series!C316</f>
        <v>39448</v>
      </c>
      <c r="G327" s="30" t="str">
        <f>IF($E$6="seleccione impuesto"," - ",HLOOKUP($E$6,Series!$C$1:$AO$338, 316,0))</f>
        <v xml:space="preserve"> - </v>
      </c>
      <c r="H327" s="23"/>
    </row>
    <row r="328" spans="5:8">
      <c r="E328" s="20"/>
      <c r="F328" s="65">
        <f>+Series!C317</f>
        <v>39479</v>
      </c>
      <c r="G328" s="30" t="str">
        <f>IF($E$6="seleccione impuesto"," - ",HLOOKUP($E$6,Series!$C$1:$AO$338, 317,0))</f>
        <v xml:space="preserve"> - </v>
      </c>
      <c r="H328" s="23"/>
    </row>
    <row r="329" spans="5:8">
      <c r="E329" s="20"/>
      <c r="F329" s="65">
        <f>+Series!C318</f>
        <v>39508</v>
      </c>
      <c r="G329" s="30" t="str">
        <f>IF($E$6="seleccione impuesto"," - ",HLOOKUP($E$6,Series!$C$1:$AO$338, 318,0))</f>
        <v xml:space="preserve"> - </v>
      </c>
      <c r="H329" s="23"/>
    </row>
    <row r="330" spans="5:8">
      <c r="E330" s="20"/>
      <c r="F330" s="65">
        <f>+Series!C319</f>
        <v>39539</v>
      </c>
      <c r="G330" s="30" t="str">
        <f>IF($E$6="seleccione impuesto"," - ",HLOOKUP($E$6,Series!$C$1:$AO$338, 319,0))</f>
        <v xml:space="preserve"> - </v>
      </c>
      <c r="H330" s="23"/>
    </row>
    <row r="331" spans="5:8">
      <c r="E331" s="20"/>
      <c r="F331" s="65">
        <f>+Series!C320</f>
        <v>39569</v>
      </c>
      <c r="G331" s="30" t="str">
        <f>IF($E$6="seleccione impuesto"," - ",HLOOKUP($E$6,Series!$C$1:$AO$338, 320,0))</f>
        <v xml:space="preserve"> - </v>
      </c>
      <c r="H331" s="23"/>
    </row>
    <row r="332" spans="5:8">
      <c r="E332" s="20"/>
      <c r="F332" s="65">
        <f>+Series!C321</f>
        <v>39600</v>
      </c>
      <c r="G332" s="30" t="str">
        <f>IF($E$6="seleccione impuesto"," - ",HLOOKUP($E$6,Series!$C$1:$AO$338, 321,0))</f>
        <v xml:space="preserve"> - </v>
      </c>
      <c r="H332" s="23"/>
    </row>
    <row r="333" spans="5:8">
      <c r="E333" s="20"/>
      <c r="F333" s="65">
        <f>+Series!C322</f>
        <v>39630</v>
      </c>
      <c r="G333" s="30" t="str">
        <f>IF($E$6="seleccione impuesto"," - ",HLOOKUP($E$6,Series!$C$1:$AO$338, 322,0))</f>
        <v xml:space="preserve"> - </v>
      </c>
      <c r="H333" s="23"/>
    </row>
    <row r="334" spans="5:8">
      <c r="E334" s="20"/>
      <c r="F334" s="65">
        <f>+Series!C323</f>
        <v>39661</v>
      </c>
      <c r="G334" s="30" t="str">
        <f>IF($E$6="seleccione impuesto"," - ",HLOOKUP($E$6,Series!$C$1:$AO$338, 323,0))</f>
        <v xml:space="preserve"> - </v>
      </c>
      <c r="H334" s="23"/>
    </row>
    <row r="335" spans="5:8">
      <c r="E335" s="20"/>
      <c r="F335" s="65">
        <f>+Series!C324</f>
        <v>39692</v>
      </c>
      <c r="G335" s="30" t="str">
        <f>IF($E$6="seleccione impuesto"," - ",HLOOKUP($E$6,Series!$C$1:$AO$338, 324,0))</f>
        <v xml:space="preserve"> - </v>
      </c>
      <c r="H335" s="23"/>
    </row>
    <row r="336" spans="5:8">
      <c r="E336" s="20"/>
      <c r="F336" s="65">
        <f>+Series!C325</f>
        <v>39722</v>
      </c>
      <c r="G336" s="30" t="str">
        <f>IF($E$6="seleccione impuesto"," - ",HLOOKUP($E$6,Series!$C$1:$AO$338, 325,0))</f>
        <v xml:space="preserve"> - </v>
      </c>
      <c r="H336" s="23"/>
    </row>
    <row r="337" spans="5:8">
      <c r="E337" s="20"/>
      <c r="F337" s="65">
        <f>+Series!C326</f>
        <v>39753</v>
      </c>
      <c r="G337" s="30" t="str">
        <f>IF($E$6="seleccione impuesto"," - ",HLOOKUP($E$6,Series!$C$1:$AO$338, 326,0))</f>
        <v xml:space="preserve"> - </v>
      </c>
      <c r="H337" s="23"/>
    </row>
    <row r="338" spans="5:8">
      <c r="E338" s="20"/>
      <c r="F338" s="65">
        <f>+Series!C327</f>
        <v>39783</v>
      </c>
      <c r="G338" s="30" t="str">
        <f>IF($E$6="seleccione impuesto"," - ",HLOOKUP($E$6,Series!$C$1:$AO$338, 327,0))</f>
        <v xml:space="preserve"> - </v>
      </c>
      <c r="H338" s="23"/>
    </row>
    <row r="339" spans="5:8">
      <c r="E339" s="20"/>
      <c r="F339" s="65">
        <f>+Series!C328</f>
        <v>39814</v>
      </c>
      <c r="G339" s="30" t="str">
        <f>IF($E$6="seleccione impuesto"," - ",HLOOKUP($E$6,Series!$C$1:AO328, 328,0))</f>
        <v xml:space="preserve"> - </v>
      </c>
      <c r="H339" s="23"/>
    </row>
    <row r="340" spans="5:8">
      <c r="E340" s="20"/>
      <c r="F340" s="65">
        <f>+Series!C329</f>
        <v>39845</v>
      </c>
      <c r="G340" s="30" t="str">
        <f>IF($E$6="seleccione impuesto"," - ",HLOOKUP($E$6,Series!$C$1:AO329, 329,0))</f>
        <v xml:space="preserve"> - </v>
      </c>
      <c r="H340" s="23"/>
    </row>
    <row r="341" spans="5:8">
      <c r="E341" s="20"/>
      <c r="F341" s="65">
        <f>+Series!C330</f>
        <v>39873</v>
      </c>
      <c r="G341" s="30" t="str">
        <f>IF($E$6="seleccione impuesto"," - ",HLOOKUP($E$6,Series!$C$1:AO330, 330,0))</f>
        <v xml:space="preserve"> - </v>
      </c>
      <c r="H341" s="23"/>
    </row>
    <row r="342" spans="5:8">
      <c r="E342" s="20"/>
      <c r="F342" s="65">
        <f>+Series!C331</f>
        <v>39904</v>
      </c>
      <c r="G342" s="30" t="str">
        <f>IF($E$6="seleccione impuesto"," - ",HLOOKUP($E$6,Series!$C$1:AO331, 331,0))</f>
        <v xml:space="preserve"> - </v>
      </c>
      <c r="H342" s="23"/>
    </row>
    <row r="343" spans="5:8">
      <c r="E343" s="20"/>
      <c r="F343" s="65">
        <f>+Series!C332</f>
        <v>39934</v>
      </c>
      <c r="G343" s="30" t="str">
        <f>IF($E$6="seleccione impuesto"," - ",HLOOKUP($E$6,Series!$C$1:AO332, 332,0))</f>
        <v xml:space="preserve"> - </v>
      </c>
      <c r="H343" s="23"/>
    </row>
    <row r="344" spans="5:8">
      <c r="E344" s="20"/>
      <c r="F344" s="65">
        <f>+Series!C333</f>
        <v>39965</v>
      </c>
      <c r="G344" s="30" t="str">
        <f>IF($E$6="seleccione impuesto"," - ",HLOOKUP($E$6,Series!$C$1:AO333, 333,0))</f>
        <v xml:space="preserve"> - </v>
      </c>
      <c r="H344" s="23"/>
    </row>
    <row r="345" spans="5:8">
      <c r="E345" s="20"/>
      <c r="F345" s="65">
        <f>+Series!C334</f>
        <v>39995</v>
      </c>
      <c r="G345" s="30" t="str">
        <f>IF($E$6="seleccione impuesto"," - ",HLOOKUP($E$6,Series!$C$1:AO334, 334,0))</f>
        <v xml:space="preserve"> - </v>
      </c>
      <c r="H345" s="23"/>
    </row>
    <row r="346" spans="5:8">
      <c r="E346" s="20"/>
      <c r="F346" s="65">
        <f>+Series!C335</f>
        <v>40026</v>
      </c>
      <c r="G346" s="30" t="str">
        <f>IF($E$6="seleccione impuesto"," - ",HLOOKUP($E$6,Series!$C$1:AO335, 335,0))</f>
        <v xml:space="preserve"> - </v>
      </c>
      <c r="H346" s="23"/>
    </row>
    <row r="347" spans="5:8">
      <c r="E347" s="20"/>
      <c r="F347" s="65">
        <f>+Series!C336</f>
        <v>40057</v>
      </c>
      <c r="G347" s="30" t="str">
        <f>IF($E$6="seleccione impuesto"," - ",HLOOKUP($E$6,Series!$C$1:AO336, 336,0))</f>
        <v xml:space="preserve"> - </v>
      </c>
      <c r="H347" s="23"/>
    </row>
    <row r="348" spans="5:8">
      <c r="E348" s="20"/>
      <c r="F348" s="65">
        <f>+Series!C337</f>
        <v>40087</v>
      </c>
      <c r="G348" s="30" t="str">
        <f>IF($E$6="seleccione impuesto"," - ",HLOOKUP($E$6,Series!$C$1:AO337, 337,0))</f>
        <v xml:space="preserve"> - </v>
      </c>
    </row>
    <row r="349" spans="5:8">
      <c r="E349" s="20"/>
      <c r="F349" s="65">
        <f>+Series!C338</f>
        <v>40118</v>
      </c>
      <c r="G349" s="30" t="str">
        <f>IF($E$6="seleccione impuesto"," - ",HLOOKUP($E$6,Series!$C$1:AO338, 338,0))</f>
        <v xml:space="preserve"> - </v>
      </c>
    </row>
    <row r="350" spans="5:8">
      <c r="E350" s="20"/>
      <c r="F350" s="65">
        <f>+Series!C339</f>
        <v>40148</v>
      </c>
      <c r="G350" s="30" t="str">
        <f>IF($E$6="seleccione impuesto"," - ",HLOOKUP($E$6,Series!$C$1:AO339, 339,0))</f>
        <v xml:space="preserve"> - </v>
      </c>
    </row>
    <row r="351" spans="5:8">
      <c r="E351" s="20"/>
      <c r="F351" s="65">
        <f>+Series!C340</f>
        <v>40179</v>
      </c>
      <c r="G351" s="30" t="str">
        <f>IF($E$6="seleccione impuesto"," - ",HLOOKUP($E$6,Series!$C$1:AO340, 340,0))</f>
        <v xml:space="preserve"> - </v>
      </c>
    </row>
    <row r="352" spans="5:8">
      <c r="E352" s="20"/>
      <c r="F352" s="65">
        <f>+Series!C341</f>
        <v>40210</v>
      </c>
      <c r="G352" s="30" t="str">
        <f>IF($E$6="seleccione impuesto"," - ",HLOOKUP($E$6,Series!$C$1:AO341, 341,0))</f>
        <v xml:space="preserve"> - </v>
      </c>
    </row>
    <row r="353" spans="5:7">
      <c r="E353" s="20"/>
      <c r="F353" s="65">
        <f>+Series!C342</f>
        <v>40238</v>
      </c>
      <c r="G353" s="30" t="str">
        <f>IF($E$6="seleccione impuesto"," - ",HLOOKUP($E$6,Series!$C$1:AO342, 342,0))</f>
        <v xml:space="preserve"> - </v>
      </c>
    </row>
    <row r="354" spans="5:7">
      <c r="E354" s="20"/>
      <c r="F354" s="65">
        <f>+Series!C343</f>
        <v>40269</v>
      </c>
      <c r="G354" s="30" t="str">
        <f>IF($E$6="seleccione impuesto"," - ",HLOOKUP($E$6,Series!$C$1:AO343, 343,0))</f>
        <v xml:space="preserve"> - </v>
      </c>
    </row>
    <row r="355" spans="5:7">
      <c r="E355" s="20"/>
      <c r="F355" s="65">
        <f>+Series!C344</f>
        <v>40299</v>
      </c>
      <c r="G355" s="30" t="str">
        <f>IF($E$6="seleccione impuesto"," - ",HLOOKUP($E$6,Series!$C$1:AO344, 344,0))</f>
        <v xml:space="preserve"> - </v>
      </c>
    </row>
    <row r="356" spans="5:7">
      <c r="E356" s="20"/>
      <c r="F356" s="65">
        <f>+Series!C345</f>
        <v>40330</v>
      </c>
      <c r="G356" s="30" t="str">
        <f>IF($E$6="seleccione impuesto"," - ",HLOOKUP($E$6,Series!$C$1:AO345, 345,0))</f>
        <v xml:space="preserve"> - </v>
      </c>
    </row>
    <row r="357" spans="5:7">
      <c r="E357" s="20"/>
      <c r="F357" s="65">
        <f>+Series!C346</f>
        <v>40360</v>
      </c>
      <c r="G357" s="30" t="str">
        <f>IF($E$6="seleccione impuesto"," - ",HLOOKUP($E$6,Series!$C$1:AO346, 346,0))</f>
        <v xml:space="preserve"> - </v>
      </c>
    </row>
    <row r="358" spans="5:7">
      <c r="E358" s="20"/>
      <c r="F358" s="65">
        <f>+Series!C347</f>
        <v>40391</v>
      </c>
      <c r="G358" s="30" t="str">
        <f>IF($E$6="seleccione impuesto"," - ",HLOOKUP($E$6,Series!$C$1:AO347, 347,0))</f>
        <v xml:space="preserve"> - </v>
      </c>
    </row>
    <row r="359" spans="5:7">
      <c r="E359" s="20"/>
      <c r="F359" s="65">
        <f>+Series!C348</f>
        <v>40422</v>
      </c>
      <c r="G359" s="30" t="str">
        <f>IF($E$6="seleccione impuesto"," - ",HLOOKUP($E$6,Series!$C$1:AO348, 348,0))</f>
        <v xml:space="preserve"> - </v>
      </c>
    </row>
    <row r="360" spans="5:7">
      <c r="E360" s="20"/>
      <c r="F360" s="65">
        <f>+Series!C349</f>
        <v>40452</v>
      </c>
      <c r="G360" s="30" t="str">
        <f>IF($E$6="seleccione impuesto"," - ",HLOOKUP($E$6,Series!$C$1:AO349, 349,0))</f>
        <v xml:space="preserve"> - </v>
      </c>
    </row>
    <row r="361" spans="5:7">
      <c r="E361" s="20"/>
      <c r="F361" s="65">
        <f>+Series!C350</f>
        <v>40483</v>
      </c>
      <c r="G361" s="30" t="str">
        <f>IF($E$6="seleccione impuesto"," - ",HLOOKUP($E$6,Series!$C$1:AO350, 350,0))</f>
        <v xml:space="preserve"> - </v>
      </c>
    </row>
    <row r="362" spans="5:7">
      <c r="E362" s="20"/>
      <c r="F362" s="65">
        <f>+Series!C351</f>
        <v>40513</v>
      </c>
      <c r="G362" s="30" t="str">
        <f>IF($E$6="seleccione impuesto"," - ",HLOOKUP($E$6,Series!$C$1:AO351, 351,0))</f>
        <v xml:space="preserve"> - </v>
      </c>
    </row>
    <row r="363" spans="5:7">
      <c r="E363" s="20"/>
      <c r="F363" s="65">
        <f>+Series!C352</f>
        <v>40544</v>
      </c>
      <c r="G363" s="30" t="str">
        <f>IF($E$6="seleccione impuesto"," - ",HLOOKUP($E$6,Series!$C$1:AO352, 352,0))</f>
        <v xml:space="preserve"> - </v>
      </c>
    </row>
    <row r="364" spans="5:7">
      <c r="E364" s="20"/>
      <c r="F364" s="65">
        <f>+Series!C353</f>
        <v>40575</v>
      </c>
      <c r="G364" s="30" t="str">
        <f>IF($E$6="seleccione impuesto"," - ",HLOOKUP($E$6,Series!$C$1:AO353, 353,0))</f>
        <v xml:space="preserve"> - </v>
      </c>
    </row>
    <row r="365" spans="5:7">
      <c r="E365" s="20"/>
      <c r="F365" s="65">
        <f>+Series!C354</f>
        <v>40603</v>
      </c>
      <c r="G365" s="30" t="str">
        <f>IF($E$6="seleccione impuesto"," - ",HLOOKUP($E$6,Series!$C$1:AO354, 354,0))</f>
        <v xml:space="preserve"> - </v>
      </c>
    </row>
    <row r="366" spans="5:7">
      <c r="E366" s="20"/>
      <c r="F366" s="65">
        <f>+Series!C355</f>
        <v>40634</v>
      </c>
      <c r="G366" s="30" t="str">
        <f>IF($E$6="seleccione impuesto"," - ",HLOOKUP($E$6,Series!$C$1:AO355, 355,0))</f>
        <v xml:space="preserve"> - </v>
      </c>
    </row>
    <row r="367" spans="5:7">
      <c r="E367" s="20"/>
      <c r="F367" s="65">
        <f>+Series!C356</f>
        <v>40664</v>
      </c>
      <c r="G367" s="30" t="str">
        <f>IF($E$6="seleccione impuesto"," - ",HLOOKUP($E$6,Series!$C$1:AO356, 356,0))</f>
        <v xml:space="preserve"> - </v>
      </c>
    </row>
    <row r="368" spans="5:7">
      <c r="E368" s="20"/>
      <c r="F368" s="65">
        <f>+Series!C357</f>
        <v>40695</v>
      </c>
      <c r="G368" s="30" t="str">
        <f>IF($E$6="seleccione impuesto"," - ",HLOOKUP($E$6,Series!$C$1:AO357, 357,0))</f>
        <v xml:space="preserve"> - </v>
      </c>
    </row>
    <row r="369" spans="5:7">
      <c r="E369" s="20"/>
      <c r="F369" s="65">
        <f>+Series!C358</f>
        <v>40725</v>
      </c>
      <c r="G369" s="30" t="str">
        <f>IF($E$6="seleccione impuesto"," - ",HLOOKUP($E$6,Series!$C$1:AO358, 358,0))</f>
        <v xml:space="preserve"> - </v>
      </c>
    </row>
    <row r="370" spans="5:7">
      <c r="E370" s="20"/>
      <c r="F370" s="65">
        <f>+Series!C359</f>
        <v>40756</v>
      </c>
      <c r="G370" s="30" t="str">
        <f>IF($E$6="seleccione impuesto"," - ",HLOOKUP($E$6,Series!$C$1:AO359, 359,0))</f>
        <v xml:space="preserve"> - </v>
      </c>
    </row>
    <row r="371" spans="5:7">
      <c r="E371" s="20"/>
      <c r="F371" s="65">
        <f>+Series!C360</f>
        <v>40787</v>
      </c>
      <c r="G371" s="30" t="str">
        <f>IF($E$6="seleccione impuesto"," - ",HLOOKUP($E$6,Series!$C$1:AO360, 360,0))</f>
        <v xml:space="preserve"> - </v>
      </c>
    </row>
    <row r="372" spans="5:7">
      <c r="E372" s="20"/>
      <c r="F372" s="65">
        <f>+Series!C361</f>
        <v>40817</v>
      </c>
      <c r="G372" s="30" t="str">
        <f>IF($E$6="seleccione impuesto"," - ",HLOOKUP($E$6,Series!$C$1:AO361, 361,0))</f>
        <v xml:space="preserve"> - </v>
      </c>
    </row>
    <row r="373" spans="5:7">
      <c r="E373" s="20"/>
      <c r="F373" s="65">
        <f>+Series!C362</f>
        <v>40848</v>
      </c>
      <c r="G373" s="30" t="str">
        <f>IF($E$6="seleccione impuesto"," - ",HLOOKUP($E$6,Series!$C$1:AO362, 362,0))</f>
        <v xml:space="preserve"> - </v>
      </c>
    </row>
    <row r="374" spans="5:7">
      <c r="E374" s="20"/>
      <c r="F374" s="65">
        <f>+Series!C363</f>
        <v>40878</v>
      </c>
      <c r="G374" s="30" t="str">
        <f>IF($E$6="seleccione impuesto"," - ",HLOOKUP($E$6,Series!$C$1:AO363, 363,0))</f>
        <v xml:space="preserve"> - </v>
      </c>
    </row>
    <row r="375" spans="5:7">
      <c r="E375" s="20"/>
      <c r="F375" s="65">
        <f>+Series!C364</f>
        <v>40909</v>
      </c>
      <c r="G375" s="30" t="str">
        <f>IF($E$6="seleccione impuesto"," - ",HLOOKUP($E$6,Series!$C$1:AO364, 364,0))</f>
        <v xml:space="preserve"> - </v>
      </c>
    </row>
    <row r="376" spans="5:7">
      <c r="E376" s="20"/>
      <c r="F376" s="65">
        <f>+Series!C365</f>
        <v>40940</v>
      </c>
      <c r="G376" s="30" t="str">
        <f>IF($E$6="seleccione impuesto"," - ",HLOOKUP($E$6,Series!$C$1:AO365, 365,0))</f>
        <v xml:space="preserve"> - </v>
      </c>
    </row>
    <row r="377" spans="5:7">
      <c r="E377" s="20"/>
      <c r="F377" s="65">
        <f>+Series!C366</f>
        <v>40969</v>
      </c>
      <c r="G377" s="30" t="str">
        <f>IF($E$6="seleccione impuesto"," - ",HLOOKUP($E$6,Series!$C$1:AO366, 366,0))</f>
        <v xml:space="preserve"> - </v>
      </c>
    </row>
    <row r="378" spans="5:7">
      <c r="E378" s="20"/>
      <c r="F378" s="65">
        <f>+Series!C367</f>
        <v>41000</v>
      </c>
      <c r="G378" s="30" t="str">
        <f>IF($E$6="seleccione impuesto"," - ",HLOOKUP($E$6,Series!$C$1:AO367, 367,0))</f>
        <v xml:space="preserve"> - </v>
      </c>
    </row>
    <row r="379" spans="5:7">
      <c r="E379" s="20"/>
      <c r="F379" s="65">
        <f>+Series!C368</f>
        <v>41030</v>
      </c>
      <c r="G379" s="30" t="str">
        <f>IF($E$6="seleccione impuesto"," - ",HLOOKUP($E$6,Series!$C$1:AO368, 368,0))</f>
        <v xml:space="preserve"> - </v>
      </c>
    </row>
    <row r="380" spans="5:7">
      <c r="E380" s="20"/>
      <c r="F380" s="65">
        <f>+Series!C369</f>
        <v>41061</v>
      </c>
      <c r="G380" s="30" t="str">
        <f>IF($E$6="seleccione impuesto"," - ",HLOOKUP($E$6,Series!$C$1:AO369, 369,0))</f>
        <v xml:space="preserve"> - </v>
      </c>
    </row>
    <row r="381" spans="5:7">
      <c r="E381" s="20"/>
      <c r="F381" s="65">
        <f>+Series!C370</f>
        <v>41091</v>
      </c>
      <c r="G381" s="30" t="str">
        <f>IF($E$6="seleccione impuesto"," - ",HLOOKUP($E$6,Series!$C$1:AO370, 370,0))</f>
        <v xml:space="preserve"> - </v>
      </c>
    </row>
    <row r="382" spans="5:7">
      <c r="E382" s="20"/>
      <c r="F382" s="65">
        <f>+Series!C371</f>
        <v>41122</v>
      </c>
      <c r="G382" s="30" t="str">
        <f>IF($E$6="seleccione impuesto"," - ",HLOOKUP($E$6,Series!$C$1:AO371, 371,0))</f>
        <v xml:space="preserve"> - </v>
      </c>
    </row>
    <row r="383" spans="5:7">
      <c r="E383" s="20"/>
      <c r="F383" s="65">
        <f>+Series!C372</f>
        <v>41153</v>
      </c>
      <c r="G383" s="30" t="str">
        <f>IF($E$6="seleccione impuesto"," - ",HLOOKUP($E$6,Series!$C$1:AO372, 372,0))</f>
        <v xml:space="preserve"> - </v>
      </c>
    </row>
    <row r="384" spans="5:7">
      <c r="E384" s="20"/>
      <c r="F384" s="65">
        <f>+Series!C373</f>
        <v>41183</v>
      </c>
      <c r="G384" s="30" t="str">
        <f>IF($E$6="seleccione impuesto"," - ",HLOOKUP($E$6,Series!$C$1:AO373, 373,0))</f>
        <v xml:space="preserve"> - </v>
      </c>
    </row>
    <row r="385" spans="5:7">
      <c r="E385" s="20"/>
      <c r="F385" s="65">
        <f>+Series!C374</f>
        <v>41214</v>
      </c>
      <c r="G385" s="30" t="str">
        <f>IF($E$6="seleccione impuesto"," - ",HLOOKUP($E$6,Series!$C$1:AO374, 374,0))</f>
        <v xml:space="preserve"> - </v>
      </c>
    </row>
    <row r="386" spans="5:7">
      <c r="E386" s="20"/>
      <c r="F386" s="65">
        <f>+Series!C375</f>
        <v>41244</v>
      </c>
      <c r="G386" s="30" t="str">
        <f>IF($E$6="seleccione impuesto"," - ",HLOOKUP($E$6,Series!$C$1:AO375, 375,0))</f>
        <v xml:space="preserve"> - </v>
      </c>
    </row>
    <row r="387" spans="5:7">
      <c r="E387" s="20"/>
      <c r="F387" s="65">
        <f>+Series!C376</f>
        <v>41275</v>
      </c>
      <c r="G387" s="30" t="str">
        <f>IF($E$6="seleccione impuesto"," - ",HLOOKUP($E$6,Series!$C$1:AO376, 376,0))</f>
        <v xml:space="preserve"> - </v>
      </c>
    </row>
    <row r="388" spans="5:7">
      <c r="E388" s="20"/>
      <c r="F388" s="65">
        <f>+Series!C377</f>
        <v>41306</v>
      </c>
      <c r="G388" s="30" t="str">
        <f>IF($E$6="seleccione impuesto"," - ",HLOOKUP($E$6,Series!$C$1:AO377, 377,0))</f>
        <v xml:space="preserve"> - </v>
      </c>
    </row>
    <row r="389" spans="5:7">
      <c r="E389" s="20"/>
      <c r="F389" s="65">
        <f>+Series!C378</f>
        <v>41334</v>
      </c>
      <c r="G389" s="30" t="str">
        <f>IF($E$6="seleccione impuesto"," - ",HLOOKUP($E$6,Series!$C$1:AO378, 378,0))</f>
        <v xml:space="preserve"> - </v>
      </c>
    </row>
    <row r="390" spans="5:7">
      <c r="E390" s="20"/>
      <c r="F390" s="65">
        <f>+Series!C379</f>
        <v>41365</v>
      </c>
      <c r="G390" s="30" t="str">
        <f>IF($E$6="seleccione impuesto"," - ",HLOOKUP($E$6,Series!$C$1:AO379, 379,0))</f>
        <v xml:space="preserve"> - </v>
      </c>
    </row>
    <row r="391" spans="5:7">
      <c r="E391" s="20"/>
      <c r="F391" s="65">
        <f>+Series!C380</f>
        <v>41395</v>
      </c>
      <c r="G391" s="30" t="str">
        <f>IF($E$6="seleccione impuesto"," - ",HLOOKUP($E$6,Series!$C$1:AO380, 380,0))</f>
        <v xml:space="preserve"> - </v>
      </c>
    </row>
    <row r="392" spans="5:7">
      <c r="E392" s="20"/>
      <c r="F392" s="65">
        <f>+Series!C381</f>
        <v>41426</v>
      </c>
      <c r="G392" s="30" t="str">
        <f>IF($E$6="seleccione impuesto"," - ",HLOOKUP($E$6,Series!$C$1:AO381, 381,0))</f>
        <v xml:space="preserve"> - </v>
      </c>
    </row>
    <row r="393" spans="5:7">
      <c r="E393" s="20"/>
      <c r="F393" s="65">
        <f>+Series!C382</f>
        <v>41456</v>
      </c>
      <c r="G393" s="30" t="str">
        <f>IF($E$6="seleccione impuesto"," - ",HLOOKUP($E$6,Series!$C$1:AO382, 382,0))</f>
        <v xml:space="preserve"> - </v>
      </c>
    </row>
    <row r="394" spans="5:7">
      <c r="E394" s="20"/>
      <c r="F394" s="65">
        <f>+Series!C383</f>
        <v>41487</v>
      </c>
      <c r="G394" s="30" t="str">
        <f>IF($E$6="seleccione impuesto"," - ",HLOOKUP($E$6,Series!$C$1:AO383, 383,0))</f>
        <v xml:space="preserve"> - </v>
      </c>
    </row>
    <row r="395" spans="5:7">
      <c r="E395" s="20"/>
      <c r="F395" s="65">
        <f>+Series!C384</f>
        <v>41518</v>
      </c>
      <c r="G395" s="30" t="str">
        <f>IF($E$6="seleccione impuesto"," - ",HLOOKUP($E$6,Series!$C$1:AO384, 384,0))</f>
        <v xml:space="preserve"> - </v>
      </c>
    </row>
    <row r="396" spans="5:7">
      <c r="E396" s="20"/>
      <c r="F396" s="65">
        <f>+Series!C385</f>
        <v>41548</v>
      </c>
      <c r="G396" s="30" t="str">
        <f>IF($E$6="seleccione impuesto"," - ",HLOOKUP($E$6,Series!$C$1:AO385, 385,0))</f>
        <v xml:space="preserve"> - </v>
      </c>
    </row>
    <row r="397" spans="5:7">
      <c r="E397" s="20"/>
      <c r="F397" s="65">
        <f>+Series!C386</f>
        <v>41579</v>
      </c>
      <c r="G397" s="30" t="str">
        <f>IF($E$6="seleccione impuesto"," - ",HLOOKUP($E$6,Series!$C$1:AO386, 386,0))</f>
        <v xml:space="preserve"> - </v>
      </c>
    </row>
    <row r="398" spans="5:7">
      <c r="E398" s="20"/>
      <c r="F398" s="65">
        <f>+Series!C387</f>
        <v>41609</v>
      </c>
      <c r="G398" s="30" t="str">
        <f>IF($E$6="seleccione impuesto"," - ",HLOOKUP($E$6,Series!$C$1:AO387, 387,0))</f>
        <v xml:space="preserve"> - </v>
      </c>
    </row>
    <row r="399" spans="5:7">
      <c r="E399" s="20"/>
      <c r="F399" s="65">
        <f>+Series!C388</f>
        <v>41640</v>
      </c>
      <c r="G399" s="30" t="str">
        <f>IF($E$6="seleccione impuesto"," - ",HLOOKUP($E$6,Series!$C$1:AO388, 388,0))</f>
        <v xml:space="preserve"> - </v>
      </c>
    </row>
    <row r="400" spans="5:7">
      <c r="E400" s="20"/>
      <c r="F400" s="65">
        <f>+Series!C389</f>
        <v>41671</v>
      </c>
      <c r="G400" s="30" t="str">
        <f>IF($E$6="seleccione impuesto"," - ",HLOOKUP($E$6,Series!$C$1:AO389, 389,0))</f>
        <v xml:space="preserve"> - </v>
      </c>
    </row>
    <row r="401" spans="5:7">
      <c r="E401" s="20"/>
      <c r="F401" s="65">
        <f>+Series!C390</f>
        <v>41699</v>
      </c>
      <c r="G401" s="30" t="str">
        <f>IF($E$6="seleccione impuesto"," - ",HLOOKUP($E$6,Series!$C$1:AO390, 390,0))</f>
        <v xml:space="preserve"> - </v>
      </c>
    </row>
    <row r="402" spans="5:7">
      <c r="E402" s="20"/>
      <c r="F402" s="65">
        <f>+Series!C391</f>
        <v>41730</v>
      </c>
      <c r="G402" s="30" t="str">
        <f>IF($E$6="seleccione impuesto"," - ",HLOOKUP($E$6,Series!$C$1:AO391, 391,0))</f>
        <v xml:space="preserve"> - </v>
      </c>
    </row>
    <row r="403" spans="5:7">
      <c r="E403" s="20"/>
      <c r="F403" s="65">
        <f>+Series!C392</f>
        <v>41760</v>
      </c>
      <c r="G403" s="30" t="str">
        <f>IF($E$6="seleccione impuesto"," - ",HLOOKUP($E$6,Series!$C$1:AO392, 392,0))</f>
        <v xml:space="preserve"> - </v>
      </c>
    </row>
    <row r="404" spans="5:7">
      <c r="E404" s="20"/>
      <c r="F404" s="65">
        <f>+Series!C393</f>
        <v>41791</v>
      </c>
      <c r="G404" s="30" t="str">
        <f>IF($E$6="seleccione impuesto"," - ",HLOOKUP($E$6,Series!$C$1:AO393, 393,0))</f>
        <v xml:space="preserve"> - </v>
      </c>
    </row>
    <row r="405" spans="5:7">
      <c r="E405" s="20"/>
      <c r="F405" s="65">
        <f>+Series!C394</f>
        <v>41821</v>
      </c>
      <c r="G405" s="30" t="str">
        <f>IF($E$6="seleccione impuesto"," - ",HLOOKUP($E$6,Series!$C$1:AO394, 394,0))</f>
        <v xml:space="preserve"> - </v>
      </c>
    </row>
    <row r="406" spans="5:7">
      <c r="E406" s="20"/>
      <c r="F406" s="65">
        <f>+Series!C395</f>
        <v>41852</v>
      </c>
      <c r="G406" s="30" t="str">
        <f>IF($E$6="seleccione impuesto"," - ",HLOOKUP($E$6,Series!$C$1:AO395, 395,0))</f>
        <v xml:space="preserve"> - </v>
      </c>
    </row>
    <row r="407" spans="5:7">
      <c r="E407" s="20"/>
      <c r="F407" s="65">
        <f>+Series!C396</f>
        <v>41883</v>
      </c>
      <c r="G407" s="30" t="str">
        <f>IF($E$6="seleccione impuesto"," - ",HLOOKUP($E$6,Series!$C$1:AO396, 396,0))</f>
        <v xml:space="preserve"> - </v>
      </c>
    </row>
    <row r="408" spans="5:7">
      <c r="E408" s="20"/>
      <c r="F408" s="65">
        <f>+Series!C397</f>
        <v>41913</v>
      </c>
      <c r="G408" s="30" t="str">
        <f>IF($E$6="seleccione impuesto"," - ",HLOOKUP($E$6,Series!$C$1:AO397, 397,0))</f>
        <v xml:space="preserve"> - </v>
      </c>
    </row>
    <row r="409" spans="5:7">
      <c r="E409" s="20"/>
      <c r="F409" s="65">
        <f>+Series!C398</f>
        <v>41944</v>
      </c>
      <c r="G409" s="30" t="str">
        <f>IF($E$6="seleccione impuesto"," - ",HLOOKUP($E$6,Series!$C$1:AO398, 398,0))</f>
        <v xml:space="preserve"> - </v>
      </c>
    </row>
    <row r="410" spans="5:7">
      <c r="E410" s="20"/>
      <c r="F410" s="65">
        <f>+Series!C399</f>
        <v>41974</v>
      </c>
      <c r="G410" s="30" t="str">
        <f>IF($E$6="seleccione impuesto"," - ",HLOOKUP($E$6,Series!$C$1:AO399, 399,0))</f>
        <v xml:space="preserve"> - </v>
      </c>
    </row>
    <row r="411" spans="5:7">
      <c r="E411" s="20"/>
      <c r="F411" s="65">
        <f>+Series!C400</f>
        <v>42005</v>
      </c>
      <c r="G411" s="30" t="str">
        <f>IF($E$6="seleccione impuesto"," - ",HLOOKUP($E$6,Series!$C$1:AO400, 400,0))</f>
        <v xml:space="preserve"> - </v>
      </c>
    </row>
    <row r="412" spans="5:7">
      <c r="E412" s="20"/>
      <c r="F412" s="65">
        <f>+Series!C401</f>
        <v>42036</v>
      </c>
      <c r="G412" s="30" t="str">
        <f>IF($E$6="seleccione impuesto"," - ",HLOOKUP($E$6,Series!$C$1:AO401, 401,0))</f>
        <v xml:space="preserve"> - </v>
      </c>
    </row>
    <row r="413" spans="5:7">
      <c r="E413" s="20"/>
      <c r="F413" s="65">
        <f>+Series!C402</f>
        <v>42064</v>
      </c>
      <c r="G413" s="30" t="str">
        <f>IF($E$6="seleccione impuesto"," - ",HLOOKUP($E$6,Series!$C$1:AO402, 402,0))</f>
        <v xml:space="preserve"> - </v>
      </c>
    </row>
    <row r="414" spans="5:7">
      <c r="E414" s="20"/>
      <c r="F414" s="65">
        <f>+Series!C403</f>
        <v>42095</v>
      </c>
      <c r="G414" s="30" t="str">
        <f>IF($E$6="seleccione impuesto"," - ",HLOOKUP($E$6,Series!$C$1:AO403, 403,0))</f>
        <v xml:space="preserve"> - </v>
      </c>
    </row>
    <row r="415" spans="5:7">
      <c r="E415" s="20"/>
      <c r="F415" s="65">
        <f>+Series!C404</f>
        <v>42125</v>
      </c>
      <c r="G415" s="30" t="str">
        <f>IF($E$6="seleccione impuesto"," - ",HLOOKUP($E$6,Series!$C$1:AO404, 404,0))</f>
        <v xml:space="preserve"> - </v>
      </c>
    </row>
    <row r="416" spans="5:7">
      <c r="E416" s="20"/>
      <c r="F416" s="65">
        <f>+Series!C405</f>
        <v>42156</v>
      </c>
      <c r="G416" s="30" t="str">
        <f>IF($E$6="seleccione impuesto"," - ",HLOOKUP($E$6,Series!$C$1:AO405, 405,0))</f>
        <v xml:space="preserve"> - </v>
      </c>
    </row>
    <row r="417" spans="5:7">
      <c r="E417" s="20"/>
      <c r="F417" s="65">
        <f>+Series!C406</f>
        <v>42186</v>
      </c>
      <c r="G417" s="30" t="str">
        <f>IF($E$6="seleccione impuesto"," - ",HLOOKUP($E$6,Series!$C$1:AO406, 406,0))</f>
        <v xml:space="preserve"> - </v>
      </c>
    </row>
    <row r="418" spans="5:7">
      <c r="E418" s="20"/>
      <c r="F418" s="65">
        <f>+Series!C407</f>
        <v>42217</v>
      </c>
      <c r="G418" s="30" t="str">
        <f>IF($E$6="seleccione impuesto"," - ",HLOOKUP($E$6,Series!$C$1:AO407, 407,0))</f>
        <v xml:space="preserve"> - </v>
      </c>
    </row>
    <row r="419" spans="5:7">
      <c r="E419" s="20"/>
      <c r="F419" s="65">
        <f>+Series!C408</f>
        <v>42248</v>
      </c>
      <c r="G419" s="30" t="str">
        <f>IF($E$6="seleccione impuesto"," - ",HLOOKUP($E$6,Series!$C$1:AO408, 408,0))</f>
        <v xml:space="preserve"> - </v>
      </c>
    </row>
    <row r="420" spans="5:7">
      <c r="E420" s="20"/>
      <c r="F420" s="65">
        <f>+Series!C409</f>
        <v>42278</v>
      </c>
      <c r="G420" s="30" t="str">
        <f>IF($E$6="seleccione impuesto"," - ",HLOOKUP($E$6,Series!$C$1:AO409, 409,0))</f>
        <v xml:space="preserve"> - </v>
      </c>
    </row>
    <row r="421" spans="5:7">
      <c r="E421" s="20"/>
      <c r="F421" s="65">
        <f>+Series!C410</f>
        <v>42309</v>
      </c>
      <c r="G421" s="30" t="str">
        <f>IF($E$6="seleccione impuesto"," - ",HLOOKUP($E$6,Series!$C$1:AO410, 410,0))</f>
        <v xml:space="preserve"> - </v>
      </c>
    </row>
    <row r="422" spans="5:7">
      <c r="E422" s="20"/>
      <c r="F422" s="65">
        <f>+Series!C411</f>
        <v>42339</v>
      </c>
      <c r="G422" s="30" t="str">
        <f>IF($E$6="seleccione impuesto"," - ",HLOOKUP($E$6,Series!$C$1:AO411, 411,0))</f>
        <v xml:space="preserve"> - </v>
      </c>
    </row>
    <row r="423" spans="5:7">
      <c r="E423" s="20"/>
      <c r="F423" s="65">
        <f>+Series!C412</f>
        <v>42370</v>
      </c>
      <c r="G423" s="30" t="str">
        <f>IF($E$6="seleccione impuesto"," - ",HLOOKUP($E$6,Series!$C$1:AO412, 412,0))</f>
        <v xml:space="preserve"> - </v>
      </c>
    </row>
    <row r="424" spans="5:7">
      <c r="E424" s="20"/>
      <c r="F424" s="65">
        <f>+Series!C413</f>
        <v>42401</v>
      </c>
      <c r="G424" s="30" t="str">
        <f>IF($E$6="seleccione impuesto"," - ",HLOOKUP($E$6,Series!$C$1:AO413, 413,0))</f>
        <v xml:space="preserve"> - </v>
      </c>
    </row>
    <row r="425" spans="5:7">
      <c r="E425" s="20"/>
      <c r="F425" s="65">
        <f>+Series!C414</f>
        <v>42430</v>
      </c>
      <c r="G425" s="30" t="str">
        <f>IF($E$6="seleccione impuesto"," - ",HLOOKUP($E$6,Series!$C$1:AO414, 414,0))</f>
        <v xml:space="preserve"> - </v>
      </c>
    </row>
    <row r="426" spans="5:7">
      <c r="E426" s="20"/>
      <c r="F426" s="65">
        <f>+Series!C415</f>
        <v>42461</v>
      </c>
      <c r="G426" s="30" t="str">
        <f>IF($E$6="seleccione impuesto"," - ",HLOOKUP($E$6,Series!$C$1:AO415, 415,0))</f>
        <v xml:space="preserve"> - </v>
      </c>
    </row>
    <row r="427" spans="5:7">
      <c r="E427" s="20"/>
      <c r="F427" s="65">
        <f>+Series!C416</f>
        <v>42491</v>
      </c>
      <c r="G427" s="30" t="str">
        <f>IF($E$6="seleccione impuesto"," - ",HLOOKUP($E$6,Series!$C$1:AO416, 416,0))</f>
        <v xml:space="preserve"> - </v>
      </c>
    </row>
    <row r="428" spans="5:7">
      <c r="E428" s="20"/>
      <c r="F428" s="65">
        <f>+Series!C417</f>
        <v>42522</v>
      </c>
      <c r="G428" s="30" t="str">
        <f>IF($E$6="seleccione impuesto"," - ",HLOOKUP($E$6,Series!$C$1:AO417, 417,0))</f>
        <v xml:space="preserve"> - </v>
      </c>
    </row>
    <row r="429" spans="5:7">
      <c r="E429" s="20"/>
      <c r="F429" s="65">
        <f>+Series!C418</f>
        <v>42552</v>
      </c>
      <c r="G429" s="30" t="str">
        <f>IF($E$6="seleccione impuesto"," - ",HLOOKUP($E$6,Series!$C$1:AO418, 418,0))</f>
        <v xml:space="preserve"> - </v>
      </c>
    </row>
    <row r="430" spans="5:7">
      <c r="E430" s="20"/>
      <c r="F430" s="65">
        <f>+Series!C419</f>
        <v>42583</v>
      </c>
      <c r="G430" s="30" t="str">
        <f>IF($E$6="seleccione impuesto"," - ",HLOOKUP($E$6,Series!$C$1:AO419, 419,0))</f>
        <v xml:space="preserve"> - </v>
      </c>
    </row>
    <row r="431" spans="5:7">
      <c r="E431" s="20"/>
      <c r="F431" s="65">
        <f>+Series!C420</f>
        <v>42614</v>
      </c>
      <c r="G431" s="30" t="str">
        <f>IF($E$6="seleccione impuesto"," - ",HLOOKUP($E$6,Series!$C$1:AO420, 420,0))</f>
        <v xml:space="preserve"> - </v>
      </c>
    </row>
    <row r="432" spans="5:7">
      <c r="E432" s="20"/>
      <c r="F432" s="65">
        <f>+Series!C421</f>
        <v>42644</v>
      </c>
      <c r="G432" s="30" t="str">
        <f>IF($E$6="seleccione impuesto"," - ",HLOOKUP($E$6,Series!$C$1:AO421, 421,0))</f>
        <v xml:space="preserve"> - </v>
      </c>
    </row>
    <row r="433" spans="5:7">
      <c r="E433" s="20"/>
      <c r="F433" s="65">
        <f>+Series!C422</f>
        <v>42675</v>
      </c>
      <c r="G433" s="30" t="str">
        <f>IF($E$6="seleccione impuesto"," - ",HLOOKUP($E$6,Series!$C$1:AO422, 422,0))</f>
        <v xml:space="preserve"> - </v>
      </c>
    </row>
    <row r="434" spans="5:7">
      <c r="E434" s="20"/>
      <c r="F434" s="65">
        <f>+Series!C423</f>
        <v>42705</v>
      </c>
      <c r="G434" s="30" t="str">
        <f>IF($E$6="seleccione impuesto"," - ",HLOOKUP($E$6,Series!$C$1:AO423, 423,0))</f>
        <v xml:space="preserve"> - </v>
      </c>
    </row>
    <row r="435" spans="5:7">
      <c r="E435" s="20"/>
      <c r="F435" s="65">
        <f>+Series!C424</f>
        <v>42736</v>
      </c>
      <c r="G435" s="30" t="str">
        <f>IF($E$6="seleccione impuesto"," - ",HLOOKUP($E$6,Series!$C$1:AO424, 424,0))</f>
        <v xml:space="preserve"> - </v>
      </c>
    </row>
    <row r="436" spans="5:7">
      <c r="E436" s="20"/>
      <c r="F436" s="65">
        <f>+Series!C425</f>
        <v>42767</v>
      </c>
      <c r="G436" s="30" t="str">
        <f>IF($E$6="seleccione impuesto"," - ",HLOOKUP($E$6,Series!$C$1:AO425, 425,0))</f>
        <v xml:space="preserve"> - </v>
      </c>
    </row>
    <row r="437" spans="5:7">
      <c r="E437" s="20"/>
      <c r="F437" s="65">
        <f>+Series!C426</f>
        <v>42795</v>
      </c>
      <c r="G437" s="30" t="str">
        <f>IF($E$6="seleccione impuesto"," - ",HLOOKUP($E$6,Series!$C$1:AO426, 426,0))</f>
        <v xml:space="preserve"> - </v>
      </c>
    </row>
    <row r="438" spans="5:7">
      <c r="E438" s="20"/>
      <c r="F438" s="65">
        <f>+Series!C427</f>
        <v>42826</v>
      </c>
      <c r="G438" s="30" t="str">
        <f>IF($E$6="seleccione impuesto"," - ",HLOOKUP($E$6,Series!$C$1:AO427, 427,0))</f>
        <v xml:space="preserve"> - </v>
      </c>
    </row>
    <row r="439" spans="5:7">
      <c r="E439" s="20"/>
      <c r="F439" s="65">
        <f>+Series!C428</f>
        <v>42856</v>
      </c>
      <c r="G439" s="30" t="str">
        <f>IF($E$6="seleccione impuesto"," - ",HLOOKUP($E$6,Series!$C$1:AO428, 428,0))</f>
        <v xml:space="preserve"> - </v>
      </c>
    </row>
    <row r="440" spans="5:7">
      <c r="E440" s="20"/>
      <c r="F440" s="65">
        <f>+Series!C429</f>
        <v>42887</v>
      </c>
      <c r="G440" s="30" t="str">
        <f>IF($E$6="seleccione impuesto"," - ",HLOOKUP($E$6,Series!$C$1:AO429, 429,0))</f>
        <v xml:space="preserve"> - </v>
      </c>
    </row>
    <row r="441" spans="5:7">
      <c r="E441" s="20"/>
      <c r="F441" s="65">
        <f>+Series!C430</f>
        <v>42917</v>
      </c>
      <c r="G441" s="30" t="str">
        <f>IF($E$6="seleccione impuesto"," - ",HLOOKUP($E$6,Series!$C$1:AO430, 430,0))</f>
        <v xml:space="preserve"> - </v>
      </c>
    </row>
    <row r="442" spans="5:7">
      <c r="E442" s="20"/>
      <c r="F442" s="65">
        <f>+Series!C431</f>
        <v>42948</v>
      </c>
      <c r="G442" s="30" t="str">
        <f>IF($E$6="seleccione impuesto"," - ",HLOOKUP($E$6,Series!$C$1:AO431, 431,0))</f>
        <v xml:space="preserve"> - </v>
      </c>
    </row>
    <row r="443" spans="5:7">
      <c r="E443" s="20"/>
      <c r="F443" s="65">
        <f>+Series!C432</f>
        <v>42979</v>
      </c>
      <c r="G443" s="30" t="str">
        <f>IF($E$6="seleccione impuesto"," - ",HLOOKUP($E$6,Series!$C$1:AO432, 432,0))</f>
        <v xml:space="preserve"> - </v>
      </c>
    </row>
    <row r="444" spans="5:7">
      <c r="E444" s="20"/>
      <c r="F444" s="65">
        <f>+Series!C433</f>
        <v>43009</v>
      </c>
      <c r="G444" s="30" t="str">
        <f>IF($E$6="seleccione impuesto"," - ",HLOOKUP($E$6,Series!$C$1:AO433, 433,0))</f>
        <v xml:space="preserve"> - </v>
      </c>
    </row>
    <row r="445" spans="5:7">
      <c r="E445" s="20"/>
      <c r="F445" s="65">
        <f>+Series!C434</f>
        <v>43040</v>
      </c>
      <c r="G445" s="30" t="str">
        <f>IF($E$6="seleccione impuesto"," - ",HLOOKUP($E$6,Series!$C$1:AO434, 434,0))</f>
        <v xml:space="preserve"> - </v>
      </c>
    </row>
    <row r="446" spans="5:7">
      <c r="E446" s="20"/>
      <c r="F446" s="65">
        <f>+Series!C435</f>
        <v>43070</v>
      </c>
      <c r="G446" s="30" t="str">
        <f>IF($E$6="seleccione impuesto"," - ",HLOOKUP($E$6,Series!$C$1:AO435, 435,0))</f>
        <v xml:space="preserve"> - </v>
      </c>
    </row>
    <row r="447" spans="5:7">
      <c r="E447" s="20"/>
      <c r="F447" s="65">
        <f>+Series!C436</f>
        <v>43101</v>
      </c>
      <c r="G447" s="30" t="str">
        <f>IF($E$6="seleccione impuesto"," - ",HLOOKUP($E$6,Series!$C$1:AO436, 436,0))</f>
        <v xml:space="preserve"> - </v>
      </c>
    </row>
    <row r="448" spans="5:7">
      <c r="E448" s="20"/>
      <c r="F448" s="65">
        <f>+Series!C437</f>
        <v>43132</v>
      </c>
      <c r="G448" s="30" t="str">
        <f>IF($E$6="seleccione impuesto"," - ",HLOOKUP($E$6,Series!$C$1:AO437, 437,0))</f>
        <v xml:space="preserve"> - </v>
      </c>
    </row>
    <row r="449" spans="5:7">
      <c r="E449" s="20"/>
      <c r="F449" s="65">
        <f>+Series!C438</f>
        <v>43160</v>
      </c>
      <c r="G449" s="30" t="str">
        <f>IF($E$6="seleccione impuesto"," - ",HLOOKUP($E$6,Series!$C$1:AO438, 438,0))</f>
        <v xml:space="preserve"> - </v>
      </c>
    </row>
    <row r="450" spans="5:7">
      <c r="E450" s="20"/>
      <c r="F450" s="65">
        <f>+Series!C439</f>
        <v>43191</v>
      </c>
      <c r="G450" s="30" t="str">
        <f>IF($E$6="seleccione impuesto"," - ",HLOOKUP($E$6,Series!$C$1:AO439, 439,0))</f>
        <v xml:space="preserve"> - </v>
      </c>
    </row>
    <row r="451" spans="5:7">
      <c r="E451" s="20"/>
      <c r="F451" s="65">
        <f>+Series!C440</f>
        <v>43221</v>
      </c>
      <c r="G451" s="30" t="str">
        <f>IF($E$6="seleccione impuesto"," - ",HLOOKUP($E$6,Series!$C$1:AO440, 440,0))</f>
        <v xml:space="preserve"> - </v>
      </c>
    </row>
    <row r="452" spans="5:7">
      <c r="E452" s="20"/>
      <c r="F452" s="65">
        <f>+Series!C441</f>
        <v>43252</v>
      </c>
      <c r="G452" s="30" t="str">
        <f>IF($E$6="seleccione impuesto"," - ",HLOOKUP($E$6,Series!$C$1:AO441, 441,0))</f>
        <v xml:space="preserve"> - </v>
      </c>
    </row>
    <row r="453" spans="5:7">
      <c r="E453" s="20"/>
      <c r="F453" s="65">
        <f>+Series!C442</f>
        <v>43282</v>
      </c>
      <c r="G453" s="30" t="str">
        <f>IF($E$6="seleccione impuesto"," - ",HLOOKUP($E$6,Series!$C$1:AO442, 442,0))</f>
        <v xml:space="preserve"> - </v>
      </c>
    </row>
    <row r="454" spans="5:7">
      <c r="E454" s="20"/>
      <c r="F454" s="65">
        <f>+Series!C443</f>
        <v>43313</v>
      </c>
      <c r="G454" s="30" t="str">
        <f>IF($E$6="seleccione impuesto"," - ",HLOOKUP($E$6,Series!$C$1:AO443, 443,0))</f>
        <v xml:space="preserve"> - </v>
      </c>
    </row>
    <row r="455" spans="5:7">
      <c r="E455" s="20"/>
      <c r="F455" s="65">
        <f>+Series!C444</f>
        <v>43344</v>
      </c>
      <c r="G455" s="30" t="str">
        <f>IF($E$6="seleccione impuesto"," - ",HLOOKUP($E$6,Series!$C$1:AO444, 444,0))</f>
        <v xml:space="preserve"> - </v>
      </c>
    </row>
    <row r="456" spans="5:7">
      <c r="E456" s="20"/>
      <c r="F456" s="65">
        <f>+Series!C445</f>
        <v>43374</v>
      </c>
      <c r="G456" s="30" t="str">
        <f>IF($E$6="seleccione impuesto"," - ",HLOOKUP($E$6,Series!$C$1:AO445, 445,0))</f>
        <v xml:space="preserve"> - </v>
      </c>
    </row>
    <row r="457" spans="5:7">
      <c r="E457" s="20"/>
      <c r="F457" s="65">
        <f>+Series!C446</f>
        <v>43405</v>
      </c>
      <c r="G457" s="30" t="str">
        <f>IF($E$6="seleccione impuesto"," - ",HLOOKUP($E$6,Series!$C$1:AO446, 446,0))</f>
        <v xml:space="preserve"> - </v>
      </c>
    </row>
    <row r="458" spans="5:7">
      <c r="E458" s="20"/>
      <c r="F458" s="65">
        <f>+Series!C447</f>
        <v>43435</v>
      </c>
      <c r="G458" s="30" t="str">
        <f>IF($E$6="seleccione impuesto"," - ",HLOOKUP($E$6,Series!$C$1:AO447, 447,0))</f>
        <v xml:space="preserve"> - </v>
      </c>
    </row>
    <row r="459" spans="5:7">
      <c r="E459" s="20"/>
      <c r="F459" s="65">
        <f>+Series!C448</f>
        <v>43466</v>
      </c>
      <c r="G459" s="30" t="str">
        <f>IF($E$6="seleccione impuesto"," - ",HLOOKUP($E$6,Series!$C$1:AO448, 448,0))</f>
        <v xml:space="preserve"> - </v>
      </c>
    </row>
    <row r="460" spans="5:7">
      <c r="E460" s="20"/>
      <c r="F460" s="65">
        <f>+Series!C449</f>
        <v>43497</v>
      </c>
      <c r="G460" s="30" t="str">
        <f>IF($E$6="seleccione impuesto"," - ",HLOOKUP($E$6,Series!$C$1:AO449, 449,0))</f>
        <v xml:space="preserve"> - </v>
      </c>
    </row>
    <row r="461" spans="5:7">
      <c r="E461" s="20"/>
      <c r="F461" s="65">
        <f>+Series!C450</f>
        <v>43525</v>
      </c>
      <c r="G461" s="30" t="str">
        <f>IF($E$6="seleccione impuesto"," - ",HLOOKUP($E$6,Series!$C$1:AO450, 450,0))</f>
        <v xml:space="preserve"> - </v>
      </c>
    </row>
    <row r="462" spans="5:7">
      <c r="E462" s="20"/>
      <c r="F462" s="65">
        <f>+Series!C451</f>
        <v>43556</v>
      </c>
      <c r="G462" s="30" t="str">
        <f>IF($E$6="seleccione impuesto"," - ",HLOOKUP($E$6,Series!$C$1:AO451, 451,0))</f>
        <v xml:space="preserve"> - </v>
      </c>
    </row>
    <row r="463" spans="5:7">
      <c r="E463" s="20"/>
      <c r="F463" s="65">
        <f>+Series!C452</f>
        <v>43586</v>
      </c>
      <c r="G463" s="30" t="str">
        <f>IF($E$6="seleccione impuesto"," - ",HLOOKUP($E$6,Series!$C$1:AO452, 452,0))</f>
        <v xml:space="preserve"> - </v>
      </c>
    </row>
    <row r="464" spans="5:7">
      <c r="E464" s="20"/>
      <c r="F464" s="65">
        <f>+Series!C453</f>
        <v>43617</v>
      </c>
      <c r="G464" s="30" t="str">
        <f>IF($E$6="seleccione impuesto"," - ",HLOOKUP($E$6,Series!$C$1:AO453, 453,0))</f>
        <v xml:space="preserve"> - </v>
      </c>
    </row>
    <row r="465" spans="5:7">
      <c r="E465" s="20"/>
      <c r="F465" s="65">
        <f>+Series!C454</f>
        <v>43647</v>
      </c>
      <c r="G465" s="30" t="str">
        <f>IF($E$6="seleccione impuesto"," - ",HLOOKUP($E$6,Series!$C$1:AO454, 454,0))</f>
        <v xml:space="preserve"> - </v>
      </c>
    </row>
    <row r="466" spans="5:7">
      <c r="E466" s="20"/>
      <c r="F466" s="65">
        <f>+Series!C455</f>
        <v>43678</v>
      </c>
      <c r="G466" s="30" t="str">
        <f>IF($E$6="seleccione impuesto"," - ",HLOOKUP($E$6,Series!$C$1:AO455, 455,0))</f>
        <v xml:space="preserve"> - </v>
      </c>
    </row>
    <row r="467" spans="5:7">
      <c r="E467" s="20"/>
      <c r="F467" s="65">
        <f>+Series!C456</f>
        <v>43709</v>
      </c>
      <c r="G467" s="30" t="str">
        <f>IF($E$6="seleccione impuesto"," - ",HLOOKUP($E$6,Series!$C$1:AO456, 456,0))</f>
        <v xml:space="preserve"> - </v>
      </c>
    </row>
    <row r="468" spans="5:7">
      <c r="E468" s="20"/>
      <c r="F468" s="65">
        <f>+Series!C457</f>
        <v>43739</v>
      </c>
      <c r="G468" s="30" t="str">
        <f>IF($E$6="seleccione impuesto"," - ",HLOOKUP($E$6,Series!$C$1:AO457, 457,0))</f>
        <v xml:space="preserve"> - </v>
      </c>
    </row>
    <row r="469" spans="5:7">
      <c r="E469" s="20"/>
      <c r="F469" s="65">
        <f>+Series!C458</f>
        <v>43770</v>
      </c>
      <c r="G469" s="30" t="str">
        <f>IF($E$6="seleccione impuesto"," - ",HLOOKUP($E$6,Series!$C$1:AO458, 458,0))</f>
        <v xml:space="preserve"> - </v>
      </c>
    </row>
    <row r="470" spans="5:7">
      <c r="E470" s="20"/>
      <c r="F470" s="65">
        <f>+Series!C459</f>
        <v>43800</v>
      </c>
      <c r="G470" s="30" t="str">
        <f>IF($E$6="seleccione impuesto"," - ",HLOOKUP($E$6,Series!$C$1:AO459, 459,0))</f>
        <v xml:space="preserve"> - </v>
      </c>
    </row>
    <row r="471" spans="5:7">
      <c r="E471" s="20"/>
      <c r="F471" s="65">
        <f>+Series!C460</f>
        <v>43831</v>
      </c>
      <c r="G471" s="30" t="str">
        <f>IF($E$6="seleccione impuesto"," - ",HLOOKUP($E$6,Series!$C$1:AO460, 460,0))</f>
        <v xml:space="preserve"> - </v>
      </c>
    </row>
    <row r="472" spans="5:7">
      <c r="E472" s="20"/>
      <c r="F472" s="65">
        <f>+Series!C461</f>
        <v>43862</v>
      </c>
      <c r="G472" s="30" t="str">
        <f>IF($E$6="seleccione impuesto"," - ",HLOOKUP($E$6,Series!$C$1:AO461, 461,0))</f>
        <v xml:space="preserve"> - </v>
      </c>
    </row>
    <row r="473" spans="5:7">
      <c r="E473" s="20"/>
      <c r="F473" s="65">
        <f>+Series!C462</f>
        <v>43891</v>
      </c>
      <c r="G473" s="30" t="str">
        <f>IF($E$6="seleccione impuesto"," - ",HLOOKUP($E$6,Series!$C$1:AO462, 462,0))</f>
        <v xml:space="preserve"> - </v>
      </c>
    </row>
    <row r="474" spans="5:7">
      <c r="E474" s="20"/>
      <c r="F474" s="65">
        <f>+Series!C463</f>
        <v>43922</v>
      </c>
      <c r="G474" s="30" t="str">
        <f>IF($E$6="seleccione impuesto"," - ",HLOOKUP($E$6,Series!$C$1:AO463, 463,0))</f>
        <v xml:space="preserve"> - </v>
      </c>
    </row>
    <row r="475" spans="5:7">
      <c r="E475" s="20"/>
      <c r="F475" s="65">
        <f>+Series!C464</f>
        <v>43952</v>
      </c>
      <c r="G475" s="30" t="str">
        <f>IF($E$6="seleccione impuesto"," - ",HLOOKUP($E$6,Series!$C$1:AO464, 464,0))</f>
        <v xml:space="preserve"> - </v>
      </c>
    </row>
    <row r="476" spans="5:7">
      <c r="E476" s="20"/>
      <c r="F476" s="65">
        <f>+Series!C465</f>
        <v>43983</v>
      </c>
      <c r="G476" s="30" t="str">
        <f>IF($E$6="seleccione impuesto"," - ",HLOOKUP($E$6,Series!$C$1:AO465, 465,0))</f>
        <v xml:space="preserve"> - </v>
      </c>
    </row>
    <row r="477" spans="5:7">
      <c r="E477" s="20"/>
      <c r="F477" s="65">
        <f>+Series!C466</f>
        <v>44013</v>
      </c>
      <c r="G477" s="30" t="str">
        <f>IF($E$6="seleccione impuesto"," - ",HLOOKUP($E$6,Series!$C$1:AO466, 466,0))</f>
        <v xml:space="preserve"> - </v>
      </c>
    </row>
    <row r="478" spans="5:7">
      <c r="E478" s="20"/>
      <c r="F478" s="65">
        <f>+Series!C467</f>
        <v>44044</v>
      </c>
      <c r="G478" s="30" t="str">
        <f>IF($E$6="seleccione impuesto"," - ",HLOOKUP($E$6,Series!$C$1:AO467, 467,0))</f>
        <v xml:space="preserve"> - </v>
      </c>
    </row>
    <row r="479" spans="5:7">
      <c r="E479" s="20"/>
      <c r="F479" s="65">
        <f>+Series!C468</f>
        <v>44075</v>
      </c>
      <c r="G479" s="30" t="str">
        <f>IF($E$6="seleccione impuesto"," - ",HLOOKUP($E$6,Series!$C$1:AO468, 468,0))</f>
        <v xml:space="preserve"> - </v>
      </c>
    </row>
    <row r="480" spans="5:7">
      <c r="E480" s="20"/>
      <c r="F480" s="65">
        <f>+Series!C469</f>
        <v>44105</v>
      </c>
      <c r="G480" s="30" t="str">
        <f>IF($E$6="seleccione impuesto"," - ",HLOOKUP($E$6,Series!$C$1:AO469, 469,0))</f>
        <v xml:space="preserve"> - </v>
      </c>
    </row>
    <row r="481" spans="5:7">
      <c r="E481" s="20"/>
      <c r="F481" s="65">
        <f>+Series!C470</f>
        <v>44136</v>
      </c>
      <c r="G481" s="30" t="str">
        <f>IF($E$6="seleccione impuesto"," - ",HLOOKUP($E$6,Series!$C$1:AO470, 470,0))</f>
        <v xml:space="preserve"> - </v>
      </c>
    </row>
    <row r="482" spans="5:7">
      <c r="E482" s="20"/>
      <c r="F482" s="65">
        <f>+Series!C471</f>
        <v>44166</v>
      </c>
      <c r="G482" s="30" t="str">
        <f>IF($E$6="seleccione impuesto"," - ",HLOOKUP($E$6,Series!$C$1:AO471, 471,0))</f>
        <v xml:space="preserve"> - </v>
      </c>
    </row>
    <row r="483" spans="5:7">
      <c r="E483" s="20"/>
      <c r="F483" s="65">
        <f>+Series!C472</f>
        <v>44197</v>
      </c>
      <c r="G483" s="30" t="str">
        <f>IF($E$6="seleccione impuesto"," - ",HLOOKUP($E$6,Series!$C$1:AO472, 472,0))</f>
        <v xml:space="preserve"> - </v>
      </c>
    </row>
    <row r="484" spans="5:7">
      <c r="E484" s="20"/>
      <c r="F484" s="65">
        <f>+Series!C473</f>
        <v>44228</v>
      </c>
      <c r="G484" s="30" t="str">
        <f>IF($E$6="seleccione impuesto"," - ",HLOOKUP($E$6,Series!$C$1:AO473, 473,0))</f>
        <v xml:space="preserve"> - </v>
      </c>
    </row>
    <row r="485" spans="5:7">
      <c r="E485" s="20"/>
      <c r="F485" s="65">
        <f>+Series!C474</f>
        <v>44256</v>
      </c>
      <c r="G485" s="30" t="str">
        <f>IF($E$6="seleccione impuesto"," - ",HLOOKUP($E$6,Series!$C$1:AO474, 474,0))</f>
        <v xml:space="preserve"> - </v>
      </c>
    </row>
    <row r="486" spans="5:7">
      <c r="E486" s="20"/>
      <c r="F486" s="65">
        <f>+Series!C475</f>
        <v>44287</v>
      </c>
      <c r="G486" s="30" t="str">
        <f>IF($E$6="seleccione impuesto"," - ",HLOOKUP($E$6,Series!$C$1:AO475, 475,0))</f>
        <v xml:space="preserve"> - </v>
      </c>
    </row>
    <row r="487" spans="5:7">
      <c r="E487" s="20"/>
      <c r="F487" s="65">
        <f>+Series!C476</f>
        <v>44317</v>
      </c>
      <c r="G487" s="30" t="str">
        <f>IF($E$6="seleccione impuesto"," - ",HLOOKUP($E$6,Series!$C$1:AO476, 476,0))</f>
        <v xml:space="preserve"> - </v>
      </c>
    </row>
    <row r="488" spans="5:7">
      <c r="E488" s="20"/>
      <c r="F488" s="65">
        <f>+Series!C477</f>
        <v>44348</v>
      </c>
      <c r="G488" s="30" t="str">
        <f>IF($E$6="seleccione impuesto"," - ",HLOOKUP($E$6,Series!$C$1:AO477, 477,0))</f>
        <v xml:space="preserve"> - </v>
      </c>
    </row>
    <row r="489" spans="5:7">
      <c r="E489" s="20"/>
      <c r="F489" s="65">
        <f>+Series!C478</f>
        <v>44378</v>
      </c>
      <c r="G489" s="30" t="str">
        <f>IF($E$6="seleccione impuesto"," - ",HLOOKUP($E$6,Series!$C$1:AO478, 478,0))</f>
        <v xml:space="preserve"> - </v>
      </c>
    </row>
    <row r="490" spans="5:7">
      <c r="E490" s="20"/>
      <c r="F490" s="65">
        <f>+Series!C479</f>
        <v>44409</v>
      </c>
      <c r="G490" s="30" t="str">
        <f>IF($E$6="seleccione impuesto"," - ",HLOOKUP($E$6,Series!$C$1:AO479, 479,0))</f>
        <v xml:space="preserve"> - </v>
      </c>
    </row>
    <row r="491" spans="5:7">
      <c r="E491" s="20"/>
      <c r="F491" s="65">
        <f>+Series!C480</f>
        <v>44440</v>
      </c>
      <c r="G491" s="30" t="str">
        <f>IF($E$6="seleccione impuesto"," - ",HLOOKUP($E$6,Series!$C$1:AO480, 480,0))</f>
        <v xml:space="preserve"> - </v>
      </c>
    </row>
    <row r="492" spans="5:7">
      <c r="E492" s="20"/>
      <c r="F492" s="65">
        <f>+Series!C481</f>
        <v>44470</v>
      </c>
      <c r="G492" s="30" t="str">
        <f>IF($E$6="seleccione impuesto"," - ",HLOOKUP($E$6,Series!$C$1:AO481, 481,0))</f>
        <v xml:space="preserve"> - </v>
      </c>
    </row>
    <row r="493" spans="5:7">
      <c r="E493" s="20"/>
      <c r="F493" s="65">
        <f>+Series!C482</f>
        <v>44501</v>
      </c>
      <c r="G493" s="30" t="str">
        <f>IF($E$6="seleccione impuesto"," - ",HLOOKUP($E$6,Series!$C$1:AO482, 482,0))</f>
        <v xml:space="preserve"> - </v>
      </c>
    </row>
    <row r="494" spans="5:7">
      <c r="E494" s="20"/>
      <c r="F494" s="65">
        <f>+Series!C483</f>
        <v>44531</v>
      </c>
      <c r="G494" s="30" t="str">
        <f>IF($E$6="seleccione impuesto"," - ",HLOOKUP($E$6,Series!$C$1:AO483, 483,0))</f>
        <v xml:space="preserve"> - </v>
      </c>
    </row>
    <row r="495" spans="5:7">
      <c r="E495" s="20"/>
      <c r="F495" s="65">
        <f>+Series!C484</f>
        <v>44562</v>
      </c>
      <c r="G495" s="30" t="str">
        <f>IF($E$6="seleccione impuesto"," - ",HLOOKUP($E$6,Series!$C$1:AO484, 484,0))</f>
        <v xml:space="preserve"> - </v>
      </c>
    </row>
    <row r="496" spans="5:7">
      <c r="E496" s="20"/>
      <c r="F496" s="65">
        <f>+Series!C485</f>
        <v>44593</v>
      </c>
      <c r="G496" s="30" t="str">
        <f>IF($E$6="seleccione impuesto"," - ",HLOOKUP($E$6,Series!$C$1:AO485, 485,0))</f>
        <v xml:space="preserve"> - </v>
      </c>
    </row>
    <row r="497" spans="5:7">
      <c r="E497" s="20"/>
      <c r="F497" s="65">
        <f>+Series!C486</f>
        <v>44621</v>
      </c>
      <c r="G497" s="30" t="str">
        <f>IF($E$6="seleccione impuesto"," - ",HLOOKUP($E$6,Series!$C$1:AO486, 486,0))</f>
        <v xml:space="preserve"> - </v>
      </c>
    </row>
    <row r="498" spans="5:7">
      <c r="E498" s="20"/>
      <c r="F498" s="65">
        <f>+Series!C487</f>
        <v>44652</v>
      </c>
      <c r="G498" s="30" t="str">
        <f>IF($E$6="seleccione impuesto"," - ",HLOOKUP($E$6,Series!$C$1:AO487, 487,0))</f>
        <v xml:space="preserve"> - </v>
      </c>
    </row>
    <row r="499" spans="5:7">
      <c r="E499" s="20"/>
      <c r="F499" s="65">
        <f>+Series!C488</f>
        <v>44682</v>
      </c>
      <c r="G499" s="30" t="str">
        <f>IF($E$6="seleccione impuesto"," - ",HLOOKUP($E$6,Series!$C$1:AO488, 488,0))</f>
        <v xml:space="preserve"> - </v>
      </c>
    </row>
    <row r="500" spans="5:7">
      <c r="E500" s="20"/>
      <c r="F500" s="65">
        <f>+Series!C489</f>
        <v>44713</v>
      </c>
      <c r="G500" s="30" t="str">
        <f>IF($E$6="seleccione impuesto"," - ",HLOOKUP($E$6,Series!$C$1:AO489, 489,0))</f>
        <v xml:space="preserve"> - </v>
      </c>
    </row>
    <row r="501" spans="5:7">
      <c r="E501" s="20"/>
      <c r="F501" s="65">
        <f>+Series!C490</f>
        <v>44743</v>
      </c>
      <c r="G501" s="30" t="str">
        <f>IF($E$6="seleccione impuesto"," - ",HLOOKUP($E$6,Series!$C$1:AO490, 490,0))</f>
        <v xml:space="preserve"> - </v>
      </c>
    </row>
    <row r="502" spans="5:7">
      <c r="E502" s="20"/>
      <c r="F502" s="65">
        <f>+Series!C491</f>
        <v>44774</v>
      </c>
      <c r="G502" s="30" t="str">
        <f>IF($E$6="seleccione impuesto"," - ",HLOOKUP($E$6,Series!$C$1:AO491, 491,0))</f>
        <v xml:space="preserve"> - </v>
      </c>
    </row>
    <row r="503" spans="5:7">
      <c r="E503" s="20"/>
      <c r="F503" s="65">
        <f>+Series!C492</f>
        <v>44805</v>
      </c>
      <c r="G503" s="30" t="str">
        <f>IF($E$6="seleccione impuesto"," - ",HLOOKUP($E$6,Series!$C$1:AO492, 492,0))</f>
        <v xml:space="preserve"> - </v>
      </c>
    </row>
    <row r="504" spans="5:7">
      <c r="E504" s="20"/>
      <c r="F504" s="65">
        <f>+Series!C493</f>
        <v>44835</v>
      </c>
      <c r="G504" s="30" t="str">
        <f>IF($E$6="seleccione impuesto"," - ",HLOOKUP($E$6,Series!$C$1:AO493, 493,0))</f>
        <v xml:space="preserve"> - </v>
      </c>
    </row>
    <row r="505" spans="5:7">
      <c r="E505" s="20"/>
      <c r="F505" s="65">
        <f>+Series!C494</f>
        <v>44866</v>
      </c>
      <c r="G505" s="30" t="str">
        <f>IF($E$6="seleccione impuesto"," - ",HLOOKUP($E$6,Series!$C$1:AO494, 494,0))</f>
        <v xml:space="preserve"> - </v>
      </c>
    </row>
    <row r="506" spans="5:7">
      <c r="E506" s="20"/>
      <c r="F506" s="65">
        <f>+Series!C495</f>
        <v>44896</v>
      </c>
      <c r="G506" s="30" t="str">
        <f>IF($E$6="seleccione impuesto"," - ",HLOOKUP($E$6,Series!$C$1:AO495, 495,0))</f>
        <v xml:space="preserve"> - </v>
      </c>
    </row>
    <row r="507" spans="5:7">
      <c r="E507" s="20"/>
      <c r="F507" s="65">
        <f>+Series!C496</f>
        <v>44927</v>
      </c>
      <c r="G507" s="30" t="str">
        <f>IF($E$6="seleccione impuesto"," - ",HLOOKUP($E$6,Series!$C$1:AO496, 496,0))</f>
        <v xml:space="preserve"> - </v>
      </c>
    </row>
    <row r="508" spans="5:7">
      <c r="E508" s="20"/>
      <c r="F508" s="65">
        <f>+Series!C497</f>
        <v>44958</v>
      </c>
      <c r="G508" s="30" t="str">
        <f>IF($E$6="seleccione impuesto"," - ",HLOOKUP($E$6,Series!$C$1:AO497, 497,0))</f>
        <v xml:space="preserve"> - </v>
      </c>
    </row>
    <row r="509" spans="5:7">
      <c r="E509" s="20"/>
      <c r="F509" s="65">
        <f>+Series!C498</f>
        <v>44986</v>
      </c>
      <c r="G509" s="30" t="str">
        <f>IF($E$6="seleccione impuesto"," - ",HLOOKUP($E$6,Series!$C$1:AO498, 498,0))</f>
        <v xml:space="preserve"> - </v>
      </c>
    </row>
    <row r="510" spans="5:7">
      <c r="E510" s="20"/>
      <c r="F510" s="65">
        <f>+Series!C499</f>
        <v>45017</v>
      </c>
      <c r="G510" s="30" t="str">
        <f>IF($E$6="seleccione impuesto"," - ",HLOOKUP($E$6,Series!$C$1:AO499, 499,0))</f>
        <v xml:space="preserve"> - </v>
      </c>
    </row>
    <row r="511" spans="5:7">
      <c r="E511" s="20"/>
      <c r="F511" s="65">
        <f>+Series!C500</f>
        <v>45047</v>
      </c>
      <c r="G511" s="30" t="str">
        <f>IF($E$6="seleccione impuesto"," - ",HLOOKUP($E$6,Series!$C$1:AO500, 500,0))</f>
        <v xml:space="preserve"> - </v>
      </c>
    </row>
    <row r="512" spans="5:7">
      <c r="E512" s="20"/>
      <c r="F512" s="65">
        <f>+Series!C501</f>
        <v>45078</v>
      </c>
      <c r="G512" s="30" t="str">
        <f>IF($E$6="seleccione impuesto"," - ",HLOOKUP($E$6,Series!$C$1:AO501, 501,0))</f>
        <v xml:space="preserve"> - </v>
      </c>
    </row>
    <row r="513" spans="5:7">
      <c r="E513" s="20"/>
      <c r="F513" s="65">
        <f>+Series!C502</f>
        <v>45108</v>
      </c>
      <c r="G513" s="30" t="str">
        <f>IF($E$6="seleccione impuesto"," - ",HLOOKUP($E$6,Series!$C$1:AO502, 502,0))</f>
        <v xml:space="preserve"> - </v>
      </c>
    </row>
    <row r="514" spans="5:7">
      <c r="E514" s="20"/>
      <c r="F514" s="65">
        <f>+Series!C503</f>
        <v>45139</v>
      </c>
      <c r="G514" s="30" t="str">
        <f>IF($E$6="seleccione impuesto"," - ",HLOOKUP($E$6,Series!$C$1:AO503, 503,0))</f>
        <v xml:space="preserve"> - </v>
      </c>
    </row>
    <row r="515" spans="5:7">
      <c r="E515" s="20"/>
      <c r="F515" s="65">
        <f>+Series!C504</f>
        <v>45170</v>
      </c>
      <c r="G515" s="30" t="str">
        <f>IF($E$6="seleccione impuesto"," - ",HLOOKUP($E$6,Series!$C$1:AO504, 504,0))</f>
        <v xml:space="preserve"> - </v>
      </c>
    </row>
    <row r="516" spans="5:7">
      <c r="E516" s="20"/>
      <c r="F516" s="65">
        <f>+Series!C505</f>
        <v>45200</v>
      </c>
      <c r="G516" s="30" t="str">
        <f>IF($E$6="seleccione impuesto"," - ",HLOOKUP($E$6,Series!$C$1:AO505, 505,0))</f>
        <v xml:space="preserve"> - </v>
      </c>
    </row>
    <row r="517" spans="5:7">
      <c r="E517" s="20"/>
      <c r="F517" s="65">
        <f>+Series!C506</f>
        <v>45231</v>
      </c>
      <c r="G517" s="30" t="str">
        <f>IF($E$6="seleccione impuesto"," - ",HLOOKUP($E$6,Series!$C$1:AO506, 506,0))</f>
        <v xml:space="preserve"> - </v>
      </c>
    </row>
    <row r="518" spans="5:7">
      <c r="E518" s="20"/>
      <c r="F518" s="65">
        <f>+Series!C507</f>
        <v>45261</v>
      </c>
      <c r="G518" s="30" t="str">
        <f>IF($E$6="seleccione impuesto"," - ",HLOOKUP($E$6,Series!$C$1:AO507, 507,0))</f>
        <v xml:space="preserve"> - </v>
      </c>
    </row>
    <row r="519" spans="5:7">
      <c r="E519" s="20"/>
      <c r="F519" s="65">
        <f>+Series!C508</f>
        <v>45292</v>
      </c>
      <c r="G519" s="30" t="str">
        <f>IF($E$6="seleccione impuesto"," - ",HLOOKUP($E$6,Series!$C$1:AO508, 508,0))</f>
        <v xml:space="preserve"> - </v>
      </c>
    </row>
    <row r="520" spans="5:7">
      <c r="E520" s="20"/>
      <c r="F520" s="65"/>
      <c r="G520" s="30"/>
    </row>
    <row r="521" spans="5:7">
      <c r="E521" s="20"/>
      <c r="F521" s="65"/>
      <c r="G521" s="30"/>
    </row>
    <row r="522" spans="5:7" ht="87" customHeight="1">
      <c r="E522" s="94" t="str">
        <f>IF(HLOOKUP(E6,Series!C1:AO3,3,0)&lt;&gt;"",HLOOKUP(E6,Series!C1:AO3,3,0),"")</f>
        <v>Notas</v>
      </c>
      <c r="F522" s="94"/>
      <c r="G522" s="94"/>
    </row>
    <row r="523" spans="5:7">
      <c r="E523" s="29"/>
      <c r="F523" s="29"/>
      <c r="G523" s="23"/>
    </row>
    <row r="524" spans="5:7">
      <c r="E524" s="29"/>
      <c r="F524" s="29"/>
      <c r="G524" s="23"/>
    </row>
    <row r="525" spans="5:7">
      <c r="E525" s="29"/>
      <c r="F525" s="29"/>
      <c r="G525" s="23"/>
    </row>
    <row r="526" spans="5:7">
      <c r="E526" s="29"/>
      <c r="F526" s="29"/>
      <c r="G526" s="23"/>
    </row>
    <row r="527" spans="5:7">
      <c r="E527" s="29"/>
      <c r="F527" s="29"/>
      <c r="G527" s="23"/>
    </row>
    <row r="528" spans="5:7">
      <c r="E528" s="29"/>
      <c r="F528" s="29"/>
      <c r="G528" s="23"/>
    </row>
    <row r="529" spans="5:7">
      <c r="E529" s="29"/>
      <c r="F529" s="29"/>
      <c r="G529" s="23"/>
    </row>
    <row r="530" spans="5:7">
      <c r="E530" s="29"/>
      <c r="F530" s="29"/>
      <c r="G530" s="23"/>
    </row>
    <row r="531" spans="5:7">
      <c r="E531" s="29"/>
      <c r="F531" s="29"/>
      <c r="G531" s="23"/>
    </row>
    <row r="532" spans="5:7">
      <c r="E532" s="29"/>
      <c r="F532" s="29"/>
      <c r="G532" s="23"/>
    </row>
    <row r="533" spans="5:7">
      <c r="E533" s="29"/>
      <c r="F533" s="29"/>
      <c r="G533" s="23"/>
    </row>
    <row r="534" spans="5:7">
      <c r="E534" s="29"/>
      <c r="F534" s="29"/>
      <c r="G534" s="23"/>
    </row>
    <row r="535" spans="5:7">
      <c r="E535" s="29"/>
      <c r="F535" s="29"/>
      <c r="G535" s="23"/>
    </row>
    <row r="536" spans="5:7">
      <c r="E536" s="29"/>
      <c r="F536" s="29"/>
      <c r="G536" s="23"/>
    </row>
    <row r="537" spans="5:7">
      <c r="E537" s="29"/>
      <c r="F537" s="29"/>
      <c r="G537" s="23"/>
    </row>
    <row r="538" spans="5:7">
      <c r="E538" s="29"/>
      <c r="F538" s="29"/>
      <c r="G538" s="23"/>
    </row>
    <row r="539" spans="5:7">
      <c r="E539" s="29"/>
      <c r="F539" s="29"/>
      <c r="G539" s="23"/>
    </row>
    <row r="540" spans="5:7">
      <c r="E540" s="29"/>
      <c r="F540" s="29"/>
      <c r="G540" s="23"/>
    </row>
    <row r="541" spans="5:7">
      <c r="E541" s="29"/>
      <c r="F541" s="29"/>
      <c r="G541" s="23"/>
    </row>
    <row r="542" spans="5:7">
      <c r="E542" s="29"/>
      <c r="F542" s="29"/>
      <c r="G542" s="23"/>
    </row>
    <row r="543" spans="5:7">
      <c r="E543" s="29"/>
      <c r="F543" s="29"/>
      <c r="G543" s="23"/>
    </row>
    <row r="544" spans="5:7">
      <c r="E544" s="29"/>
      <c r="F544" s="29"/>
      <c r="G544" s="23"/>
    </row>
    <row r="545" spans="5:5">
      <c r="E545" s="31"/>
    </row>
    <row r="546" spans="5:5">
      <c r="E546" s="31"/>
    </row>
    <row r="547" spans="5:5">
      <c r="E547" s="31"/>
    </row>
    <row r="548" spans="5:5">
      <c r="E548" s="31"/>
    </row>
    <row r="549" spans="5:5">
      <c r="E549" s="31"/>
    </row>
    <row r="550" spans="5:5">
      <c r="E550" s="31"/>
    </row>
    <row r="551" spans="5:5">
      <c r="E551" s="31"/>
    </row>
    <row r="552" spans="5:5">
      <c r="E552" s="31"/>
    </row>
    <row r="553" spans="5:5">
      <c r="E553" s="31"/>
    </row>
    <row r="554" spans="5:5">
      <c r="E554" s="31"/>
    </row>
    <row r="555" spans="5:5">
      <c r="E555" s="31"/>
    </row>
    <row r="556" spans="5:5">
      <c r="E556" s="31"/>
    </row>
    <row r="557" spans="5:5">
      <c r="E557" s="31"/>
    </row>
    <row r="558" spans="5:5">
      <c r="E558" s="31"/>
    </row>
    <row r="559" spans="5:5">
      <c r="E559" s="31"/>
    </row>
    <row r="560" spans="5:5">
      <c r="E560" s="31"/>
    </row>
    <row r="561" spans="5:5">
      <c r="E561" s="31"/>
    </row>
    <row r="562" spans="5:5">
      <c r="E562" s="31"/>
    </row>
    <row r="563" spans="5:5">
      <c r="E563" s="31"/>
    </row>
    <row r="564" spans="5:5">
      <c r="E564" s="31"/>
    </row>
    <row r="565" spans="5:5">
      <c r="E565" s="31"/>
    </row>
    <row r="566" spans="5:5">
      <c r="E566" s="31"/>
    </row>
    <row r="567" spans="5:5">
      <c r="E567" s="31"/>
    </row>
    <row r="568" spans="5:5">
      <c r="E568" s="31"/>
    </row>
    <row r="569" spans="5:5">
      <c r="E569" s="31"/>
    </row>
    <row r="570" spans="5:5">
      <c r="E570" s="31"/>
    </row>
    <row r="571" spans="5:5">
      <c r="E571" s="31"/>
    </row>
    <row r="572" spans="5:5">
      <c r="E572" s="31"/>
    </row>
    <row r="573" spans="5:5">
      <c r="E573" s="31"/>
    </row>
    <row r="574" spans="5:5">
      <c r="E574" s="31"/>
    </row>
    <row r="575" spans="5:5">
      <c r="E575" s="31"/>
    </row>
    <row r="576" spans="5:5">
      <c r="E576" s="31"/>
    </row>
    <row r="577" spans="5:5">
      <c r="E577" s="31"/>
    </row>
    <row r="578" spans="5:5">
      <c r="E578" s="31"/>
    </row>
    <row r="579" spans="5:5">
      <c r="E579" s="31"/>
    </row>
    <row r="580" spans="5:5">
      <c r="E580" s="31"/>
    </row>
    <row r="581" spans="5:5">
      <c r="E581" s="31"/>
    </row>
    <row r="582" spans="5:5">
      <c r="E582" s="31"/>
    </row>
    <row r="583" spans="5:5">
      <c r="E583" s="31"/>
    </row>
    <row r="584" spans="5:5">
      <c r="E584" s="31"/>
    </row>
    <row r="585" spans="5:5">
      <c r="E585" s="31"/>
    </row>
    <row r="586" spans="5:5">
      <c r="E586" s="31"/>
    </row>
    <row r="587" spans="5:5">
      <c r="E587" s="31"/>
    </row>
    <row r="588" spans="5:5">
      <c r="E588" s="31"/>
    </row>
    <row r="589" spans="5:5">
      <c r="E589" s="31"/>
    </row>
    <row r="590" spans="5:5">
      <c r="E590" s="31"/>
    </row>
    <row r="591" spans="5:5">
      <c r="E591" s="31"/>
    </row>
    <row r="592" spans="5:5">
      <c r="E592" s="31"/>
    </row>
    <row r="593" spans="5:5">
      <c r="E593" s="31"/>
    </row>
    <row r="594" spans="5:5">
      <c r="E594" s="31"/>
    </row>
    <row r="595" spans="5:5">
      <c r="E595" s="31"/>
    </row>
    <row r="596" spans="5:5">
      <c r="E596" s="31"/>
    </row>
    <row r="597" spans="5:5">
      <c r="E597" s="31"/>
    </row>
    <row r="598" spans="5:5">
      <c r="E598" s="31"/>
    </row>
    <row r="599" spans="5:5">
      <c r="E599" s="31"/>
    </row>
    <row r="600" spans="5:5">
      <c r="E600" s="31"/>
    </row>
    <row r="601" spans="5:5">
      <c r="E601" s="31"/>
    </row>
    <row r="602" spans="5:5">
      <c r="E602" s="31"/>
    </row>
    <row r="603" spans="5:5">
      <c r="E603" s="31"/>
    </row>
    <row r="604" spans="5:5">
      <c r="E604" s="31"/>
    </row>
    <row r="605" spans="5:5">
      <c r="E605" s="31"/>
    </row>
    <row r="606" spans="5:5">
      <c r="E606" s="31"/>
    </row>
    <row r="607" spans="5:5">
      <c r="E607" s="31"/>
    </row>
    <row r="608" spans="5:5">
      <c r="E608" s="31"/>
    </row>
    <row r="609" spans="5:5">
      <c r="E609" s="31"/>
    </row>
    <row r="610" spans="5:5">
      <c r="E610" s="31"/>
    </row>
    <row r="611" spans="5:5">
      <c r="E611" s="31"/>
    </row>
    <row r="612" spans="5:5">
      <c r="E612" s="31"/>
    </row>
    <row r="613" spans="5:5">
      <c r="E613" s="31"/>
    </row>
    <row r="614" spans="5:5">
      <c r="E614" s="31"/>
    </row>
    <row r="615" spans="5:5">
      <c r="E615" s="31"/>
    </row>
    <row r="616" spans="5:5">
      <c r="E616" s="31"/>
    </row>
    <row r="617" spans="5:5">
      <c r="E617" s="31"/>
    </row>
    <row r="618" spans="5:5">
      <c r="E618" s="31"/>
    </row>
    <row r="619" spans="5:5">
      <c r="E619" s="31"/>
    </row>
    <row r="620" spans="5:5">
      <c r="E620" s="31"/>
    </row>
    <row r="621" spans="5:5">
      <c r="E621" s="31"/>
    </row>
    <row r="622" spans="5:5">
      <c r="E622" s="31"/>
    </row>
    <row r="623" spans="5:5">
      <c r="E623" s="31"/>
    </row>
    <row r="624" spans="5:5">
      <c r="E624" s="31"/>
    </row>
    <row r="625" spans="5:5">
      <c r="E625" s="31"/>
    </row>
    <row r="626" spans="5:5">
      <c r="E626" s="31"/>
    </row>
    <row r="627" spans="5:5">
      <c r="E627" s="31"/>
    </row>
    <row r="628" spans="5:5">
      <c r="E628" s="31"/>
    </row>
    <row r="629" spans="5:5">
      <c r="E629" s="31"/>
    </row>
    <row r="630" spans="5:5">
      <c r="E630" s="31"/>
    </row>
    <row r="631" spans="5:5">
      <c r="E631" s="31"/>
    </row>
    <row r="632" spans="5:5">
      <c r="E632" s="31"/>
    </row>
    <row r="633" spans="5:5">
      <c r="E633" s="31"/>
    </row>
    <row r="634" spans="5:5">
      <c r="E634" s="31"/>
    </row>
    <row r="635" spans="5:5">
      <c r="E635" s="31"/>
    </row>
    <row r="636" spans="5:5">
      <c r="E636" s="31"/>
    </row>
  </sheetData>
  <sheetProtection password="C70A" sheet="1" autoFilter="0"/>
  <autoFilter ref="F14:G522"/>
  <mergeCells count="5">
    <mergeCell ref="E6:H6"/>
    <mergeCell ref="E9:G9"/>
    <mergeCell ref="E10:G10"/>
    <mergeCell ref="E11:G11"/>
    <mergeCell ref="E522:G522"/>
  </mergeCells>
  <conditionalFormatting sqref="E6:H6">
    <cfRule type="cellIs" dxfId="0" priority="1" stopIfTrue="1" operator="equal">
      <formula>"SELECCIONE IMPUESTO"</formula>
    </cfRule>
  </conditionalFormatting>
  <dataValidations count="2">
    <dataValidation allowBlank="1" showDropDown="1" showInputMessage="1" showErrorMessage="1" sqref="I15:I17 G14"/>
    <dataValidation type="list" allowBlank="1" showInputMessage="1" showErrorMessage="1" sqref="E6">
      <formula1>impuestos</formula1>
    </dataValidation>
  </dataValidations>
  <pageMargins left="0.75" right="0.75" top="1" bottom="1" header="0" footer="0"/>
  <pageSetup paperSize="9" orientation="portrait" r:id="rId1"/>
  <headerFooter alignWithMargins="0"/>
  <ignoredErrors>
    <ignoredError sqref="F12 E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Recaudación</vt:lpstr>
      <vt:lpstr>Recaudación!Criterios</vt:lpstr>
      <vt:lpstr>impuestos</vt:lpstr>
      <vt:lpstr>inicioserie</vt:lpstr>
      <vt:lpstr>notas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cp:lastPrinted>2018-01-16T18:37:33Z</cp:lastPrinted>
  <dcterms:created xsi:type="dcterms:W3CDTF">2010-01-28T17:51:05Z</dcterms:created>
  <dcterms:modified xsi:type="dcterms:W3CDTF">2024-03-21T13:05:08Z</dcterms:modified>
</cp:coreProperties>
</file>