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6380" windowHeight="8190"/>
  </bookViews>
  <sheets>
    <sheet name="Escala de Rentas IASS" sheetId="1" r:id="rId1"/>
    <sheet name="Parámetros" sheetId="2" state="hidden" r:id="rId2"/>
  </sheets>
  <definedNames>
    <definedName name="_xlnm.Print_Area" localSheetId="0">'Escala de Rentas IASS'!$A$1:$H$30</definedName>
    <definedName name="Excel_BuiltIn__FilterDatabase" localSheetId="0">'Escala de Rentas IASS'!#REF!</definedName>
  </definedNames>
  <calcPr calcId="125725"/>
</workbook>
</file>

<file path=xl/calcChain.xml><?xml version="1.0" encoding="utf-8"?>
<calcChain xmlns="http://schemas.openxmlformats.org/spreadsheetml/2006/main">
  <c r="G14" i="1"/>
  <c r="F19"/>
  <c r="M20"/>
  <c r="M21"/>
  <c r="M22"/>
  <c r="M23"/>
  <c r="M24"/>
  <c r="U71" i="2"/>
  <c r="E71"/>
  <c r="D25" i="1" s="1"/>
  <c r="P30" i="2"/>
  <c r="P13"/>
  <c r="I21"/>
  <c r="I5"/>
  <c r="M25" i="1"/>
  <c r="U72" i="2"/>
  <c r="E72"/>
  <c r="V22"/>
  <c r="R14"/>
  <c r="I22"/>
  <c r="I6"/>
  <c r="M26" i="1"/>
  <c r="U73" i="2"/>
  <c r="E73"/>
  <c r="V23"/>
  <c r="R32"/>
  <c r="R15"/>
  <c r="I23"/>
  <c r="I7"/>
  <c r="M27" i="1"/>
  <c r="U74" i="2"/>
  <c r="E74"/>
  <c r="V24"/>
  <c r="P33"/>
  <c r="P16"/>
  <c r="I24"/>
  <c r="T33" s="1"/>
  <c r="I8"/>
  <c r="T16" s="1"/>
  <c r="M28" i="1"/>
  <c r="M29"/>
  <c r="M30"/>
  <c r="M31"/>
  <c r="M32"/>
  <c r="D33"/>
  <c r="M33"/>
  <c r="M34"/>
  <c r="M35"/>
  <c r="M36"/>
  <c r="C5" i="2"/>
  <c r="A6"/>
  <c r="C6"/>
  <c r="A7" s="1"/>
  <c r="V6"/>
  <c r="X6"/>
  <c r="V7" s="1"/>
  <c r="C7"/>
  <c r="X7"/>
  <c r="A8"/>
  <c r="V8"/>
  <c r="C13"/>
  <c r="A14" s="1"/>
  <c r="I13"/>
  <c r="G14" s="1"/>
  <c r="N13"/>
  <c r="AC13"/>
  <c r="R13" s="1"/>
  <c r="C14"/>
  <c r="I14"/>
  <c r="G15" s="1"/>
  <c r="N14"/>
  <c r="T14" s="1"/>
  <c r="V14"/>
  <c r="AA14"/>
  <c r="P14" s="1"/>
  <c r="AC14"/>
  <c r="A15"/>
  <c r="N15"/>
  <c r="T15" s="1"/>
  <c r="V15"/>
  <c r="AA15"/>
  <c r="P15" s="1"/>
  <c r="R16"/>
  <c r="A22"/>
  <c r="A23"/>
  <c r="A24"/>
  <c r="C30"/>
  <c r="I30"/>
  <c r="T30" s="1"/>
  <c r="X30"/>
  <c r="V31" s="1"/>
  <c r="AC30"/>
  <c r="R30" s="1"/>
  <c r="A31"/>
  <c r="C31"/>
  <c r="I31"/>
  <c r="T31" s="1"/>
  <c r="X31"/>
  <c r="AC31"/>
  <c r="R31" s="1"/>
  <c r="A32"/>
  <c r="I32"/>
  <c r="V32"/>
  <c r="R33"/>
  <c r="C39"/>
  <c r="A40"/>
  <c r="C40"/>
  <c r="A41" s="1"/>
  <c r="C41"/>
  <c r="A42" s="1"/>
  <c r="C48"/>
  <c r="R48" s="1"/>
  <c r="P48"/>
  <c r="T48"/>
  <c r="A49"/>
  <c r="P49" s="1"/>
  <c r="C49"/>
  <c r="A50" s="1"/>
  <c r="P50" s="1"/>
  <c r="T49"/>
  <c r="R50"/>
  <c r="T50"/>
  <c r="P51"/>
  <c r="R51"/>
  <c r="T51"/>
  <c r="O71"/>
  <c r="O72"/>
  <c r="O73"/>
  <c r="O74"/>
  <c r="E28" i="1" l="1"/>
  <c r="F26"/>
  <c r="T13" i="2"/>
  <c r="G25" i="1" s="1"/>
  <c r="T32" i="2"/>
  <c r="G26" i="1"/>
  <c r="E25"/>
  <c r="F27"/>
  <c r="G27"/>
  <c r="D28"/>
  <c r="D27"/>
  <c r="F25"/>
  <c r="D26"/>
  <c r="G28"/>
  <c r="R49" i="2"/>
  <c r="AA32"/>
  <c r="P32" s="1"/>
  <c r="E27" i="1" s="1"/>
  <c r="AA31" i="2"/>
  <c r="P31" s="1"/>
  <c r="E26" i="1" s="1"/>
</calcChain>
</file>

<file path=xl/sharedStrings.xml><?xml version="1.0" encoding="utf-8"?>
<sst xmlns="http://schemas.openxmlformats.org/spreadsheetml/2006/main" count="289" uniqueCount="72">
  <si>
    <t>IASS - Escalas y alícuotas aplicables</t>
  </si>
  <si>
    <t>Anual</t>
  </si>
  <si>
    <t>Debe seleccionar período  -&gt;</t>
  </si>
  <si>
    <t>Semestral</t>
  </si>
  <si>
    <t>Mensual</t>
  </si>
  <si>
    <t>Debe seleccioner año -&gt;</t>
  </si>
  <si>
    <t>Si</t>
  </si>
  <si>
    <t>Aplica mínimo no imponible -&gt;</t>
  </si>
  <si>
    <t>Aplica mínimo no imponible</t>
  </si>
  <si>
    <t>No</t>
  </si>
  <si>
    <t>Valor BPC</t>
  </si>
  <si>
    <t>2008 2do. Semestre</t>
  </si>
  <si>
    <t>Rangos BPC</t>
  </si>
  <si>
    <t>Desde $</t>
  </si>
  <si>
    <t>Hasta $</t>
  </si>
  <si>
    <t>Tasa</t>
  </si>
  <si>
    <t>Desde 2008</t>
  </si>
  <si>
    <t>2008 al 2016</t>
  </si>
  <si>
    <t>2017 a 2023</t>
  </si>
  <si>
    <t>Desde 2024</t>
  </si>
  <si>
    <t>Consolidado</t>
  </si>
  <si>
    <t>Desde 2023</t>
  </si>
  <si>
    <t xml:space="preserve">Escala de ingresos </t>
  </si>
  <si>
    <t>Desde</t>
  </si>
  <si>
    <t>Hasta</t>
  </si>
  <si>
    <t>BPC</t>
  </si>
  <si>
    <t>Desde 2009</t>
  </si>
  <si>
    <t>2008 a 2016</t>
  </si>
  <si>
    <t>Transitorio 2023</t>
  </si>
  <si>
    <t>Escala mensual sin aplicación del MNI</t>
  </si>
  <si>
    <t>2009 a 2016</t>
  </si>
  <si>
    <t xml:space="preserve"> 2017 a 2023</t>
  </si>
  <si>
    <t xml:space="preserve">Escala de rentas </t>
  </si>
  <si>
    <t>Escala anual sin aplicación del MNI</t>
  </si>
  <si>
    <t>Escala semestral sin aplicación del MNI</t>
  </si>
  <si>
    <t>Rangos Mensuales</t>
  </si>
  <si>
    <t>Rangos Semestrales</t>
  </si>
  <si>
    <t>Rangos Anuales</t>
  </si>
  <si>
    <t>Escala mensual con aplicación del MNI</t>
  </si>
  <si>
    <t>Escala anual con aplicación del MNI</t>
  </si>
  <si>
    <t>Desde 2009 hasta 2023</t>
  </si>
  <si>
    <t>Ingresos</t>
  </si>
  <si>
    <t>0 a 8 BPC</t>
  </si>
  <si>
    <t>0 a 9 BPC</t>
  </si>
  <si>
    <t>0 a 48 BPC</t>
  </si>
  <si>
    <t>0 a 96 BPC</t>
  </si>
  <si>
    <t>0 a 108 BPC</t>
  </si>
  <si>
    <t>8 a 15 BPC</t>
  </si>
  <si>
    <t>9 a 15 BPC</t>
  </si>
  <si>
    <t>48 a 90 BPC</t>
  </si>
  <si>
    <t>96 a 180 BPC</t>
  </si>
  <si>
    <t>108 a 180 BPC</t>
  </si>
  <si>
    <t>15 a 50 BPC</t>
  </si>
  <si>
    <t>90 a 300 BPC</t>
  </si>
  <si>
    <t>180 a 600 BPC</t>
  </si>
  <si>
    <t>Más de 50 BPC</t>
  </si>
  <si>
    <t>Más de 300 BPC</t>
  </si>
  <si>
    <t>Más de 600 BPC</t>
  </si>
  <si>
    <t>0 a 15 BPC</t>
  </si>
  <si>
    <t>0 a 7 BPC</t>
  </si>
  <si>
    <t>0 a 90 BPC</t>
  </si>
  <si>
    <t>0 a 84 BPC</t>
  </si>
  <si>
    <t>7 a 42 BPC</t>
  </si>
  <si>
    <t>84 a 504 BPC</t>
  </si>
  <si>
    <t>Más de 42 BPC</t>
  </si>
  <si>
    <t>Más de 504 BPC</t>
  </si>
  <si>
    <t>0 a 6 BPC</t>
  </si>
  <si>
    <t>0 a 72 BPC</t>
  </si>
  <si>
    <t>6 a 41 BPC</t>
  </si>
  <si>
    <t>72 a 492 BPC</t>
  </si>
  <si>
    <t>Más de 41 BPC</t>
  </si>
  <si>
    <t>Más de 492 BPC</t>
  </si>
</sst>
</file>

<file path=xl/styles.xml><?xml version="1.0" encoding="utf-8"?>
<styleSheet xmlns="http://schemas.openxmlformats.org/spreadsheetml/2006/main">
  <numFmts count="4">
    <numFmt numFmtId="164" formatCode="_-* #,##0.00\ _€_-;\-* #,##0.00\ _€_-;_-* \-??\ _€_-;_-@_-"/>
    <numFmt numFmtId="165" formatCode="[$$-2C0A]\ #,##0"/>
    <numFmt numFmtId="166" formatCode="_-* #,##0\ _€_-;\-* #,##0\ _€_-;_-* \-??\ _€_-;_-@_-"/>
    <numFmt numFmtId="167" formatCode="[$$-2C0A]\ #,##0.00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indexed="63"/>
      <name val="Verdana"/>
      <family val="2"/>
    </font>
    <font>
      <sz val="8"/>
      <color indexed="10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12"/>
      <color indexed="63"/>
      <name val="Verdana"/>
      <family val="2"/>
    </font>
    <font>
      <sz val="7"/>
      <color indexed="63"/>
      <name val="Verdana"/>
      <family val="2"/>
    </font>
    <font>
      <b/>
      <sz val="9"/>
      <color indexed="63"/>
      <name val="Verdana"/>
      <family val="2"/>
    </font>
    <font>
      <b/>
      <sz val="8"/>
      <color indexed="63"/>
      <name val="Verdana"/>
      <family val="2"/>
    </font>
    <font>
      <b/>
      <sz val="8"/>
      <color indexed="10"/>
      <name val="Verdana"/>
      <family val="2"/>
    </font>
    <font>
      <sz val="14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6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164" fontId="35" fillId="0" borderId="0" applyFill="0" applyBorder="0" applyAlignment="0" applyProtection="0"/>
    <xf numFmtId="0" fontId="11" fillId="22" borderId="0" applyNumberFormat="0" applyBorder="0" applyAlignment="0" applyProtection="0"/>
    <xf numFmtId="0" fontId="35" fillId="23" borderId="5" applyNumberFormat="0" applyAlignment="0" applyProtection="0"/>
    <xf numFmtId="0" fontId="12" fillId="16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121">
    <xf numFmtId="0" fontId="0" fillId="0" borderId="0" xfId="0"/>
    <xf numFmtId="0" fontId="18" fillId="24" borderId="0" xfId="0" applyFont="1" applyFill="1"/>
    <xf numFmtId="0" fontId="19" fillId="24" borderId="0" xfId="0" applyFont="1" applyFill="1"/>
    <xf numFmtId="0" fontId="20" fillId="24" borderId="0" xfId="0" applyFont="1" applyFill="1"/>
    <xf numFmtId="0" fontId="21" fillId="24" borderId="0" xfId="0" applyFont="1" applyFill="1"/>
    <xf numFmtId="0" fontId="22" fillId="24" borderId="0" xfId="0" applyFont="1" applyFill="1" applyAlignment="1">
      <alignment horizontal="center"/>
    </xf>
    <xf numFmtId="0" fontId="23" fillId="24" borderId="0" xfId="0" applyFont="1" applyFill="1"/>
    <xf numFmtId="0" fontId="18" fillId="24" borderId="0" xfId="0" applyFont="1" applyFill="1" applyAlignment="1">
      <alignment horizontal="right" indent="1"/>
    </xf>
    <xf numFmtId="0" fontId="26" fillId="24" borderId="0" xfId="0" applyFont="1" applyFill="1"/>
    <xf numFmtId="0" fontId="25" fillId="24" borderId="0" xfId="0" applyFont="1" applyFill="1"/>
    <xf numFmtId="165" fontId="25" fillId="24" borderId="10" xfId="33" applyNumberFormat="1" applyFont="1" applyFill="1" applyBorder="1" applyAlignment="1" applyProtection="1">
      <alignment horizontal="center"/>
    </xf>
    <xf numFmtId="0" fontId="25" fillId="24" borderId="0" xfId="0" applyFont="1" applyFill="1" applyBorder="1"/>
    <xf numFmtId="0" fontId="18" fillId="24" borderId="0" xfId="0" applyFont="1" applyFill="1" applyBorder="1"/>
    <xf numFmtId="0" fontId="19" fillId="24" borderId="0" xfId="0" applyFont="1" applyFill="1" applyBorder="1"/>
    <xf numFmtId="0" fontId="20" fillId="24" borderId="0" xfId="0" applyFont="1" applyFill="1" applyBorder="1"/>
    <xf numFmtId="0" fontId="25" fillId="0" borderId="10" xfId="0" applyFont="1" applyFill="1" applyBorder="1" applyAlignment="1" applyProtection="1">
      <alignment horizontal="center" wrapText="1"/>
      <protection hidden="1"/>
    </xf>
    <xf numFmtId="4" fontId="25" fillId="0" borderId="10" xfId="0" applyNumberFormat="1" applyFont="1" applyFill="1" applyBorder="1" applyAlignment="1" applyProtection="1">
      <alignment horizontal="center"/>
      <protection hidden="1"/>
    </xf>
    <xf numFmtId="0" fontId="25" fillId="0" borderId="10" xfId="0" applyFont="1" applyFill="1" applyBorder="1" applyAlignment="1" applyProtection="1">
      <alignment horizontal="center"/>
      <protection hidden="1"/>
    </xf>
    <xf numFmtId="1" fontId="21" fillId="0" borderId="10" xfId="0" applyNumberFormat="1" applyFont="1" applyFill="1" applyBorder="1" applyAlignment="1" applyProtection="1">
      <alignment horizontal="center"/>
      <protection hidden="1"/>
    </xf>
    <xf numFmtId="3" fontId="18" fillId="0" borderId="10" xfId="0" applyNumberFormat="1" applyFont="1" applyBorder="1" applyAlignment="1" applyProtection="1">
      <alignment horizontal="center"/>
      <protection hidden="1"/>
    </xf>
    <xf numFmtId="9" fontId="18" fillId="0" borderId="10" xfId="0" applyNumberFormat="1" applyFont="1" applyBorder="1" applyAlignment="1" applyProtection="1">
      <alignment horizontal="center"/>
      <protection hidden="1"/>
    </xf>
    <xf numFmtId="166" fontId="19" fillId="24" borderId="0" xfId="33" applyNumberFormat="1" applyFont="1" applyFill="1" applyBorder="1" applyAlignment="1" applyProtection="1"/>
    <xf numFmtId="166" fontId="26" fillId="24" borderId="0" xfId="33" applyNumberFormat="1" applyFont="1" applyFill="1" applyBorder="1" applyAlignment="1" applyProtection="1">
      <alignment horizontal="center"/>
    </xf>
    <xf numFmtId="166" fontId="20" fillId="24" borderId="0" xfId="33" applyNumberFormat="1" applyFont="1" applyFill="1" applyBorder="1" applyAlignment="1" applyProtection="1"/>
    <xf numFmtId="1" fontId="18" fillId="24" borderId="0" xfId="0" applyNumberFormat="1" applyFont="1" applyFill="1" applyBorder="1" applyAlignment="1">
      <alignment horizontal="center"/>
    </xf>
    <xf numFmtId="3" fontId="18" fillId="24" borderId="0" xfId="0" applyNumberFormat="1" applyFont="1" applyFill="1" applyBorder="1"/>
    <xf numFmtId="10" fontId="18" fillId="24" borderId="0" xfId="0" applyNumberFormat="1" applyFont="1" applyFill="1" applyBorder="1"/>
    <xf numFmtId="9" fontId="26" fillId="24" borderId="0" xfId="0" applyNumberFormat="1" applyFont="1" applyFill="1" applyBorder="1" applyAlignment="1" applyProtection="1">
      <alignment horizontal="center"/>
      <protection locked="0"/>
    </xf>
    <xf numFmtId="4" fontId="18" fillId="24" borderId="0" xfId="0" applyNumberFormat="1" applyFont="1" applyFill="1" applyBorder="1" applyAlignment="1">
      <alignment horizontal="center"/>
    </xf>
    <xf numFmtId="166" fontId="18" fillId="24" borderId="0" xfId="33" applyNumberFormat="1" applyFont="1" applyFill="1" applyBorder="1" applyAlignment="1" applyProtection="1">
      <alignment horizontal="right"/>
    </xf>
    <xf numFmtId="0" fontId="21" fillId="24" borderId="0" xfId="0" applyFont="1" applyFill="1" applyBorder="1"/>
    <xf numFmtId="0" fontId="25" fillId="24" borderId="0" xfId="0" applyFont="1" applyFill="1" applyBorder="1" applyAlignment="1" applyProtection="1">
      <alignment horizontal="center"/>
      <protection locked="0"/>
    </xf>
    <xf numFmtId="167" fontId="19" fillId="24" borderId="0" xfId="33" applyNumberFormat="1" applyFont="1" applyFill="1" applyBorder="1" applyAlignment="1" applyProtection="1"/>
    <xf numFmtId="166" fontId="18" fillId="24" borderId="0" xfId="33" applyNumberFormat="1" applyFont="1" applyFill="1" applyBorder="1" applyAlignment="1" applyProtection="1">
      <alignment horizontal="center"/>
    </xf>
    <xf numFmtId="0" fontId="26" fillId="24" borderId="0" xfId="0" applyFont="1" applyFill="1" applyBorder="1"/>
    <xf numFmtId="166" fontId="18" fillId="24" borderId="0" xfId="33" applyNumberFormat="1" applyFont="1" applyFill="1" applyBorder="1" applyAlignment="1" applyProtection="1"/>
    <xf numFmtId="166" fontId="19" fillId="24" borderId="0" xfId="0" applyNumberFormat="1" applyFont="1" applyFill="1" applyBorder="1"/>
    <xf numFmtId="0" fontId="18" fillId="24" borderId="0" xfId="0" applyFont="1" applyFill="1" applyAlignment="1">
      <alignment horizontal="center"/>
    </xf>
    <xf numFmtId="0" fontId="0" fillId="24" borderId="0" xfId="0" applyFill="1"/>
    <xf numFmtId="0" fontId="27" fillId="24" borderId="0" xfId="0" applyFont="1" applyFill="1"/>
    <xf numFmtId="0" fontId="28" fillId="25" borderId="0" xfId="0" applyFont="1" applyFill="1"/>
    <xf numFmtId="0" fontId="29" fillId="24" borderId="0" xfId="0" applyFont="1" applyFill="1"/>
    <xf numFmtId="0" fontId="29" fillId="24" borderId="0" xfId="0" applyFont="1" applyFill="1" applyBorder="1"/>
    <xf numFmtId="0" fontId="30" fillId="24" borderId="0" xfId="0" applyFont="1" applyFill="1"/>
    <xf numFmtId="0" fontId="30" fillId="24" borderId="0" xfId="0" applyFont="1" applyFill="1" applyBorder="1"/>
    <xf numFmtId="0" fontId="31" fillId="24" borderId="0" xfId="0" applyFont="1" applyFill="1"/>
    <xf numFmtId="0" fontId="31" fillId="24" borderId="0" xfId="0" applyFont="1" applyFill="1" applyBorder="1"/>
    <xf numFmtId="0" fontId="30" fillId="23" borderId="11" xfId="0" applyFont="1" applyFill="1" applyBorder="1" applyAlignment="1">
      <alignment horizontal="center"/>
    </xf>
    <xf numFmtId="0" fontId="30" fillId="23" borderId="12" xfId="0" applyFont="1" applyFill="1" applyBorder="1" applyAlignment="1">
      <alignment horizontal="center"/>
    </xf>
    <xf numFmtId="0" fontId="32" fillId="24" borderId="0" xfId="0" applyFont="1" applyFill="1"/>
    <xf numFmtId="0" fontId="30" fillId="24" borderId="0" xfId="0" applyFont="1" applyFill="1" applyBorder="1" applyAlignment="1">
      <alignment horizontal="center"/>
    </xf>
    <xf numFmtId="0" fontId="0" fillId="24" borderId="0" xfId="0" applyFill="1" applyBorder="1"/>
    <xf numFmtId="0" fontId="30" fillId="0" borderId="13" xfId="0" applyFont="1" applyFill="1" applyBorder="1" applyProtection="1">
      <protection locked="0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9" fontId="30" fillId="0" borderId="16" xfId="0" applyNumberFormat="1" applyFont="1" applyFill="1" applyBorder="1" applyProtection="1">
      <protection locked="0"/>
    </xf>
    <xf numFmtId="0" fontId="32" fillId="24" borderId="0" xfId="0" applyFont="1" applyFill="1" applyBorder="1" applyAlignment="1">
      <alignment horizontal="center"/>
    </xf>
    <xf numFmtId="9" fontId="30" fillId="24" borderId="0" xfId="0" applyNumberFormat="1" applyFont="1" applyFill="1" applyBorder="1" applyProtection="1">
      <protection locked="0"/>
    </xf>
    <xf numFmtId="0" fontId="30" fillId="0" borderId="17" xfId="0" applyFont="1" applyFill="1" applyBorder="1" applyProtection="1">
      <protection locked="0"/>
    </xf>
    <xf numFmtId="0" fontId="32" fillId="0" borderId="18" xfId="0" applyFont="1" applyFill="1" applyBorder="1" applyAlignment="1">
      <alignment horizontal="center"/>
    </xf>
    <xf numFmtId="0" fontId="32" fillId="0" borderId="19" xfId="0" applyFont="1" applyFill="1" applyBorder="1" applyAlignment="1">
      <alignment horizontal="center"/>
    </xf>
    <xf numFmtId="9" fontId="30" fillId="0" borderId="20" xfId="0" applyNumberFormat="1" applyFont="1" applyFill="1" applyBorder="1" applyProtection="1">
      <protection locked="0"/>
    </xf>
    <xf numFmtId="0" fontId="30" fillId="0" borderId="21" xfId="0" applyFont="1" applyFill="1" applyBorder="1" applyProtection="1">
      <protection locked="0"/>
    </xf>
    <xf numFmtId="0" fontId="32" fillId="0" borderId="2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9" fontId="30" fillId="0" borderId="24" xfId="0" applyNumberFormat="1" applyFont="1" applyFill="1" applyBorder="1" applyProtection="1">
      <protection locked="0"/>
    </xf>
    <xf numFmtId="0" fontId="29" fillId="24" borderId="0" xfId="0" applyFont="1" applyFill="1" applyAlignment="1">
      <alignment horizontal="left"/>
    </xf>
    <xf numFmtId="0" fontId="32" fillId="24" borderId="0" xfId="0" applyFont="1" applyFill="1" applyAlignment="1">
      <alignment horizontal="left"/>
    </xf>
    <xf numFmtId="0" fontId="30" fillId="4" borderId="10" xfId="0" applyFont="1" applyFill="1" applyBorder="1" applyAlignment="1">
      <alignment horizontal="center"/>
    </xf>
    <xf numFmtId="1" fontId="33" fillId="4" borderId="10" xfId="0" applyNumberFormat="1" applyFont="1" applyFill="1" applyBorder="1" applyAlignment="1">
      <alignment horizontal="center"/>
    </xf>
    <xf numFmtId="0" fontId="32" fillId="4" borderId="10" xfId="0" applyFont="1" applyFill="1" applyBorder="1" applyAlignment="1">
      <alignment horizontal="center"/>
    </xf>
    <xf numFmtId="9" fontId="30" fillId="4" borderId="10" xfId="0" applyNumberFormat="1" applyFont="1" applyFill="1" applyBorder="1" applyProtection="1">
      <protection locked="0"/>
    </xf>
    <xf numFmtId="0" fontId="34" fillId="24" borderId="0" xfId="0" applyFont="1" applyFill="1"/>
    <xf numFmtId="0" fontId="34" fillId="24" borderId="0" xfId="0" applyFont="1" applyFill="1" applyBorder="1"/>
    <xf numFmtId="0" fontId="30" fillId="0" borderId="0" xfId="0" applyFont="1" applyFill="1"/>
    <xf numFmtId="0" fontId="30" fillId="24" borderId="0" xfId="0" applyFont="1" applyFill="1" applyBorder="1" applyAlignment="1">
      <alignment horizontal="left"/>
    </xf>
    <xf numFmtId="0" fontId="31" fillId="24" borderId="0" xfId="0" applyFont="1" applyFill="1" applyBorder="1" applyAlignment="1">
      <alignment horizontal="center"/>
    </xf>
    <xf numFmtId="0" fontId="30" fillId="24" borderId="0" xfId="0" applyFont="1" applyFill="1" applyBorder="1" applyProtection="1">
      <protection locked="0"/>
    </xf>
    <xf numFmtId="9" fontId="31" fillId="24" borderId="0" xfId="0" applyNumberFormat="1" applyFont="1" applyFill="1" applyBorder="1" applyProtection="1">
      <protection locked="0"/>
    </xf>
    <xf numFmtId="0" fontId="32" fillId="24" borderId="0" xfId="0" applyFont="1" applyFill="1" applyBorder="1"/>
    <xf numFmtId="0" fontId="30" fillId="4" borderId="10" xfId="0" applyFont="1" applyFill="1" applyBorder="1" applyProtection="1">
      <protection locked="0"/>
    </xf>
    <xf numFmtId="0" fontId="28" fillId="25" borderId="0" xfId="0" applyFont="1" applyFill="1" applyAlignment="1">
      <alignment horizontal="left"/>
    </xf>
    <xf numFmtId="1" fontId="33" fillId="24" borderId="10" xfId="0" applyNumberFormat="1" applyFont="1" applyFill="1" applyBorder="1" applyAlignment="1">
      <alignment horizontal="center"/>
    </xf>
    <xf numFmtId="1" fontId="33" fillId="24" borderId="0" xfId="0" applyNumberFormat="1" applyFont="1" applyFill="1" applyBorder="1" applyAlignment="1">
      <alignment horizontal="center"/>
    </xf>
    <xf numFmtId="1" fontId="33" fillId="0" borderId="10" xfId="0" applyNumberFormat="1" applyFont="1" applyBorder="1" applyAlignment="1">
      <alignment horizontal="center"/>
    </xf>
    <xf numFmtId="49" fontId="33" fillId="0" borderId="10" xfId="0" applyNumberFormat="1" applyFont="1" applyBorder="1" applyAlignment="1">
      <alignment horizontal="center"/>
    </xf>
    <xf numFmtId="1" fontId="33" fillId="24" borderId="0" xfId="0" applyNumberFormat="1" applyFont="1" applyFill="1" applyBorder="1" applyAlignment="1">
      <alignment horizontal="left"/>
    </xf>
    <xf numFmtId="0" fontId="0" fillId="24" borderId="0" xfId="0" applyNumberFormat="1" applyFill="1"/>
    <xf numFmtId="9" fontId="30" fillId="0" borderId="13" xfId="0" applyNumberFormat="1" applyFont="1" applyFill="1" applyBorder="1" applyProtection="1">
      <protection locked="0"/>
    </xf>
    <xf numFmtId="9" fontId="30" fillId="0" borderId="17" xfId="0" applyNumberFormat="1" applyFont="1" applyFill="1" applyBorder="1" applyProtection="1">
      <protection locked="0"/>
    </xf>
    <xf numFmtId="9" fontId="30" fillId="0" borderId="21" xfId="0" applyNumberFormat="1" applyFont="1" applyFill="1" applyBorder="1" applyProtection="1">
      <protection locked="0"/>
    </xf>
    <xf numFmtId="9" fontId="30" fillId="0" borderId="27" xfId="0" applyNumberFormat="1" applyFont="1" applyFill="1" applyBorder="1" applyProtection="1">
      <protection locked="0"/>
    </xf>
    <xf numFmtId="9" fontId="30" fillId="0" borderId="28" xfId="0" applyNumberFormat="1" applyFont="1" applyFill="1" applyBorder="1" applyProtection="1">
      <protection locked="0"/>
    </xf>
    <xf numFmtId="9" fontId="30" fillId="0" borderId="29" xfId="0" applyNumberFormat="1" applyFont="1" applyFill="1" applyBorder="1" applyProtection="1">
      <protection locked="0"/>
    </xf>
    <xf numFmtId="9" fontId="30" fillId="0" borderId="30" xfId="0" applyNumberFormat="1" applyFont="1" applyFill="1" applyBorder="1" applyProtection="1">
      <protection locked="0"/>
    </xf>
    <xf numFmtId="0" fontId="30" fillId="23" borderId="31" xfId="0" applyFont="1" applyFill="1" applyBorder="1" applyAlignment="1">
      <alignment horizontal="center"/>
    </xf>
    <xf numFmtId="0" fontId="30" fillId="23" borderId="32" xfId="0" applyFont="1" applyFill="1" applyBorder="1" applyAlignment="1">
      <alignment horizontal="center"/>
    </xf>
    <xf numFmtId="9" fontId="30" fillId="0" borderId="33" xfId="0" applyNumberFormat="1" applyFont="1" applyFill="1" applyBorder="1" applyProtection="1">
      <protection locked="0"/>
    </xf>
    <xf numFmtId="0" fontId="30" fillId="0" borderId="34" xfId="0" applyFont="1" applyFill="1" applyBorder="1" applyProtection="1">
      <protection locked="0"/>
    </xf>
    <xf numFmtId="0" fontId="32" fillId="0" borderId="35" xfId="0" applyFont="1" applyFill="1" applyBorder="1" applyAlignment="1">
      <alignment horizontal="center"/>
    </xf>
    <xf numFmtId="0" fontId="30" fillId="0" borderId="40" xfId="0" applyFont="1" applyFill="1" applyBorder="1" applyProtection="1">
      <protection locked="0"/>
    </xf>
    <xf numFmtId="0" fontId="32" fillId="0" borderId="41" xfId="0" applyFont="1" applyFill="1" applyBorder="1" applyAlignment="1">
      <alignment horizontal="center"/>
    </xf>
    <xf numFmtId="0" fontId="30" fillId="0" borderId="42" xfId="0" applyFont="1" applyFill="1" applyBorder="1" applyProtection="1">
      <protection locked="0"/>
    </xf>
    <xf numFmtId="0" fontId="32" fillId="0" borderId="43" xfId="0" applyFont="1" applyFill="1" applyBorder="1" applyAlignment="1">
      <alignment horizontal="center"/>
    </xf>
    <xf numFmtId="0" fontId="30" fillId="0" borderId="44" xfId="0" applyFont="1" applyFill="1" applyBorder="1" applyProtection="1">
      <protection locked="0"/>
    </xf>
    <xf numFmtId="0" fontId="32" fillId="0" borderId="45" xfId="0" applyFont="1" applyFill="1" applyBorder="1" applyAlignment="1">
      <alignment horizontal="center"/>
    </xf>
    <xf numFmtId="0" fontId="32" fillId="0" borderId="46" xfId="0" applyFont="1" applyFill="1" applyBorder="1" applyAlignment="1">
      <alignment horizontal="center"/>
    </xf>
    <xf numFmtId="0" fontId="32" fillId="0" borderId="47" xfId="0" applyFont="1" applyFill="1" applyBorder="1" applyAlignment="1">
      <alignment horizontal="center"/>
    </xf>
    <xf numFmtId="0" fontId="32" fillId="0" borderId="48" xfId="0" applyFont="1" applyFill="1" applyBorder="1" applyAlignment="1">
      <alignment horizontal="center"/>
    </xf>
    <xf numFmtId="0" fontId="25" fillId="24" borderId="25" xfId="0" applyFont="1" applyFill="1" applyBorder="1" applyAlignment="1">
      <alignment horizontal="right" indent="1"/>
    </xf>
    <xf numFmtId="0" fontId="0" fillId="0" borderId="0" xfId="0" applyBorder="1" applyAlignment="1">
      <alignment horizontal="left"/>
    </xf>
    <xf numFmtId="0" fontId="22" fillId="24" borderId="0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right" indent="1"/>
    </xf>
    <xf numFmtId="0" fontId="30" fillId="23" borderId="26" xfId="0" applyFont="1" applyFill="1" applyBorder="1" applyAlignment="1">
      <alignment horizontal="center"/>
    </xf>
    <xf numFmtId="0" fontId="30" fillId="23" borderId="11" xfId="0" applyFont="1" applyFill="1" applyBorder="1" applyAlignment="1">
      <alignment horizontal="center"/>
    </xf>
    <xf numFmtId="0" fontId="30" fillId="23" borderId="36" xfId="0" applyFont="1" applyFill="1" applyBorder="1" applyAlignment="1">
      <alignment horizontal="center"/>
    </xf>
    <xf numFmtId="0" fontId="30" fillId="23" borderId="37" xfId="0" applyFont="1" applyFill="1" applyBorder="1" applyAlignment="1">
      <alignment horizontal="center"/>
    </xf>
    <xf numFmtId="0" fontId="30" fillId="4" borderId="10" xfId="0" applyFont="1" applyFill="1" applyBorder="1" applyAlignment="1">
      <alignment horizontal="center"/>
    </xf>
    <xf numFmtId="0" fontId="30" fillId="23" borderId="38" xfId="0" applyFont="1" applyFill="1" applyBorder="1" applyAlignment="1">
      <alignment horizontal="center"/>
    </xf>
    <xf numFmtId="0" fontId="30" fillId="23" borderId="39" xfId="0" applyFont="1" applyFill="1" applyBorder="1" applyAlignment="1">
      <alignment horizontal="center"/>
    </xf>
    <xf numFmtId="0" fontId="25" fillId="8" borderId="10" xfId="0" applyFont="1" applyFill="1" applyBorder="1" applyAlignment="1" applyProtection="1">
      <alignment horizontal="center" vertical="center"/>
      <protection locked="0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23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">
    <dxf>
      <font>
        <b val="0"/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133350</xdr:rowOff>
    </xdr:from>
    <xdr:to>
      <xdr:col>5</xdr:col>
      <xdr:colOff>85725</xdr:colOff>
      <xdr:row>7</xdr:row>
      <xdr:rowOff>85725</xdr:rowOff>
    </xdr:to>
    <xdr:pic>
      <xdr:nvPicPr>
        <xdr:cNvPr id="1025" name="Picture 4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5325" y="133350"/>
          <a:ext cx="3181350" cy="91440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C1:S46"/>
  <sheetViews>
    <sheetView tabSelected="1" topLeftCell="B1" workbookViewId="0">
      <selection activeCell="F17" sqref="F17"/>
    </sheetView>
  </sheetViews>
  <sheetFormatPr baseColWidth="10" defaultRowHeight="10.5"/>
  <cols>
    <col min="1" max="1" width="3" style="1" customWidth="1"/>
    <col min="2" max="2" width="0.85546875" style="1" customWidth="1"/>
    <col min="3" max="3" width="6.42578125" style="1" customWidth="1"/>
    <col min="4" max="4" width="22" style="1" customWidth="1"/>
    <col min="5" max="5" width="24.5703125" style="1" customWidth="1"/>
    <col min="6" max="6" width="27.140625" style="1" customWidth="1"/>
    <col min="7" max="7" width="27.5703125" style="1" customWidth="1"/>
    <col min="8" max="8" width="14.42578125" style="2" customWidth="1"/>
    <col min="9" max="9" width="13.5703125" style="2" customWidth="1"/>
    <col min="10" max="10" width="45.42578125" style="2" customWidth="1"/>
    <col min="11" max="11" width="23.7109375" style="3" customWidth="1"/>
    <col min="12" max="13" width="11.42578125" style="3"/>
    <col min="14" max="16" width="11.42578125" style="4"/>
    <col min="17" max="19" width="11.42578125" style="3"/>
    <col min="20" max="16384" width="11.42578125" style="1"/>
  </cols>
  <sheetData>
    <row r="1" spans="3:13" ht="12.75">
      <c r="C1"/>
    </row>
    <row r="3" spans="3:13">
      <c r="C3" s="110"/>
    </row>
    <row r="4" spans="3:13">
      <c r="C4" s="110"/>
    </row>
    <row r="5" spans="3:13">
      <c r="C5" s="110"/>
    </row>
    <row r="8" spans="3:13">
      <c r="K8" s="4"/>
      <c r="L8" s="4"/>
    </row>
    <row r="9" spans="3:13" ht="15">
      <c r="D9" s="111" t="s">
        <v>0</v>
      </c>
      <c r="E9" s="111"/>
      <c r="F9" s="111"/>
      <c r="G9" s="111"/>
      <c r="K9" s="4"/>
      <c r="L9" s="4"/>
    </row>
    <row r="10" spans="3:13" ht="15">
      <c r="D10" s="5"/>
      <c r="E10" s="5"/>
      <c r="F10" s="5"/>
      <c r="G10" s="5"/>
      <c r="J10" s="3"/>
      <c r="K10" s="4"/>
      <c r="L10" s="4"/>
    </row>
    <row r="11" spans="3:13">
      <c r="G11" s="6"/>
      <c r="J11" s="3"/>
      <c r="K11" s="4"/>
      <c r="L11" s="4"/>
    </row>
    <row r="12" spans="3:13">
      <c r="J12" s="3"/>
      <c r="K12" s="3" t="s">
        <v>1</v>
      </c>
    </row>
    <row r="13" spans="3:13" ht="15" customHeight="1">
      <c r="D13" s="112" t="s">
        <v>2</v>
      </c>
      <c r="E13" s="112"/>
      <c r="F13" s="120" t="s">
        <v>4</v>
      </c>
      <c r="J13" s="3"/>
      <c r="K13" s="3" t="s">
        <v>3</v>
      </c>
    </row>
    <row r="14" spans="3:13">
      <c r="D14" s="7"/>
      <c r="E14" s="7"/>
      <c r="G14" s="8" t="str">
        <f>IF(OR(AND(F13="Anual",OR(F15=2008,F15="2008 2do. Semestre")),AND(F13="Semestral",OR(F15=2008,F15=2009,F15=2010,F15=2011,F15=2012,F15=2013,F15=2014,F15=2015,F15=2016,F15=2017,F15=2018,F15=2019,F15=2020,F15=2021,F15=2022,F15=2023)),AND(F13="mensual",OR(F15="2008 2do. Semestre"))),"Error! Combinación invalida período/año. Debe seleccionar el año","")</f>
        <v/>
      </c>
      <c r="J14" s="3"/>
      <c r="K14" s="3" t="s">
        <v>4</v>
      </c>
    </row>
    <row r="15" spans="3:13" ht="15.75" customHeight="1">
      <c r="D15" s="112" t="s">
        <v>5</v>
      </c>
      <c r="E15" s="112"/>
      <c r="F15" s="120">
        <v>2024</v>
      </c>
      <c r="J15" s="3"/>
    </row>
    <row r="16" spans="3:13">
      <c r="J16" s="3"/>
      <c r="M16" s="3" t="s">
        <v>6</v>
      </c>
    </row>
    <row r="17" spans="4:19" ht="12.75" customHeight="1">
      <c r="D17" s="109" t="s">
        <v>7</v>
      </c>
      <c r="E17" s="109"/>
      <c r="F17" s="120" t="s">
        <v>6</v>
      </c>
      <c r="J17" s="3"/>
      <c r="K17" s="3" t="s">
        <v>8</v>
      </c>
      <c r="M17" s="3" t="s">
        <v>9</v>
      </c>
    </row>
    <row r="18" spans="4:19">
      <c r="D18" s="7"/>
      <c r="E18" s="7"/>
      <c r="J18" s="3"/>
    </row>
    <row r="19" spans="4:19">
      <c r="E19" s="9" t="s">
        <v>10</v>
      </c>
      <c r="F19" s="10">
        <f>VLOOKUP(F15,K20:L37,2,0)</f>
        <v>6177</v>
      </c>
      <c r="J19" s="3"/>
    </row>
    <row r="20" spans="4:19">
      <c r="J20" s="3"/>
      <c r="K20" s="3" t="s">
        <v>11</v>
      </c>
      <c r="L20" s="3">
        <v>1775</v>
      </c>
      <c r="M20" s="3">
        <f>IF(F13="semestral",K20,IF(F13="mensual",K21,K22))</f>
        <v>2008</v>
      </c>
    </row>
    <row r="21" spans="4:19">
      <c r="J21" s="3"/>
      <c r="K21" s="3">
        <v>2008</v>
      </c>
      <c r="L21" s="3">
        <v>1775</v>
      </c>
      <c r="M21" s="3">
        <f>IF(F13="semestral","",IF(F13="mensual",K22,K23))</f>
        <v>2009</v>
      </c>
    </row>
    <row r="22" spans="4:19">
      <c r="J22" s="3"/>
      <c r="K22" s="3">
        <v>2009</v>
      </c>
      <c r="L22" s="3">
        <v>1944</v>
      </c>
      <c r="M22" s="3">
        <f>IF(F13="semestral","",IF(F13="mensual",K23,K24))</f>
        <v>2010</v>
      </c>
    </row>
    <row r="23" spans="4:19" ht="12" customHeight="1">
      <c r="D23" s="11"/>
      <c r="E23" s="12"/>
      <c r="F23" s="12"/>
      <c r="G23" s="12"/>
      <c r="H23" s="13"/>
      <c r="I23" s="13"/>
      <c r="J23" s="14"/>
      <c r="K23" s="3">
        <v>2010</v>
      </c>
      <c r="L23" s="3">
        <v>2061</v>
      </c>
      <c r="M23" s="3">
        <f t="shared" ref="M23:M35" si="0">IF($F$13="semestral","",IF($F$13="mensual",K24,K25))</f>
        <v>2011</v>
      </c>
    </row>
    <row r="24" spans="4:19" ht="12" customHeight="1">
      <c r="D24" s="15" t="s">
        <v>12</v>
      </c>
      <c r="E24" s="16" t="s">
        <v>13</v>
      </c>
      <c r="F24" s="17" t="s">
        <v>14</v>
      </c>
      <c r="G24" s="17" t="s">
        <v>15</v>
      </c>
      <c r="I24" s="13"/>
      <c r="J24" s="14"/>
      <c r="K24" s="3">
        <v>2011</v>
      </c>
      <c r="L24" s="3">
        <v>2226</v>
      </c>
      <c r="M24" s="3">
        <f t="shared" si="0"/>
        <v>2012</v>
      </c>
    </row>
    <row r="25" spans="4:19" ht="12" customHeight="1">
      <c r="D25" s="18" t="str">
        <f>IF($F$13="anual",Parámetros!U71,IF($F$13="semestral",Parámetros!O71,Parámetros!E71))</f>
        <v>0 a 9 BPC</v>
      </c>
      <c r="E25" s="19">
        <f>IF($F$13="anual",Parámetros!P30*'Escala de Rentas IASS'!$F$19,IF('Escala de Rentas IASS'!$F$13="semestral",Parámetros!P48*'Escala de Rentas IASS'!$F$19,Parámetros!P13*'Escala de Rentas IASS'!$F$19))</f>
        <v>0</v>
      </c>
      <c r="F25" s="19">
        <f>IF($F$13="anual",Parámetros!R30*'Escala de Rentas IASS'!$F$19,IF('Escala de Rentas IASS'!$F$13="semestral",Parámetros!R48*'Escala de Rentas IASS'!$F$19,Parámetros!R13*'Escala de Rentas IASS'!$F$19))</f>
        <v>55593</v>
      </c>
      <c r="G25" s="20">
        <f>IF($F$13="Anual",Parámetros!T30,IF($F$13="semestral",Parámetros!T48,Parámetros!T13))</f>
        <v>0</v>
      </c>
      <c r="H25" s="21"/>
      <c r="I25" s="22"/>
      <c r="J25" s="23"/>
      <c r="K25" s="3">
        <v>2012</v>
      </c>
      <c r="L25" s="3">
        <v>2417</v>
      </c>
      <c r="M25" s="3">
        <f t="shared" si="0"/>
        <v>2013</v>
      </c>
    </row>
    <row r="26" spans="4:19" ht="12" customHeight="1">
      <c r="D26" s="18" t="str">
        <f>IF($F$13="anual",Parámetros!U72,IF($F$13="semestral",Parámetros!O72,Parámetros!E72))</f>
        <v>9 a 15 BPC</v>
      </c>
      <c r="E26" s="19">
        <f>IF($F$13="anual",Parámetros!P31*'Escala de Rentas IASS'!$F$19,IF('Escala de Rentas IASS'!$F$13="semestral",Parámetros!P49*'Escala de Rentas IASS'!$F$19,Parámetros!P14*'Escala de Rentas IASS'!$F$19))</f>
        <v>55593</v>
      </c>
      <c r="F26" s="19">
        <f>IF($F$13="anual",Parámetros!R31*'Escala de Rentas IASS'!$F$19,IF('Escala de Rentas IASS'!$F$13="semestral",Parámetros!R49*'Escala de Rentas IASS'!$F$19,Parámetros!R14*'Escala de Rentas IASS'!$F$19))</f>
        <v>92655</v>
      </c>
      <c r="G26" s="20">
        <f>IF($F$13="Anual",Parámetros!T31,IF($F$13="semestral",Parámetros!T49,Parámetros!T14))</f>
        <v>0.08</v>
      </c>
      <c r="H26" s="21"/>
      <c r="I26" s="22"/>
      <c r="J26" s="23"/>
      <c r="K26" s="3">
        <v>2013</v>
      </c>
      <c r="L26" s="3">
        <v>2598</v>
      </c>
      <c r="M26" s="3">
        <f t="shared" si="0"/>
        <v>2014</v>
      </c>
    </row>
    <row r="27" spans="4:19" ht="12" customHeight="1">
      <c r="D27" s="18" t="str">
        <f>IF($F$13="anual",Parámetros!U73,IF($F$13="semestral",Parámetros!O73,Parámetros!E73))</f>
        <v>15 a 50 BPC</v>
      </c>
      <c r="E27" s="19">
        <f>IF($F$13="anual",Parámetros!P32*'Escala de Rentas IASS'!$F$19,IF('Escala de Rentas IASS'!$F$13="semestral",Parámetros!P50*'Escala de Rentas IASS'!$F$19,Parámetros!P15*'Escala de Rentas IASS'!$F$19))</f>
        <v>92655</v>
      </c>
      <c r="F27" s="19">
        <f>IF($F$13="anual",Parámetros!R32*'Escala de Rentas IASS'!$F$19,IF('Escala de Rentas IASS'!$F$13="semestral",Parámetros!R50*'Escala de Rentas IASS'!$F$19,Parámetros!R15*'Escala de Rentas IASS'!$F$19))</f>
        <v>308850</v>
      </c>
      <c r="G27" s="20">
        <f>IF($F$13="Anual",Parámetros!T32,IF($F$13="semestral",Parámetros!T50,Parámetros!T15))</f>
        <v>0.24</v>
      </c>
      <c r="H27" s="21"/>
      <c r="I27" s="22"/>
      <c r="J27" s="23"/>
      <c r="K27" s="3">
        <v>2014</v>
      </c>
      <c r="L27" s="3">
        <v>2819</v>
      </c>
      <c r="M27" s="3">
        <f t="shared" si="0"/>
        <v>2015</v>
      </c>
    </row>
    <row r="28" spans="4:19" ht="12" customHeight="1">
      <c r="D28" s="18" t="str">
        <f>IF($F$13="anual",Parámetros!U74,IF($F$13="semestral",Parámetros!O74,Parámetros!E74))</f>
        <v>Más de 50 BPC</v>
      </c>
      <c r="E28" s="19">
        <f>IF($F$13="anual",Parámetros!P33*'Escala de Rentas IASS'!$F$19,IF('Escala de Rentas IASS'!$F$13="semestral",Parámetros!P51*'Escala de Rentas IASS'!$F$19,Parámetros!P16*'Escala de Rentas IASS'!$F$19))</f>
        <v>308850</v>
      </c>
      <c r="F28" s="19"/>
      <c r="G28" s="20">
        <f>IF($F$13="Anual",Parámetros!T33,IF($F$13="semestral",Parámetros!T51,Parámetros!T16))</f>
        <v>0.3</v>
      </c>
      <c r="I28" s="22"/>
      <c r="J28" s="23"/>
      <c r="K28" s="3">
        <v>2015</v>
      </c>
      <c r="L28" s="3">
        <v>3052</v>
      </c>
      <c r="M28" s="3">
        <f t="shared" si="0"/>
        <v>2016</v>
      </c>
    </row>
    <row r="29" spans="4:19" ht="12" customHeight="1">
      <c r="D29" s="24"/>
      <c r="E29" s="25"/>
      <c r="F29" s="25"/>
      <c r="G29" s="26"/>
      <c r="I29" s="27"/>
      <c r="J29" s="14"/>
      <c r="K29" s="3">
        <v>2016</v>
      </c>
      <c r="L29" s="3">
        <v>3340</v>
      </c>
      <c r="M29" s="3">
        <f t="shared" si="0"/>
        <v>2017</v>
      </c>
    </row>
    <row r="30" spans="4:19" s="12" customFormat="1" ht="13.5" customHeight="1">
      <c r="E30" s="28"/>
      <c r="F30" s="29"/>
      <c r="G30" s="25"/>
      <c r="H30" s="13"/>
      <c r="I30" s="27"/>
      <c r="J30" s="14"/>
      <c r="K30" s="14">
        <v>2017</v>
      </c>
      <c r="L30" s="14">
        <v>3611</v>
      </c>
      <c r="M30" s="3">
        <f t="shared" si="0"/>
        <v>2018</v>
      </c>
      <c r="N30" s="30"/>
      <c r="O30" s="30"/>
      <c r="P30" s="30"/>
      <c r="Q30" s="14"/>
      <c r="R30" s="14"/>
      <c r="S30" s="14"/>
    </row>
    <row r="31" spans="4:19" ht="15.75" customHeight="1">
      <c r="D31" s="31"/>
      <c r="E31" s="29"/>
      <c r="F31" s="29"/>
      <c r="G31" s="25"/>
      <c r="H31" s="32"/>
      <c r="I31" s="27"/>
      <c r="J31" s="14"/>
      <c r="K31" s="3">
        <v>2018</v>
      </c>
      <c r="L31" s="3">
        <v>3848</v>
      </c>
      <c r="M31" s="3">
        <f t="shared" si="0"/>
        <v>2019</v>
      </c>
    </row>
    <row r="32" spans="4:19" ht="14.25" customHeight="1">
      <c r="D32" s="12"/>
      <c r="E32" s="33"/>
      <c r="F32" s="29"/>
      <c r="G32" s="25"/>
      <c r="H32" s="21"/>
      <c r="I32" s="13"/>
      <c r="J32" s="14"/>
      <c r="K32" s="3">
        <v>2019</v>
      </c>
      <c r="L32" s="3">
        <v>4154</v>
      </c>
      <c r="M32" s="3">
        <f t="shared" si="0"/>
        <v>2020</v>
      </c>
    </row>
    <row r="33" spans="4:13" ht="15" customHeight="1">
      <c r="D33" s="34" t="str">
        <f>IF(F15=2023,"Modificaciones introducidas por Ley 20124-Dec.118/023 y Res.DGI 679/023 vigentes a partir del mes cargo abril/2023","")</f>
        <v/>
      </c>
      <c r="E33" s="33"/>
      <c r="F33" s="29"/>
      <c r="G33" s="35"/>
      <c r="H33" s="36"/>
      <c r="I33" s="13"/>
      <c r="J33" s="14"/>
      <c r="K33" s="3">
        <v>2020</v>
      </c>
      <c r="L33" s="3">
        <v>4519</v>
      </c>
      <c r="M33" s="3">
        <f t="shared" si="0"/>
        <v>2021</v>
      </c>
    </row>
    <row r="34" spans="4:13">
      <c r="E34" s="37"/>
      <c r="F34" s="29"/>
      <c r="G34" s="35"/>
      <c r="H34" s="36"/>
      <c r="I34" s="13"/>
      <c r="J34" s="13"/>
      <c r="K34" s="3">
        <v>2021</v>
      </c>
      <c r="L34" s="3">
        <v>4870</v>
      </c>
      <c r="M34" s="3">
        <f t="shared" si="0"/>
        <v>2022</v>
      </c>
    </row>
    <row r="35" spans="4:13" ht="12.75">
      <c r="F35" s="38"/>
      <c r="G35" s="35"/>
      <c r="H35" s="36"/>
      <c r="I35" s="13"/>
      <c r="J35" s="13"/>
      <c r="K35" s="3">
        <v>2022</v>
      </c>
      <c r="L35" s="3">
        <v>5164</v>
      </c>
      <c r="M35" s="3">
        <f t="shared" si="0"/>
        <v>2023</v>
      </c>
    </row>
    <row r="36" spans="4:13" ht="12.75">
      <c r="F36" s="38"/>
      <c r="G36" s="25"/>
      <c r="H36" s="36"/>
      <c r="I36" s="13"/>
      <c r="J36" s="13"/>
      <c r="K36" s="3">
        <v>2023</v>
      </c>
      <c r="L36" s="3">
        <v>5660</v>
      </c>
      <c r="M36" s="3">
        <f>IF($F$13="semestral","",IF($F$13="mensual",K37,""))</f>
        <v>2024</v>
      </c>
    </row>
    <row r="37" spans="4:13" ht="12.75">
      <c r="F37" s="38"/>
      <c r="G37" s="25"/>
      <c r="H37" s="36"/>
      <c r="I37" s="13"/>
      <c r="J37" s="13"/>
      <c r="K37" s="3">
        <v>2024</v>
      </c>
      <c r="L37" s="3">
        <v>6177</v>
      </c>
    </row>
    <row r="38" spans="4:13" ht="18">
      <c r="F38" s="39"/>
      <c r="G38" s="25"/>
      <c r="H38" s="36"/>
      <c r="I38" s="13"/>
      <c r="J38" s="13"/>
      <c r="K38" s="4"/>
      <c r="L38" s="4"/>
      <c r="M38" s="4"/>
    </row>
    <row r="39" spans="4:13" ht="12.75">
      <c r="F39" s="38"/>
      <c r="G39" s="12"/>
      <c r="H39" s="13"/>
      <c r="I39" s="13"/>
      <c r="J39" s="13"/>
      <c r="K39" s="4"/>
      <c r="L39" s="4"/>
      <c r="M39" s="4"/>
    </row>
    <row r="40" spans="4:13" ht="12.75">
      <c r="F40" s="38"/>
      <c r="G40" s="12"/>
      <c r="H40" s="13"/>
      <c r="I40" s="13"/>
      <c r="J40" s="13"/>
      <c r="K40" s="4"/>
      <c r="L40" s="4"/>
      <c r="M40" s="4"/>
    </row>
    <row r="41" spans="4:13" ht="12.75">
      <c r="F41" s="38"/>
      <c r="G41" s="12"/>
      <c r="H41" s="13"/>
      <c r="I41" s="13"/>
      <c r="J41" s="13"/>
      <c r="K41" s="4"/>
      <c r="L41" s="4"/>
      <c r="M41" s="4"/>
    </row>
    <row r="42" spans="4:13" ht="12.75">
      <c r="F42" s="38"/>
      <c r="G42" s="12"/>
      <c r="H42" s="13"/>
      <c r="I42" s="13"/>
      <c r="J42" s="13"/>
      <c r="K42" s="4"/>
      <c r="L42" s="4"/>
      <c r="M42" s="4"/>
    </row>
    <row r="43" spans="4:13" ht="12.75">
      <c r="F43" s="38"/>
      <c r="K43" s="4"/>
      <c r="L43" s="4"/>
      <c r="M43" s="4"/>
    </row>
    <row r="44" spans="4:13" ht="12.75">
      <c r="F44" s="38"/>
      <c r="K44" s="4"/>
      <c r="L44" s="4"/>
      <c r="M44" s="4"/>
    </row>
    <row r="45" spans="4:13" ht="12.75">
      <c r="F45" s="38"/>
      <c r="K45" s="4"/>
      <c r="L45" s="4"/>
      <c r="M45" s="4"/>
    </row>
    <row r="46" spans="4:13" ht="12.75">
      <c r="F46" s="38"/>
    </row>
  </sheetData>
  <sheetProtection password="CCE5" sheet="1" objects="1" scenarios="1"/>
  <mergeCells count="5">
    <mergeCell ref="D17:E17"/>
    <mergeCell ref="C3:C5"/>
    <mergeCell ref="D9:G9"/>
    <mergeCell ref="D13:E13"/>
    <mergeCell ref="D15:E15"/>
  </mergeCells>
  <phoneticPr fontId="33" type="noConversion"/>
  <conditionalFormatting sqref="D28:E28 F27 G28">
    <cfRule type="cellIs" dxfId="0" priority="1" stopIfTrue="1" operator="equal">
      <formula>0</formula>
    </cfRule>
  </conditionalFormatting>
  <dataValidations count="4">
    <dataValidation type="list" allowBlank="1" showErrorMessage="1" sqref="F18">
      <formula1>$M$16:$M$16</formula1>
      <formula2>0</formula2>
    </dataValidation>
    <dataValidation type="list" allowBlank="1" showErrorMessage="1" sqref="F15">
      <formula1>$M$20:$M$36</formula1>
      <formula2>0</formula2>
    </dataValidation>
    <dataValidation type="list" allowBlank="1" showErrorMessage="1" sqref="F13">
      <formula1>$K$12:$K$14</formula1>
      <formula2>0</formula2>
    </dataValidation>
    <dataValidation type="list" allowBlank="1" showErrorMessage="1" sqref="F17">
      <formula1>$M$16:$M$17</formula1>
      <formula2>0</formula2>
    </dataValidation>
  </dataValidations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AD78"/>
  <sheetViews>
    <sheetView workbookViewId="0"/>
  </sheetViews>
  <sheetFormatPr baseColWidth="10" defaultRowHeight="12.75"/>
  <cols>
    <col min="1" max="1" width="13" style="38" customWidth="1"/>
    <col min="2" max="2" width="16.140625" style="38" customWidth="1"/>
    <col min="3" max="3" width="15" style="38" customWidth="1"/>
    <col min="4" max="4" width="11.42578125" style="38"/>
    <col min="5" max="5" width="13.42578125" style="38" customWidth="1"/>
    <col min="6" max="6" width="12.7109375" style="38" customWidth="1"/>
    <col min="7" max="7" width="13.140625" style="38" customWidth="1"/>
    <col min="8" max="9" width="11.42578125" style="38"/>
    <col min="10" max="10" width="15" style="38" customWidth="1"/>
    <col min="11" max="14" width="12.7109375" style="38" customWidth="1"/>
    <col min="15" max="15" width="14.85546875" style="38" customWidth="1"/>
    <col min="16" max="16" width="13.5703125" style="38" customWidth="1"/>
    <col min="17" max="17" width="15.85546875" style="38" customWidth="1"/>
    <col min="18" max="18" width="11.42578125" style="38"/>
    <col min="19" max="19" width="21" style="38" customWidth="1"/>
    <col min="20" max="20" width="12.85546875" style="38" customWidth="1"/>
    <col min="21" max="21" width="13.42578125" style="38" customWidth="1"/>
    <col min="22" max="22" width="14" style="38" customWidth="1"/>
    <col min="23" max="24" width="12.7109375" style="38" customWidth="1"/>
    <col min="25" max="16384" width="11.42578125" style="38"/>
  </cols>
  <sheetData>
    <row r="1" spans="1:30" s="41" customFormat="1" ht="15">
      <c r="A1" s="40" t="s">
        <v>4</v>
      </c>
      <c r="G1" s="42"/>
      <c r="H1" s="42"/>
      <c r="I1" s="42"/>
      <c r="J1" s="42"/>
      <c r="K1" s="42"/>
      <c r="L1" s="42"/>
      <c r="M1" s="42"/>
      <c r="N1" s="42"/>
      <c r="V1" s="40" t="s">
        <v>4</v>
      </c>
    </row>
    <row r="2" spans="1:30">
      <c r="A2" s="41" t="s">
        <v>16</v>
      </c>
      <c r="B2" s="41"/>
      <c r="C2" s="41"/>
      <c r="D2" s="41"/>
      <c r="E2" s="41" t="s">
        <v>17</v>
      </c>
      <c r="F2" s="41"/>
      <c r="G2" s="42" t="s">
        <v>18</v>
      </c>
      <c r="H2" s="42" t="s">
        <v>19</v>
      </c>
      <c r="I2" s="42" t="s">
        <v>20</v>
      </c>
      <c r="J2" s="42"/>
      <c r="K2" s="42"/>
      <c r="L2" s="42"/>
      <c r="M2" s="42"/>
      <c r="N2" s="42"/>
      <c r="O2" s="41"/>
      <c r="V2" s="41" t="s">
        <v>21</v>
      </c>
      <c r="W2" s="41"/>
      <c r="X2" s="41"/>
      <c r="Y2" s="41"/>
    </row>
    <row r="3" spans="1:30" s="45" customFormat="1" ht="13.5" thickBot="1">
      <c r="A3" s="43" t="s">
        <v>22</v>
      </c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U3" s="46"/>
      <c r="V3" s="43" t="s">
        <v>22</v>
      </c>
      <c r="W3" s="43"/>
      <c r="X3" s="43"/>
      <c r="Y3" s="43"/>
    </row>
    <row r="4" spans="1:30" ht="13.5" thickBot="1">
      <c r="A4" s="113" t="s">
        <v>23</v>
      </c>
      <c r="B4" s="113"/>
      <c r="C4" s="114" t="s">
        <v>24</v>
      </c>
      <c r="D4" s="114"/>
      <c r="E4" s="48" t="s">
        <v>15</v>
      </c>
      <c r="F4" s="49"/>
      <c r="G4" s="48" t="s">
        <v>15</v>
      </c>
      <c r="H4" s="47" t="s">
        <v>15</v>
      </c>
      <c r="I4" s="95" t="s">
        <v>15</v>
      </c>
      <c r="J4" s="50"/>
      <c r="K4" s="50"/>
      <c r="L4" s="50"/>
      <c r="M4" s="50"/>
      <c r="N4" s="50"/>
      <c r="U4" s="51"/>
      <c r="V4" s="113" t="s">
        <v>23</v>
      </c>
      <c r="W4" s="114"/>
      <c r="X4" s="115" t="s">
        <v>24</v>
      </c>
      <c r="Y4" s="116"/>
    </row>
    <row r="5" spans="1:30">
      <c r="A5" s="52">
        <v>0</v>
      </c>
      <c r="B5" s="53" t="s">
        <v>25</v>
      </c>
      <c r="C5" s="52">
        <f>96/12</f>
        <v>8</v>
      </c>
      <c r="D5" s="54" t="s">
        <v>25</v>
      </c>
      <c r="E5" s="55">
        <v>0</v>
      </c>
      <c r="F5" s="49"/>
      <c r="G5" s="55">
        <v>0</v>
      </c>
      <c r="H5" s="88">
        <v>0</v>
      </c>
      <c r="I5" s="97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IASS'!$F$15=2016),Parámetros!E5,IF('Escala de Rentas IASS'!$F$15&lt;=2023,Parámetros!G5,Parámetros!H5))</f>
        <v>0</v>
      </c>
      <c r="J5" s="56"/>
      <c r="K5" s="57"/>
      <c r="L5" s="57"/>
      <c r="M5" s="57"/>
      <c r="N5" s="57"/>
      <c r="U5" s="51"/>
      <c r="V5" s="52">
        <v>0</v>
      </c>
      <c r="W5" s="106" t="s">
        <v>25</v>
      </c>
      <c r="X5" s="100">
        <v>9</v>
      </c>
      <c r="Y5" s="101" t="s">
        <v>25</v>
      </c>
    </row>
    <row r="6" spans="1:30">
      <c r="A6" s="58">
        <f>+C5</f>
        <v>8</v>
      </c>
      <c r="B6" s="59" t="s">
        <v>25</v>
      </c>
      <c r="C6" s="58">
        <f>180/12</f>
        <v>15</v>
      </c>
      <c r="D6" s="60" t="s">
        <v>25</v>
      </c>
      <c r="E6" s="61">
        <v>0.1</v>
      </c>
      <c r="F6" s="49"/>
      <c r="G6" s="61">
        <v>0.1</v>
      </c>
      <c r="H6" s="89">
        <v>0.08</v>
      </c>
      <c r="I6" s="9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IASS'!$F$15=2016),Parámetros!E6,IF('Escala de Rentas IASS'!$F$15&lt;=2023,Parámetros!G6,Parámetros!H6))</f>
        <v>0.08</v>
      </c>
      <c r="J6" s="56"/>
      <c r="K6" s="57"/>
      <c r="L6" s="57"/>
      <c r="M6" s="57"/>
      <c r="N6" s="57"/>
      <c r="U6" s="51"/>
      <c r="V6" s="58">
        <f>+X5</f>
        <v>9</v>
      </c>
      <c r="W6" s="107" t="s">
        <v>25</v>
      </c>
      <c r="X6" s="102">
        <f>180/12</f>
        <v>15</v>
      </c>
      <c r="Y6" s="103" t="s">
        <v>25</v>
      </c>
    </row>
    <row r="7" spans="1:30">
      <c r="A7" s="58">
        <f>+C6</f>
        <v>15</v>
      </c>
      <c r="B7" s="59" t="s">
        <v>25</v>
      </c>
      <c r="C7" s="58">
        <f>600/12</f>
        <v>50</v>
      </c>
      <c r="D7" s="60" t="s">
        <v>25</v>
      </c>
      <c r="E7" s="61">
        <v>0.2</v>
      </c>
      <c r="F7" s="49"/>
      <c r="G7" s="61">
        <v>0.24</v>
      </c>
      <c r="H7" s="89">
        <v>0.24</v>
      </c>
      <c r="I7" s="9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IASS'!$F$15=2016),Parámetros!E7,IF('Escala de Rentas IASS'!$F$15&lt;=2023,Parámetros!G7,Parámetros!H7))</f>
        <v>0.24</v>
      </c>
      <c r="J7" s="56"/>
      <c r="K7" s="57"/>
      <c r="L7" s="57"/>
      <c r="M7" s="57"/>
      <c r="N7" s="57"/>
      <c r="U7" s="51"/>
      <c r="V7" s="58">
        <f>+X6</f>
        <v>15</v>
      </c>
      <c r="W7" s="107" t="s">
        <v>25</v>
      </c>
      <c r="X7" s="102">
        <f>600/12</f>
        <v>50</v>
      </c>
      <c r="Y7" s="103" t="s">
        <v>25</v>
      </c>
    </row>
    <row r="8" spans="1:30" ht="13.5" thickBot="1">
      <c r="A8" s="62">
        <f>+C7</f>
        <v>50</v>
      </c>
      <c r="B8" s="63" t="s">
        <v>25</v>
      </c>
      <c r="C8" s="62"/>
      <c r="D8" s="64" t="s">
        <v>25</v>
      </c>
      <c r="E8" s="65">
        <v>0.25</v>
      </c>
      <c r="F8" s="49"/>
      <c r="G8" s="65">
        <v>0.3</v>
      </c>
      <c r="H8" s="90">
        <v>0.3</v>
      </c>
      <c r="I8" s="92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IASS'!$F$15=2016),Parámetros!E8,IF('Escala de Rentas IASS'!$F$15&lt;=2023,Parámetros!G8,Parámetros!H8))</f>
        <v>0.3</v>
      </c>
      <c r="J8" s="56"/>
      <c r="K8" s="57"/>
      <c r="L8" s="57"/>
      <c r="M8" s="57"/>
      <c r="N8" s="57"/>
      <c r="U8" s="51"/>
      <c r="V8" s="62">
        <f>+X7</f>
        <v>50</v>
      </c>
      <c r="W8" s="108" t="s">
        <v>25</v>
      </c>
      <c r="X8" s="104"/>
      <c r="Y8" s="105" t="s">
        <v>25</v>
      </c>
    </row>
    <row r="9" spans="1:30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U9" s="51"/>
    </row>
    <row r="10" spans="1:30">
      <c r="A10" s="66">
        <v>2008</v>
      </c>
      <c r="B10" s="67"/>
      <c r="C10" s="67"/>
      <c r="D10" s="67"/>
      <c r="E10" s="41">
        <v>2008</v>
      </c>
      <c r="F10" s="67"/>
      <c r="G10" s="66" t="s">
        <v>26</v>
      </c>
      <c r="H10" s="67"/>
      <c r="I10" s="49"/>
      <c r="J10" s="49"/>
      <c r="K10" s="41" t="s">
        <v>27</v>
      </c>
      <c r="L10" s="41" t="s">
        <v>18</v>
      </c>
      <c r="M10" s="41" t="s">
        <v>19</v>
      </c>
      <c r="N10" s="41" t="s">
        <v>20</v>
      </c>
      <c r="P10" s="38" t="s">
        <v>4</v>
      </c>
      <c r="U10" s="51"/>
      <c r="V10" s="66" t="s">
        <v>28</v>
      </c>
      <c r="W10" s="67"/>
      <c r="X10" s="67"/>
      <c r="Y10" s="67"/>
      <c r="AA10" s="66" t="s">
        <v>21</v>
      </c>
      <c r="AB10" s="67"/>
      <c r="AC10" s="67"/>
      <c r="AD10" s="67"/>
    </row>
    <row r="11" spans="1:30" ht="13.5" thickBot="1">
      <c r="A11" s="43" t="s">
        <v>29</v>
      </c>
      <c r="B11" s="43"/>
      <c r="C11" s="43"/>
      <c r="D11" s="43"/>
      <c r="E11" s="43"/>
      <c r="F11" s="49"/>
      <c r="G11" s="43" t="s">
        <v>29</v>
      </c>
      <c r="H11" s="43"/>
      <c r="I11" s="43"/>
      <c r="J11" s="43"/>
      <c r="U11" s="51"/>
      <c r="V11" s="43" t="s">
        <v>29</v>
      </c>
      <c r="W11" s="43"/>
      <c r="X11" s="43"/>
      <c r="Y11" s="43"/>
      <c r="AA11" s="43" t="s">
        <v>29</v>
      </c>
      <c r="AB11" s="43"/>
      <c r="AC11" s="43"/>
      <c r="AD11" s="43"/>
    </row>
    <row r="12" spans="1:30" ht="13.5" thickBot="1">
      <c r="A12" s="113" t="s">
        <v>23</v>
      </c>
      <c r="B12" s="113"/>
      <c r="C12" s="114" t="s">
        <v>24</v>
      </c>
      <c r="D12" s="114"/>
      <c r="E12" s="48" t="s">
        <v>15</v>
      </c>
      <c r="F12" s="49"/>
      <c r="G12" s="113" t="s">
        <v>23</v>
      </c>
      <c r="H12" s="113"/>
      <c r="I12" s="114" t="s">
        <v>24</v>
      </c>
      <c r="J12" s="114"/>
      <c r="K12" s="48" t="s">
        <v>15</v>
      </c>
      <c r="L12" s="48" t="s">
        <v>15</v>
      </c>
      <c r="M12" s="48"/>
      <c r="N12" s="48" t="s">
        <v>15</v>
      </c>
      <c r="P12" s="117" t="s">
        <v>23</v>
      </c>
      <c r="Q12" s="117"/>
      <c r="R12" s="117" t="s">
        <v>24</v>
      </c>
      <c r="S12" s="117"/>
      <c r="T12" s="68" t="s">
        <v>15</v>
      </c>
      <c r="U12" s="51"/>
      <c r="V12" s="118" t="s">
        <v>23</v>
      </c>
      <c r="W12" s="119"/>
      <c r="X12" s="115" t="s">
        <v>24</v>
      </c>
      <c r="Y12" s="116"/>
      <c r="AA12" s="113" t="s">
        <v>23</v>
      </c>
      <c r="AB12" s="114"/>
      <c r="AC12" s="115" t="s">
        <v>24</v>
      </c>
      <c r="AD12" s="116"/>
    </row>
    <row r="13" spans="1:30">
      <c r="A13" s="52">
        <v>0</v>
      </c>
      <c r="B13" s="54" t="s">
        <v>25</v>
      </c>
      <c r="C13" s="52">
        <f>180/12</f>
        <v>15</v>
      </c>
      <c r="D13" s="54" t="s">
        <v>25</v>
      </c>
      <c r="E13" s="55">
        <v>0.1</v>
      </c>
      <c r="F13" s="49"/>
      <c r="G13" s="52">
        <v>0</v>
      </c>
      <c r="H13" s="54" t="s">
        <v>25</v>
      </c>
      <c r="I13" s="52">
        <f>84/12</f>
        <v>7</v>
      </c>
      <c r="J13" s="54" t="s">
        <v>25</v>
      </c>
      <c r="K13" s="55">
        <v>0.1</v>
      </c>
      <c r="L13" s="61">
        <v>0.1</v>
      </c>
      <c r="M13" s="61">
        <v>0.08</v>
      </c>
      <c r="N13" s="6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IASS'!$F$15=2016),Parámetros!K13,IF('Escala de Rentas IASS'!$F$15&lt;=2023,L13,M13))</f>
        <v>0.08</v>
      </c>
      <c r="P13" s="69">
        <f>IF(AND('Escala de Rentas IASS'!$F$17="si",'Escala de Rentas IASS'!$F$15&lt;2023),$A5,IF(AND('Escala de Rentas IASS'!$F$17="si",'Escala de Rentas IASS'!$F$15&gt;=2023),$V5,IF(AND('Escala de Rentas IASS'!$F$17="no",'Escala de Rentas IASS'!$F$15=2008),$A13,IF(AND('Escala de Rentas IASS'!$F$17="no",'Escala de Rentas IASS'!$F$15&lt;=2023),$G13,$AA13))))</f>
        <v>0</v>
      </c>
      <c r="Q13" s="70" t="s">
        <v>25</v>
      </c>
      <c r="R13" s="69">
        <f>IF(AND('Escala de Rentas IASS'!$F$17="si",'Escala de Rentas IASS'!$F$15&lt;2023),$C5,IF(AND('Escala de Rentas IASS'!$F$17="si",'Escala de Rentas IASS'!$F$15&gt;=2023),$X5,IF(AND('Escala de Rentas IASS'!$F$17="no",'Escala de Rentas IASS'!$F$15=2008),$C13,IF(AND('Escala de Rentas IASS'!$F$17="no",'Escala de Rentas IASS'!$F$15&lt;=2023),$I13,$AC13))))</f>
        <v>9</v>
      </c>
      <c r="S13" s="70" t="s">
        <v>25</v>
      </c>
      <c r="T13" s="71">
        <f>+IF('Escala de Rentas IASS'!$F$17="SI",I5,N13)</f>
        <v>0</v>
      </c>
      <c r="U13" s="51"/>
      <c r="V13" s="100">
        <v>0</v>
      </c>
      <c r="W13" s="101" t="s">
        <v>25</v>
      </c>
      <c r="X13" s="100">
        <v>7</v>
      </c>
      <c r="Y13" s="101" t="s">
        <v>25</v>
      </c>
      <c r="AA13" s="52">
        <v>0</v>
      </c>
      <c r="AB13" s="106" t="s">
        <v>25</v>
      </c>
      <c r="AC13" s="100">
        <f>6</f>
        <v>6</v>
      </c>
      <c r="AD13" s="101" t="s">
        <v>25</v>
      </c>
    </row>
    <row r="14" spans="1:30">
      <c r="A14" s="58">
        <f>+C13</f>
        <v>15</v>
      </c>
      <c r="B14" s="60" t="s">
        <v>25</v>
      </c>
      <c r="C14" s="58">
        <f>600/12</f>
        <v>50</v>
      </c>
      <c r="D14" s="60" t="s">
        <v>25</v>
      </c>
      <c r="E14" s="61">
        <v>0.2</v>
      </c>
      <c r="F14" s="49"/>
      <c r="G14" s="58">
        <f>+I13</f>
        <v>7</v>
      </c>
      <c r="H14" s="60" t="s">
        <v>25</v>
      </c>
      <c r="I14" s="58">
        <f>504/12</f>
        <v>42</v>
      </c>
      <c r="J14" s="60" t="s">
        <v>25</v>
      </c>
      <c r="K14" s="61">
        <v>0.2</v>
      </c>
      <c r="L14" s="61">
        <v>0.24</v>
      </c>
      <c r="M14" s="61">
        <v>0.24</v>
      </c>
      <c r="N14" s="6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IASS'!$F$15=2016),Parámetros!K14,IF('Escala de Rentas IASS'!$F$15&lt;=2023,L14,M14))</f>
        <v>0.24</v>
      </c>
      <c r="P14" s="69">
        <f>IF(AND('Escala de Rentas IASS'!$F$17="si",'Escala de Rentas IASS'!$F$15&lt;2023),$A6,IF(AND('Escala de Rentas IASS'!$F$17="si",'Escala de Rentas IASS'!$F$15&gt;=2023),$V6,IF(AND('Escala de Rentas IASS'!$F$17="no",'Escala de Rentas IASS'!$F$15=2008),$A14,IF(AND('Escala de Rentas IASS'!$F$17="no",'Escala de Rentas IASS'!$F$15&lt;=2023),$G14,$AA14))))</f>
        <v>9</v>
      </c>
      <c r="Q14" s="70" t="s">
        <v>25</v>
      </c>
      <c r="R14" s="69">
        <f>IF(AND('Escala de Rentas IASS'!$F$17="si",'Escala de Rentas IASS'!$F$15&lt;2023),$C6,IF(AND('Escala de Rentas IASS'!$F$17="si",'Escala de Rentas IASS'!$F$15&gt;=2023),$X6,IF(AND('Escala de Rentas IASS'!$F$17="no",'Escala de Rentas IASS'!$F$15=2008),$C14,IF(AND('Escala de Rentas IASS'!$F$17="no",'Escala de Rentas IASS'!$F$15&lt;=2023),$I14,$AC14))))</f>
        <v>15</v>
      </c>
      <c r="S14" s="70" t="s">
        <v>25</v>
      </c>
      <c r="T14" s="71">
        <f>+IF('Escala de Rentas IASS'!$F$17="SI",I6,N14)</f>
        <v>0.08</v>
      </c>
      <c r="U14" s="51"/>
      <c r="V14" s="102">
        <f>+X13</f>
        <v>7</v>
      </c>
      <c r="W14" s="103" t="s">
        <v>25</v>
      </c>
      <c r="X14" s="102">
        <v>42</v>
      </c>
      <c r="Y14" s="103" t="s">
        <v>25</v>
      </c>
      <c r="AA14" s="58">
        <f>+AC13</f>
        <v>6</v>
      </c>
      <c r="AB14" s="107" t="s">
        <v>25</v>
      </c>
      <c r="AC14" s="102">
        <f>41</f>
        <v>41</v>
      </c>
      <c r="AD14" s="103" t="s">
        <v>25</v>
      </c>
    </row>
    <row r="15" spans="1:30" ht="13.5" thickBot="1">
      <c r="A15" s="62">
        <f>+C14</f>
        <v>50</v>
      </c>
      <c r="B15" s="64" t="s">
        <v>25</v>
      </c>
      <c r="C15" s="62"/>
      <c r="D15" s="64" t="s">
        <v>25</v>
      </c>
      <c r="E15" s="65">
        <v>0.25</v>
      </c>
      <c r="F15" s="49"/>
      <c r="G15" s="62">
        <f>+I14</f>
        <v>42</v>
      </c>
      <c r="H15" s="64" t="s">
        <v>25</v>
      </c>
      <c r="I15" s="62"/>
      <c r="J15" s="64" t="s">
        <v>25</v>
      </c>
      <c r="K15" s="65">
        <v>0.25</v>
      </c>
      <c r="L15" s="65">
        <v>0.3</v>
      </c>
      <c r="M15" s="65">
        <v>0.3</v>
      </c>
      <c r="N15" s="6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IASS'!$F$15=2016),Parámetros!K15,IF('Escala de Rentas IASS'!$F$15&lt;=2023,L15,M15))</f>
        <v>0.3</v>
      </c>
      <c r="P15" s="69">
        <f>IF(AND('Escala de Rentas IASS'!$F$17="si",'Escala de Rentas IASS'!$F$15&lt;2023),$A7,IF(AND('Escala de Rentas IASS'!$F$17="si",'Escala de Rentas IASS'!$F$15&gt;=2023),$V7,IF(AND('Escala de Rentas IASS'!$F$17="no",'Escala de Rentas IASS'!$F$15=2008),$A15,IF(AND('Escala de Rentas IASS'!$F$17="no",'Escala de Rentas IASS'!$F$15&lt;=2023),$G15,$AA15))))</f>
        <v>15</v>
      </c>
      <c r="Q15" s="70" t="s">
        <v>25</v>
      </c>
      <c r="R15" s="69">
        <f>IF(AND('Escala de Rentas IASS'!$F$17="si",'Escala de Rentas IASS'!$F$15&lt;2023),$C7,IF(AND('Escala de Rentas IASS'!$F$17="si",'Escala de Rentas IASS'!$F$15&gt;=2023),$X7,IF(AND('Escala de Rentas IASS'!$F$17="no",'Escala de Rentas IASS'!$F$15=2008),$C15,IF(AND('Escala de Rentas IASS'!$F$17="no",'Escala de Rentas IASS'!$F$15&lt;=2023),$I15,$AC15))))</f>
        <v>50</v>
      </c>
      <c r="S15" s="70" t="s">
        <v>25</v>
      </c>
      <c r="T15" s="71">
        <f>+IF('Escala de Rentas IASS'!$F$17="SI",I7,N15)</f>
        <v>0.24</v>
      </c>
      <c r="U15" s="51"/>
      <c r="V15" s="104">
        <f>+X14</f>
        <v>42</v>
      </c>
      <c r="W15" s="105" t="s">
        <v>25</v>
      </c>
      <c r="X15" s="104"/>
      <c r="Y15" s="105" t="s">
        <v>25</v>
      </c>
      <c r="AA15" s="62">
        <f>+AC14</f>
        <v>41</v>
      </c>
      <c r="AB15" s="108" t="s">
        <v>25</v>
      </c>
      <c r="AC15" s="104"/>
      <c r="AD15" s="105" t="s">
        <v>25</v>
      </c>
    </row>
    <row r="16" spans="1:30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P16" s="69">
        <f>IF(AND('Escala de Rentas IASS'!$F$17="si",'Escala de Rentas IASS'!$F$15&lt;2023),$A8,IF(AND('Escala de Rentas IASS'!$F$17="si",'Escala de Rentas IASS'!$F$15&gt;=2023),$V8,IF(AND('Escala de Rentas IASS'!$F$17="no",'Escala de Rentas IASS'!$F$15=2008),$A16,IF(AND('Escala de Rentas IASS'!$F$17="no",'Escala de Rentas IASS'!$F$15&lt;=2023),$G16,$AA16))))</f>
        <v>50</v>
      </c>
      <c r="Q16" s="70" t="s">
        <v>25</v>
      </c>
      <c r="R16" s="69">
        <f>IF(AND('Escala de Rentas IASS'!$F$17="si",'Escala de Rentas IASS'!$F$15&lt;2023),$C8,IF(AND('Escala de Rentas IASS'!$F$17="si",'Escala de Rentas IASS'!$F$15&gt;=2023),$X8,IF(AND('Escala de Rentas IASS'!$F$17="no",'Escala de Rentas IASS'!$F$15=2008),$C16,IF(AND('Escala de Rentas IASS'!$F$17="no",'Escala de Rentas IASS'!$F$15&lt;=2023),$I16,$AC16))))</f>
        <v>0</v>
      </c>
      <c r="S16" s="70" t="s">
        <v>25</v>
      </c>
      <c r="T16" s="71">
        <f>+IF('Escala de Rentas IASS'!$F$17="SI",I8,"")</f>
        <v>0.3</v>
      </c>
      <c r="U16" s="51"/>
    </row>
    <row r="17" spans="1:30" ht="15">
      <c r="A17" s="40" t="s">
        <v>1</v>
      </c>
      <c r="B17" s="43"/>
      <c r="C17" s="43"/>
      <c r="D17" s="43"/>
      <c r="E17" s="43"/>
      <c r="F17" s="43"/>
      <c r="G17" s="42"/>
      <c r="H17" s="44"/>
      <c r="I17" s="44"/>
      <c r="J17" s="44"/>
      <c r="K17" s="44"/>
      <c r="L17" s="44"/>
      <c r="M17" s="44"/>
      <c r="N17" s="44"/>
      <c r="O17" s="42"/>
      <c r="P17" s="42"/>
      <c r="Q17" s="44"/>
      <c r="R17" s="44"/>
      <c r="S17" s="44"/>
      <c r="T17" s="44"/>
      <c r="U17" s="51"/>
      <c r="V17" s="40" t="s">
        <v>1</v>
      </c>
      <c r="W17" s="43"/>
      <c r="X17" s="43"/>
      <c r="Y17" s="43"/>
    </row>
    <row r="18" spans="1:30">
      <c r="A18" s="66" t="s">
        <v>26</v>
      </c>
      <c r="B18" s="72"/>
      <c r="C18" s="72"/>
      <c r="D18" s="72"/>
      <c r="E18" s="41" t="s">
        <v>30</v>
      </c>
      <c r="F18" s="72"/>
      <c r="G18" s="42" t="s">
        <v>31</v>
      </c>
      <c r="H18" s="42" t="s">
        <v>19</v>
      </c>
      <c r="I18" s="42" t="s">
        <v>20</v>
      </c>
      <c r="J18" s="73"/>
      <c r="K18" s="73"/>
      <c r="L18" s="73"/>
      <c r="M18" s="73"/>
      <c r="N18" s="73"/>
      <c r="O18" s="51"/>
      <c r="P18" s="42"/>
      <c r="Q18" s="73"/>
      <c r="R18" s="73"/>
      <c r="S18" s="73"/>
      <c r="T18" s="73"/>
      <c r="U18" s="51"/>
      <c r="V18" s="66" t="s">
        <v>21</v>
      </c>
      <c r="W18" s="72"/>
      <c r="X18" s="72"/>
      <c r="Y18" s="72"/>
    </row>
    <row r="19" spans="1:30" ht="13.5" thickBot="1">
      <c r="A19" s="74" t="s">
        <v>32</v>
      </c>
      <c r="B19" s="43"/>
      <c r="C19" s="43"/>
      <c r="D19" s="43"/>
      <c r="E19" s="43"/>
      <c r="F19" s="49"/>
      <c r="G19" s="44"/>
      <c r="H19" s="44"/>
      <c r="I19" s="44"/>
      <c r="J19" s="44"/>
      <c r="K19" s="44"/>
      <c r="L19" s="44"/>
      <c r="M19" s="44"/>
      <c r="N19" s="44"/>
      <c r="O19" s="51"/>
      <c r="P19" s="44"/>
      <c r="Q19" s="44"/>
      <c r="R19" s="44"/>
      <c r="S19" s="44"/>
      <c r="T19" s="44"/>
      <c r="U19" s="46"/>
      <c r="V19" s="74" t="s">
        <v>32</v>
      </c>
      <c r="W19" s="43"/>
      <c r="X19" s="43"/>
      <c r="Y19" s="43"/>
    </row>
    <row r="20" spans="1:30" ht="13.5" thickBot="1">
      <c r="A20" s="113" t="s">
        <v>23</v>
      </c>
      <c r="B20" s="113"/>
      <c r="C20" s="114" t="s">
        <v>24</v>
      </c>
      <c r="D20" s="114"/>
      <c r="E20" s="48" t="s">
        <v>15</v>
      </c>
      <c r="F20" s="49"/>
      <c r="G20" s="48" t="s">
        <v>15</v>
      </c>
      <c r="H20" s="47" t="s">
        <v>15</v>
      </c>
      <c r="I20" s="95" t="s">
        <v>15</v>
      </c>
      <c r="J20" s="75"/>
      <c r="K20" s="50"/>
      <c r="L20" s="50"/>
      <c r="M20" s="50"/>
      <c r="N20" s="50"/>
      <c r="O20" s="51"/>
      <c r="P20" s="50"/>
      <c r="Q20" s="50"/>
      <c r="R20" s="50"/>
      <c r="S20" s="50"/>
      <c r="T20" s="50"/>
      <c r="U20" s="76"/>
      <c r="V20" s="113" t="s">
        <v>23</v>
      </c>
      <c r="W20" s="114"/>
      <c r="X20" s="115" t="s">
        <v>24</v>
      </c>
      <c r="Y20" s="116"/>
    </row>
    <row r="21" spans="1:30">
      <c r="A21" s="52">
        <v>0</v>
      </c>
      <c r="B21" s="53" t="s">
        <v>25</v>
      </c>
      <c r="C21" s="52">
        <v>96</v>
      </c>
      <c r="D21" s="54" t="s">
        <v>25</v>
      </c>
      <c r="E21" s="55">
        <v>0</v>
      </c>
      <c r="F21" s="49"/>
      <c r="G21" s="55">
        <v>0</v>
      </c>
      <c r="H21" s="88">
        <v>0</v>
      </c>
      <c r="I21" s="9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IASS'!$F$15=2016),Parámetros!E21,IF('Escala de Rentas IASS'!$F$15&lt;=2023,Parámetros!G21,Parámetros!H21))</f>
        <v>0</v>
      </c>
      <c r="J21" s="56"/>
      <c r="K21" s="57"/>
      <c r="L21" s="57"/>
      <c r="M21" s="57"/>
      <c r="N21" s="57"/>
      <c r="O21" s="51"/>
      <c r="P21" s="77"/>
      <c r="Q21" s="56"/>
      <c r="R21" s="77"/>
      <c r="S21" s="56"/>
      <c r="T21" s="57"/>
      <c r="U21" s="78"/>
      <c r="V21" s="52">
        <v>0</v>
      </c>
      <c r="W21" s="106" t="s">
        <v>25</v>
      </c>
      <c r="X21" s="100">
        <v>108</v>
      </c>
      <c r="Y21" s="101" t="s">
        <v>25</v>
      </c>
    </row>
    <row r="22" spans="1:30">
      <c r="A22" s="58">
        <f>+C21</f>
        <v>96</v>
      </c>
      <c r="B22" s="59" t="s">
        <v>25</v>
      </c>
      <c r="C22" s="58">
        <v>180</v>
      </c>
      <c r="D22" s="60" t="s">
        <v>25</v>
      </c>
      <c r="E22" s="61">
        <v>0.1</v>
      </c>
      <c r="F22" s="49"/>
      <c r="G22" s="61">
        <v>0.1</v>
      </c>
      <c r="H22" s="89">
        <v>0.08</v>
      </c>
      <c r="I22" s="9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IASS'!$F$15=2016),Parámetros!E22,IF('Escala de Rentas IASS'!$F$15&lt;=2023,Parámetros!G22,Parámetros!H22))</f>
        <v>0.08</v>
      </c>
      <c r="J22" s="56"/>
      <c r="K22" s="57"/>
      <c r="L22" s="57"/>
      <c r="M22" s="57"/>
      <c r="N22" s="57"/>
      <c r="O22" s="51"/>
      <c r="P22" s="77"/>
      <c r="Q22" s="56"/>
      <c r="R22" s="77"/>
      <c r="S22" s="56"/>
      <c r="T22" s="57"/>
      <c r="U22" s="78"/>
      <c r="V22" s="58">
        <f>+X21</f>
        <v>108</v>
      </c>
      <c r="W22" s="107" t="s">
        <v>25</v>
      </c>
      <c r="X22" s="102">
        <v>180</v>
      </c>
      <c r="Y22" s="103" t="s">
        <v>25</v>
      </c>
    </row>
    <row r="23" spans="1:30">
      <c r="A23" s="58">
        <f>+C22</f>
        <v>180</v>
      </c>
      <c r="B23" s="59" t="s">
        <v>25</v>
      </c>
      <c r="C23" s="58">
        <v>600</v>
      </c>
      <c r="D23" s="60" t="s">
        <v>25</v>
      </c>
      <c r="E23" s="61">
        <v>0.2</v>
      </c>
      <c r="F23" s="49"/>
      <c r="G23" s="61">
        <v>0.24</v>
      </c>
      <c r="H23" s="89">
        <v>0.24</v>
      </c>
      <c r="I23" s="91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IASS'!$F$15=2016),Parámetros!E23,IF('Escala de Rentas IASS'!$F$15&lt;=2023,Parámetros!G23,Parámetros!H23))</f>
        <v>0.24</v>
      </c>
      <c r="J23" s="56"/>
      <c r="K23" s="57"/>
      <c r="L23" s="57"/>
      <c r="M23" s="57"/>
      <c r="N23" s="57"/>
      <c r="O23" s="51"/>
      <c r="P23" s="77"/>
      <c r="Q23" s="56"/>
      <c r="R23" s="77"/>
      <c r="S23" s="56"/>
      <c r="T23" s="57"/>
      <c r="U23" s="78"/>
      <c r="V23" s="58">
        <f>+X22</f>
        <v>180</v>
      </c>
      <c r="W23" s="107" t="s">
        <v>25</v>
      </c>
      <c r="X23" s="102">
        <v>600</v>
      </c>
      <c r="Y23" s="103" t="s">
        <v>25</v>
      </c>
    </row>
    <row r="24" spans="1:30" ht="13.5" thickBot="1">
      <c r="A24" s="62">
        <f>+C23</f>
        <v>600</v>
      </c>
      <c r="B24" s="63" t="s">
        <v>25</v>
      </c>
      <c r="C24" s="62"/>
      <c r="D24" s="64" t="s">
        <v>25</v>
      </c>
      <c r="E24" s="65">
        <v>0.25</v>
      </c>
      <c r="F24" s="49"/>
      <c r="G24" s="65">
        <v>0.3</v>
      </c>
      <c r="H24" s="90">
        <v>0.3</v>
      </c>
      <c r="I24" s="92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IASS'!$F$15=2016),Parámetros!E24,IF('Escala de Rentas IASS'!$F$15&lt;=2023,Parámetros!G24,Parámetros!H24))</f>
        <v>0.3</v>
      </c>
      <c r="J24" s="56"/>
      <c r="K24" s="57"/>
      <c r="L24" s="57"/>
      <c r="M24" s="57"/>
      <c r="N24" s="57"/>
      <c r="O24" s="51"/>
      <c r="P24" s="77"/>
      <c r="Q24" s="56"/>
      <c r="R24" s="77"/>
      <c r="S24" s="56"/>
      <c r="T24" s="57"/>
      <c r="U24" s="78"/>
      <c r="V24" s="62">
        <f>+X23</f>
        <v>600</v>
      </c>
      <c r="W24" s="108" t="s">
        <v>25</v>
      </c>
      <c r="X24" s="104"/>
      <c r="Y24" s="105" t="s">
        <v>25</v>
      </c>
    </row>
    <row r="25" spans="1:30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P25" s="79"/>
      <c r="Q25" s="79"/>
      <c r="R25" s="79"/>
      <c r="S25" s="79"/>
      <c r="T25" s="79"/>
      <c r="U25" s="51"/>
    </row>
    <row r="26" spans="1:30">
      <c r="U26" s="51"/>
    </row>
    <row r="27" spans="1:30">
      <c r="A27" s="66" t="s">
        <v>26</v>
      </c>
      <c r="B27" s="67"/>
      <c r="C27" s="49"/>
      <c r="D27" s="49"/>
      <c r="E27" s="41" t="s">
        <v>30</v>
      </c>
      <c r="F27" s="67"/>
      <c r="G27" s="42" t="s">
        <v>18</v>
      </c>
      <c r="H27" s="42" t="s">
        <v>19</v>
      </c>
      <c r="I27" s="42" t="s">
        <v>20</v>
      </c>
      <c r="P27" s="38" t="s">
        <v>1</v>
      </c>
      <c r="U27" s="51"/>
      <c r="V27" s="66" t="s">
        <v>28</v>
      </c>
      <c r="W27" s="67"/>
      <c r="X27" s="49"/>
      <c r="Y27" s="49"/>
      <c r="AA27" s="66" t="s">
        <v>21</v>
      </c>
      <c r="AB27" s="67"/>
      <c r="AC27" s="49"/>
      <c r="AD27" s="49"/>
    </row>
    <row r="28" spans="1:30" ht="13.5" thickBot="1">
      <c r="A28" s="43" t="s">
        <v>33</v>
      </c>
      <c r="B28" s="43"/>
      <c r="C28" s="43"/>
      <c r="D28" s="43"/>
      <c r="E28" s="43"/>
      <c r="F28" s="49"/>
      <c r="H28" s="44"/>
      <c r="U28" s="51"/>
      <c r="V28" s="43" t="s">
        <v>33</v>
      </c>
      <c r="W28" s="43"/>
      <c r="X28" s="43"/>
      <c r="Y28" s="43"/>
      <c r="AA28" s="43" t="s">
        <v>33</v>
      </c>
      <c r="AB28" s="43"/>
      <c r="AC28" s="43"/>
      <c r="AD28" s="43"/>
    </row>
    <row r="29" spans="1:30" ht="13.5" thickBot="1">
      <c r="A29" s="113" t="s">
        <v>23</v>
      </c>
      <c r="B29" s="113"/>
      <c r="C29" s="114" t="s">
        <v>24</v>
      </c>
      <c r="D29" s="114"/>
      <c r="E29" s="48" t="s">
        <v>15</v>
      </c>
      <c r="F29" s="49"/>
      <c r="G29" s="47" t="s">
        <v>15</v>
      </c>
      <c r="H29" s="95" t="s">
        <v>15</v>
      </c>
      <c r="I29" s="96" t="s">
        <v>15</v>
      </c>
      <c r="P29" s="117" t="s">
        <v>23</v>
      </c>
      <c r="Q29" s="117"/>
      <c r="R29" s="117" t="s">
        <v>24</v>
      </c>
      <c r="S29" s="117"/>
      <c r="T29" s="68" t="s">
        <v>15</v>
      </c>
      <c r="U29" s="51"/>
      <c r="V29" s="113" t="s">
        <v>23</v>
      </c>
      <c r="W29" s="114"/>
      <c r="X29" s="115" t="s">
        <v>24</v>
      </c>
      <c r="Y29" s="116"/>
      <c r="AA29" s="118" t="s">
        <v>23</v>
      </c>
      <c r="AB29" s="119"/>
      <c r="AC29" s="115" t="s">
        <v>24</v>
      </c>
      <c r="AD29" s="116"/>
    </row>
    <row r="30" spans="1:30">
      <c r="A30" s="52">
        <v>0</v>
      </c>
      <c r="B30" s="54" t="s">
        <v>25</v>
      </c>
      <c r="C30" s="52">
        <f>84</f>
        <v>84</v>
      </c>
      <c r="D30" s="54" t="s">
        <v>25</v>
      </c>
      <c r="E30" s="55">
        <v>0.1</v>
      </c>
      <c r="F30" s="49"/>
      <c r="G30" s="88">
        <v>0.1</v>
      </c>
      <c r="H30" s="97">
        <v>0.08</v>
      </c>
      <c r="I30" s="93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IASS'!$F$15=2016),Parámetros!E30,IF('Escala de Rentas IASS'!$F$15&lt;=2023,Parámetros!G30,Parámetros!H30))</f>
        <v>0.08</v>
      </c>
      <c r="P30" s="80">
        <f>IF(AND('Escala de Rentas IASS'!$F$17="si",'Escala de Rentas IASS'!$F$15&lt;2023),$A21,IF(AND('Escala de Rentas IASS'!$F$17="si",'Escala de Rentas IASS'!$F$15&gt;=2023),$V21,IF(AND('Escala de Rentas IASS'!$F$17="no",'Escala de Rentas IASS'!$F$15&gt;=2024),$AA30,$A30)))</f>
        <v>0</v>
      </c>
      <c r="Q30" s="70" t="s">
        <v>25</v>
      </c>
      <c r="R30" s="80">
        <f>IF(AND('Escala de Rentas IASS'!$F$17="si",'Escala de Rentas IASS'!$F$15&lt;2023),$C21,IF(AND('Escala de Rentas IASS'!$F$17="si",'Escala de Rentas IASS'!$F$15&gt;=2023),$X21,IF(AND('Escala de Rentas IASS'!$F$17="no",'Escala de Rentas IASS'!$F$15&gt;=2024),$AC30,$C30)))</f>
        <v>108</v>
      </c>
      <c r="S30" s="70" t="s">
        <v>25</v>
      </c>
      <c r="T30" s="71">
        <f>+IF('Escala de Rentas IASS'!$F$17="SI",I21,I30)</f>
        <v>0</v>
      </c>
      <c r="U30" s="51"/>
      <c r="V30" s="52">
        <v>0</v>
      </c>
      <c r="W30" s="54" t="s">
        <v>25</v>
      </c>
      <c r="X30" s="98">
        <f>84</f>
        <v>84</v>
      </c>
      <c r="Y30" s="99" t="s">
        <v>25</v>
      </c>
      <c r="AA30" s="100">
        <v>0</v>
      </c>
      <c r="AB30" s="101" t="s">
        <v>25</v>
      </c>
      <c r="AC30" s="100">
        <f>72</f>
        <v>72</v>
      </c>
      <c r="AD30" s="101" t="s">
        <v>25</v>
      </c>
    </row>
    <row r="31" spans="1:30">
      <c r="A31" s="58">
        <f>+C30</f>
        <v>84</v>
      </c>
      <c r="B31" s="60" t="s">
        <v>25</v>
      </c>
      <c r="C31" s="58">
        <f>504</f>
        <v>504</v>
      </c>
      <c r="D31" s="60" t="s">
        <v>25</v>
      </c>
      <c r="E31" s="61">
        <v>0.2</v>
      </c>
      <c r="F31" s="49"/>
      <c r="G31" s="89">
        <v>0.24</v>
      </c>
      <c r="H31" s="91">
        <v>0.24</v>
      </c>
      <c r="I31" s="93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IASS'!$F$15=2016),Parámetros!E31,IF('Escala de Rentas IASS'!$F$15&lt;=2023,Parámetros!G31,Parámetros!H31))</f>
        <v>0.24</v>
      </c>
      <c r="P31" s="80">
        <f>IF(AND('Escala de Rentas IASS'!$F$17="si",'Escala de Rentas IASS'!$F$15&lt;2023),$A22,IF(AND('Escala de Rentas IASS'!$F$17="si",'Escala de Rentas IASS'!$F$15&gt;=2023),$V22,IF(AND('Escala de Rentas IASS'!$F$17="no",'Escala de Rentas IASS'!$F$15&gt;=2024),$AA31,$A31)))</f>
        <v>108</v>
      </c>
      <c r="Q31" s="70" t="s">
        <v>25</v>
      </c>
      <c r="R31" s="80">
        <f>IF(AND('Escala de Rentas IASS'!$F$17="si",'Escala de Rentas IASS'!$F$15&lt;2023),$C22,IF(AND('Escala de Rentas IASS'!$F$17="si",'Escala de Rentas IASS'!$F$15&gt;=2023),$X22,IF(AND('Escala de Rentas IASS'!$F$17="no",'Escala de Rentas IASS'!$F$15&gt;=2024),$AC31,$C31)))</f>
        <v>180</v>
      </c>
      <c r="S31" s="70" t="s">
        <v>25</v>
      </c>
      <c r="T31" s="71">
        <f>+IF('Escala de Rentas IASS'!$F$17="SI",I22,I31)</f>
        <v>0.08</v>
      </c>
      <c r="U31" s="51"/>
      <c r="V31" s="58">
        <f>+X30</f>
        <v>84</v>
      </c>
      <c r="W31" s="60" t="s">
        <v>25</v>
      </c>
      <c r="X31" s="58">
        <f>504</f>
        <v>504</v>
      </c>
      <c r="Y31" s="60" t="s">
        <v>25</v>
      </c>
      <c r="AA31" s="102">
        <f>+AC30</f>
        <v>72</v>
      </c>
      <c r="AB31" s="103" t="s">
        <v>25</v>
      </c>
      <c r="AC31" s="102">
        <f>492</f>
        <v>492</v>
      </c>
      <c r="AD31" s="103" t="s">
        <v>25</v>
      </c>
    </row>
    <row r="32" spans="1:30" ht="13.5" thickBot="1">
      <c r="A32" s="62">
        <f>+C31</f>
        <v>504</v>
      </c>
      <c r="B32" s="64" t="s">
        <v>25</v>
      </c>
      <c r="C32" s="62"/>
      <c r="D32" s="64" t="s">
        <v>25</v>
      </c>
      <c r="E32" s="65">
        <v>0.25</v>
      </c>
      <c r="F32" s="49"/>
      <c r="G32" s="90">
        <v>0.3</v>
      </c>
      <c r="H32" s="92">
        <v>0.3</v>
      </c>
      <c r="I32" s="94">
        <f>IF(OR('Escala de Rentas IASS'!$F$15=2008,'Escala de Rentas IASS'!$F$15=2009,'Escala de Rentas IASS'!$F$15=2010,'Escala de Rentas IASS'!$F$15=2011,'Escala de Rentas IASS'!$F$15=2012,'Escala de Rentas IASS'!$F$15=2013,'Escala de Rentas IASS'!$F$15=2014,'Escala de Rentas IASS'!$F$15=2015,'Escala de Rentas IASS'!$F$15=2016),Parámetros!E32,IF('Escala de Rentas IASS'!$F$15&lt;=2023,Parámetros!G32,Parámetros!H32))</f>
        <v>0.3</v>
      </c>
      <c r="P32" s="80">
        <f>IF(AND('Escala de Rentas IASS'!$F$17="si",'Escala de Rentas IASS'!$F$15&lt;2023),$A23,IF(AND('Escala de Rentas IASS'!$F$17="si",'Escala de Rentas IASS'!$F$15&gt;=2023),$V23,IF(AND('Escala de Rentas IASS'!$F$17="no",'Escala de Rentas IASS'!$F$15&gt;=2024),$AA32,$A32)))</f>
        <v>180</v>
      </c>
      <c r="Q32" s="70" t="s">
        <v>25</v>
      </c>
      <c r="R32" s="80">
        <f>IF(AND('Escala de Rentas IASS'!$F$17="si",'Escala de Rentas IASS'!$F$15&lt;2023),$C23,IF(AND('Escala de Rentas IASS'!$F$17="si",'Escala de Rentas IASS'!$F$15&gt;=2023),$X23,IF(AND('Escala de Rentas IASS'!$F$17="no",'Escala de Rentas IASS'!$F$15&gt;=2024),$AC32,$C32)))</f>
        <v>600</v>
      </c>
      <c r="S32" s="70" t="s">
        <v>25</v>
      </c>
      <c r="T32" s="71">
        <f>+IF('Escala de Rentas IASS'!$F$17="SI",I23,I32)</f>
        <v>0.24</v>
      </c>
      <c r="U32" s="51"/>
      <c r="V32" s="62">
        <f>+X31</f>
        <v>504</v>
      </c>
      <c r="W32" s="64" t="s">
        <v>25</v>
      </c>
      <c r="X32" s="62"/>
      <c r="Y32" s="64" t="s">
        <v>25</v>
      </c>
      <c r="AA32" s="104">
        <f>+AC31</f>
        <v>492</v>
      </c>
      <c r="AB32" s="105" t="s">
        <v>25</v>
      </c>
      <c r="AC32" s="104"/>
      <c r="AD32" s="105" t="s">
        <v>25</v>
      </c>
    </row>
    <row r="33" spans="1:21">
      <c r="P33" s="80">
        <f>IF(AND('Escala de Rentas IASS'!$F$17="si",'Escala de Rentas IASS'!$F$15&lt;2023),$A24,IF(AND('Escala de Rentas IASS'!$F$17="si",'Escala de Rentas IASS'!$F$15&gt;=2023),$V24,IF(AND('Escala de Rentas IASS'!$F$17="no",'Escala de Rentas IASS'!$F$15&gt;=2024),$AA33,$A33)))</f>
        <v>600</v>
      </c>
      <c r="Q33" s="70" t="s">
        <v>25</v>
      </c>
      <c r="R33" s="80">
        <f>IF(AND('Escala de Rentas IASS'!$F$17="si",'Escala de Rentas IASS'!$F$15&lt;2023),$C24,IF(AND('Escala de Rentas IASS'!$F$17="si",'Escala de Rentas IASS'!$F$15&gt;=2023),$X24,IF(AND('Escala de Rentas IASS'!$F$17="no",'Escala de Rentas IASS'!$F$15&gt;=2024),$AC33,$C33)))</f>
        <v>0</v>
      </c>
      <c r="S33" s="70" t="s">
        <v>25</v>
      </c>
      <c r="T33" s="71">
        <f>+IF('Escala de Rentas IASS'!$F$17="SI",I24,"")</f>
        <v>0.3</v>
      </c>
      <c r="U33" s="51"/>
    </row>
    <row r="34" spans="1:21">
      <c r="P34" s="77"/>
      <c r="Q34" s="56"/>
      <c r="R34" s="77"/>
      <c r="S34" s="56"/>
      <c r="T34" s="57"/>
      <c r="U34" s="51"/>
    </row>
    <row r="35" spans="1:21" ht="15">
      <c r="A35" s="81" t="s">
        <v>3</v>
      </c>
      <c r="P35" s="77"/>
      <c r="U35" s="51"/>
    </row>
    <row r="36" spans="1:21">
      <c r="A36" s="66">
        <v>2008</v>
      </c>
      <c r="B36" s="72"/>
      <c r="C36" s="72"/>
      <c r="D36" s="72"/>
      <c r="E36" s="72"/>
      <c r="P36" s="77"/>
      <c r="U36" s="51"/>
    </row>
    <row r="37" spans="1:21">
      <c r="A37" s="74" t="s">
        <v>32</v>
      </c>
      <c r="B37" s="43"/>
      <c r="C37" s="43"/>
      <c r="D37" s="43"/>
      <c r="E37" s="43"/>
      <c r="P37" s="77"/>
      <c r="U37" s="51"/>
    </row>
    <row r="38" spans="1:21">
      <c r="A38" s="113" t="s">
        <v>23</v>
      </c>
      <c r="B38" s="113"/>
      <c r="C38" s="114" t="s">
        <v>24</v>
      </c>
      <c r="D38" s="114"/>
      <c r="E38" s="48" t="s">
        <v>15</v>
      </c>
      <c r="P38" s="77"/>
      <c r="U38" s="51"/>
    </row>
    <row r="39" spans="1:21">
      <c r="A39" s="52">
        <v>0</v>
      </c>
      <c r="B39" s="53" t="s">
        <v>25</v>
      </c>
      <c r="C39" s="52">
        <f>96/2</f>
        <v>48</v>
      </c>
      <c r="D39" s="54" t="s">
        <v>25</v>
      </c>
      <c r="E39" s="55">
        <v>0</v>
      </c>
      <c r="P39" s="77"/>
      <c r="U39" s="51"/>
    </row>
    <row r="40" spans="1:21">
      <c r="A40" s="58">
        <f>+C39</f>
        <v>48</v>
      </c>
      <c r="B40" s="59" t="s">
        <v>25</v>
      </c>
      <c r="C40" s="58">
        <f>180/2</f>
        <v>90</v>
      </c>
      <c r="D40" s="60" t="s">
        <v>25</v>
      </c>
      <c r="E40" s="61">
        <v>0.1</v>
      </c>
      <c r="U40" s="51"/>
    </row>
    <row r="41" spans="1:21">
      <c r="A41" s="58">
        <f>+C40</f>
        <v>90</v>
      </c>
      <c r="B41" s="59" t="s">
        <v>25</v>
      </c>
      <c r="C41" s="58">
        <f>600/2</f>
        <v>300</v>
      </c>
      <c r="D41" s="60" t="s">
        <v>25</v>
      </c>
      <c r="E41" s="61">
        <v>0.2</v>
      </c>
      <c r="U41" s="51"/>
    </row>
    <row r="42" spans="1:21">
      <c r="A42" s="62">
        <f>+C41</f>
        <v>300</v>
      </c>
      <c r="B42" s="63" t="s">
        <v>25</v>
      </c>
      <c r="C42" s="62"/>
      <c r="D42" s="64" t="s">
        <v>25</v>
      </c>
      <c r="E42" s="65">
        <v>0.25</v>
      </c>
      <c r="U42" s="51"/>
    </row>
    <row r="43" spans="1:21">
      <c r="A43" s="49"/>
      <c r="B43" s="49"/>
      <c r="C43" s="49"/>
      <c r="D43" s="49"/>
      <c r="E43" s="49"/>
      <c r="U43" s="51"/>
    </row>
    <row r="44" spans="1:21">
      <c r="U44" s="51"/>
    </row>
    <row r="45" spans="1:21">
      <c r="A45" s="66">
        <v>2008</v>
      </c>
      <c r="B45" s="67"/>
      <c r="C45" s="67"/>
      <c r="D45" s="67"/>
      <c r="E45" s="67"/>
      <c r="P45" s="38" t="s">
        <v>3</v>
      </c>
      <c r="U45" s="51"/>
    </row>
    <row r="46" spans="1:21">
      <c r="A46" s="43" t="s">
        <v>34</v>
      </c>
      <c r="B46" s="43"/>
      <c r="C46" s="43"/>
      <c r="D46" s="43"/>
      <c r="E46" s="43"/>
      <c r="U46" s="51"/>
    </row>
    <row r="47" spans="1:21">
      <c r="A47" s="113" t="s">
        <v>23</v>
      </c>
      <c r="B47" s="113"/>
      <c r="C47" s="114" t="s">
        <v>24</v>
      </c>
      <c r="D47" s="114"/>
      <c r="E47" s="48" t="s">
        <v>15</v>
      </c>
      <c r="P47" s="117" t="s">
        <v>23</v>
      </c>
      <c r="Q47" s="117"/>
      <c r="R47" s="117" t="s">
        <v>24</v>
      </c>
      <c r="S47" s="117"/>
      <c r="T47" s="68" t="s">
        <v>15</v>
      </c>
      <c r="U47" s="51"/>
    </row>
    <row r="48" spans="1:21">
      <c r="A48" s="52">
        <v>0</v>
      </c>
      <c r="B48" s="54" t="s">
        <v>25</v>
      </c>
      <c r="C48" s="52">
        <f>180/2</f>
        <v>90</v>
      </c>
      <c r="D48" s="54" t="s">
        <v>25</v>
      </c>
      <c r="E48" s="55">
        <v>0.1</v>
      </c>
      <c r="P48" s="80">
        <f>IF('Escala de Rentas IASS'!$F$17="si",Parámetros!A39,Parámetros!A48)</f>
        <v>0</v>
      </c>
      <c r="Q48" s="70" t="s">
        <v>25</v>
      </c>
      <c r="R48" s="80">
        <f>IF('Escala de Rentas IASS'!$F$17="si",Parámetros!C39,Parámetros!C48)</f>
        <v>48</v>
      </c>
      <c r="S48" s="70" t="s">
        <v>25</v>
      </c>
      <c r="T48" s="71">
        <f>+IF('Escala de Rentas IASS'!$F$17="si",Parámetros!E39,Parámetros!E48)</f>
        <v>0</v>
      </c>
      <c r="U48" s="51"/>
    </row>
    <row r="49" spans="1:23">
      <c r="A49" s="58">
        <f>+C48</f>
        <v>90</v>
      </c>
      <c r="B49" s="60" t="s">
        <v>25</v>
      </c>
      <c r="C49" s="58">
        <f>600/2</f>
        <v>300</v>
      </c>
      <c r="D49" s="60" t="s">
        <v>25</v>
      </c>
      <c r="E49" s="61">
        <v>0.2</v>
      </c>
      <c r="P49" s="80">
        <f>IF('Escala de Rentas IASS'!$F$17="si",Parámetros!A40,Parámetros!A49)</f>
        <v>48</v>
      </c>
      <c r="Q49" s="70" t="s">
        <v>25</v>
      </c>
      <c r="R49" s="80">
        <f>IF('Escala de Rentas IASS'!$F$17="si",Parámetros!C40,Parámetros!C49)</f>
        <v>90</v>
      </c>
      <c r="S49" s="70" t="s">
        <v>25</v>
      </c>
      <c r="T49" s="71">
        <f>+IF('Escala de Rentas IASS'!$F$17="si",Parámetros!E40,Parámetros!E49)</f>
        <v>0.1</v>
      </c>
      <c r="U49" s="51"/>
    </row>
    <row r="50" spans="1:23">
      <c r="A50" s="62">
        <f>+C49</f>
        <v>300</v>
      </c>
      <c r="B50" s="64" t="s">
        <v>25</v>
      </c>
      <c r="C50" s="62"/>
      <c r="D50" s="64" t="s">
        <v>25</v>
      </c>
      <c r="E50" s="65">
        <v>0.25</v>
      </c>
      <c r="P50" s="80">
        <f>IF('Escala de Rentas IASS'!$F$17="si",Parámetros!A41,Parámetros!A50)</f>
        <v>90</v>
      </c>
      <c r="Q50" s="70" t="s">
        <v>25</v>
      </c>
      <c r="R50" s="80">
        <f>IF('Escala de Rentas IASS'!$F$17="si",Parámetros!C41,Parámetros!C50)</f>
        <v>300</v>
      </c>
      <c r="S50" s="70" t="s">
        <v>25</v>
      </c>
      <c r="T50" s="71">
        <f>+IF('Escala de Rentas IASS'!$F$17="si",Parámetros!E41,Parámetros!E50)</f>
        <v>0.2</v>
      </c>
      <c r="U50" s="51"/>
    </row>
    <row r="51" spans="1:23">
      <c r="P51" s="80">
        <f>IF('Escala de Rentas IASS'!$F$17="si",Parámetros!A42,Parámetros!A51)</f>
        <v>300</v>
      </c>
      <c r="Q51" s="70" t="s">
        <v>25</v>
      </c>
      <c r="R51" s="80">
        <f>IF('Escala de Rentas IASS'!$F$17="si",Parámetros!C42,Parámetros!C51)</f>
        <v>0</v>
      </c>
      <c r="S51" s="70" t="s">
        <v>25</v>
      </c>
      <c r="T51" s="71">
        <f>+IF('Escala de Rentas IASS'!$F$17="si",Parámetros!E42,Parámetros!E51)</f>
        <v>0.25</v>
      </c>
      <c r="U51" s="51"/>
    </row>
    <row r="52" spans="1:23">
      <c r="U52" s="51"/>
    </row>
    <row r="53" spans="1:23">
      <c r="U53" s="51"/>
    </row>
    <row r="54" spans="1:23">
      <c r="U54" s="51"/>
    </row>
    <row r="55" spans="1:23">
      <c r="U55" s="51"/>
    </row>
    <row r="56" spans="1:23">
      <c r="U56" s="51"/>
    </row>
    <row r="57" spans="1:23">
      <c r="U57" s="51"/>
    </row>
    <row r="58" spans="1:23">
      <c r="U58" s="51"/>
    </row>
    <row r="59" spans="1:23">
      <c r="U59" s="51"/>
    </row>
    <row r="60" spans="1:23" s="45" customFormat="1">
      <c r="A60" s="45" t="s">
        <v>35</v>
      </c>
      <c r="J60" s="45" t="s">
        <v>36</v>
      </c>
      <c r="S60" s="45" t="s">
        <v>37</v>
      </c>
    </row>
    <row r="61" spans="1:23">
      <c r="A61" s="43" t="s">
        <v>38</v>
      </c>
      <c r="C61" s="41"/>
      <c r="J61" s="41"/>
      <c r="K61" s="41"/>
      <c r="L61" s="41"/>
      <c r="M61" s="41"/>
      <c r="N61" s="41"/>
      <c r="O61" s="41"/>
      <c r="P61" s="41"/>
      <c r="Q61" s="41"/>
      <c r="S61" s="43" t="s">
        <v>39</v>
      </c>
      <c r="T61" s="41"/>
      <c r="U61" s="41"/>
      <c r="V61" s="41"/>
      <c r="W61" s="41"/>
    </row>
    <row r="62" spans="1:23">
      <c r="A62" s="41" t="s">
        <v>16</v>
      </c>
      <c r="B62" s="41" t="s">
        <v>21</v>
      </c>
      <c r="C62" s="41"/>
      <c r="J62" s="38">
        <v>2008</v>
      </c>
      <c r="S62" s="41" t="s">
        <v>40</v>
      </c>
      <c r="T62" s="41" t="s">
        <v>21</v>
      </c>
    </row>
    <row r="63" spans="1:23">
      <c r="A63" s="41" t="s">
        <v>41</v>
      </c>
      <c r="B63" s="41" t="s">
        <v>41</v>
      </c>
      <c r="C63" s="73"/>
      <c r="D63" s="51"/>
      <c r="E63" s="51"/>
      <c r="F63" s="51"/>
      <c r="J63" s="38" t="s">
        <v>41</v>
      </c>
      <c r="S63" s="41" t="s">
        <v>41</v>
      </c>
      <c r="T63" s="41" t="s">
        <v>41</v>
      </c>
    </row>
    <row r="64" spans="1:23">
      <c r="A64" s="82" t="s">
        <v>42</v>
      </c>
      <c r="B64" s="82" t="s">
        <v>43</v>
      </c>
      <c r="C64" s="83"/>
      <c r="D64" s="51"/>
      <c r="E64" s="83"/>
      <c r="F64" s="51"/>
      <c r="J64" s="84" t="s">
        <v>44</v>
      </c>
      <c r="K64" s="51"/>
      <c r="L64" s="51"/>
      <c r="M64" s="51"/>
      <c r="N64" s="51"/>
      <c r="O64" s="83"/>
      <c r="P64" s="51"/>
      <c r="Q64" s="83"/>
      <c r="R64" s="51"/>
      <c r="S64" s="84" t="s">
        <v>45</v>
      </c>
      <c r="T64" s="84" t="s">
        <v>46</v>
      </c>
      <c r="U64" s="83"/>
      <c r="V64" s="51"/>
      <c r="W64" s="83"/>
    </row>
    <row r="65" spans="1:23">
      <c r="A65" s="82" t="s">
        <v>47</v>
      </c>
      <c r="B65" s="82" t="s">
        <v>48</v>
      </c>
      <c r="C65" s="83"/>
      <c r="D65" s="51"/>
      <c r="E65" s="83"/>
      <c r="F65" s="51"/>
      <c r="J65" s="84" t="s">
        <v>49</v>
      </c>
      <c r="K65" s="51"/>
      <c r="L65" s="51"/>
      <c r="M65" s="51"/>
      <c r="N65" s="51"/>
      <c r="O65" s="83"/>
      <c r="P65" s="51"/>
      <c r="Q65" s="83"/>
      <c r="R65" s="51"/>
      <c r="S65" s="84" t="s">
        <v>50</v>
      </c>
      <c r="T65" s="84" t="s">
        <v>51</v>
      </c>
      <c r="U65" s="83"/>
      <c r="V65" s="51"/>
      <c r="W65" s="83"/>
    </row>
    <row r="66" spans="1:23">
      <c r="A66" s="82" t="s">
        <v>52</v>
      </c>
      <c r="B66" s="82" t="s">
        <v>52</v>
      </c>
      <c r="C66" s="83"/>
      <c r="D66" s="51"/>
      <c r="E66" s="83"/>
      <c r="F66" s="51"/>
      <c r="J66" s="84" t="s">
        <v>53</v>
      </c>
      <c r="K66" s="51"/>
      <c r="L66" s="51"/>
      <c r="M66" s="51"/>
      <c r="N66" s="51"/>
      <c r="O66" s="83"/>
      <c r="P66" s="51"/>
      <c r="Q66" s="83"/>
      <c r="R66" s="51"/>
      <c r="S66" s="84" t="s">
        <v>54</v>
      </c>
      <c r="T66" s="84" t="s">
        <v>54</v>
      </c>
      <c r="U66" s="83"/>
      <c r="V66" s="51"/>
      <c r="W66" s="83"/>
    </row>
    <row r="67" spans="1:23">
      <c r="A67" s="82" t="s">
        <v>55</v>
      </c>
      <c r="B67" s="82" t="s">
        <v>55</v>
      </c>
      <c r="C67" s="83"/>
      <c r="D67" s="51"/>
      <c r="E67" s="83"/>
      <c r="F67" s="51"/>
      <c r="J67" s="85" t="s">
        <v>56</v>
      </c>
      <c r="K67" s="51"/>
      <c r="L67" s="51"/>
      <c r="M67" s="51"/>
      <c r="N67" s="51"/>
      <c r="O67" s="83"/>
      <c r="P67" s="51"/>
      <c r="Q67" s="83"/>
      <c r="R67" s="51"/>
      <c r="S67" s="85" t="s">
        <v>57</v>
      </c>
      <c r="T67" s="85" t="s">
        <v>57</v>
      </c>
      <c r="U67" s="83"/>
      <c r="V67" s="51"/>
      <c r="W67" s="83"/>
    </row>
    <row r="68" spans="1:23">
      <c r="K68" s="51"/>
      <c r="L68" s="51"/>
      <c r="M68" s="51"/>
      <c r="N68" s="51"/>
      <c r="O68" s="51"/>
      <c r="P68" s="51"/>
      <c r="Q68" s="51"/>
      <c r="R68" s="51"/>
      <c r="T68" s="51"/>
      <c r="U68" s="51"/>
      <c r="V68" s="51"/>
      <c r="W68" s="51"/>
    </row>
    <row r="69" spans="1:23">
      <c r="A69" s="43" t="s">
        <v>29</v>
      </c>
      <c r="C69" s="72"/>
      <c r="E69" s="72"/>
      <c r="J69" s="43" t="s">
        <v>33</v>
      </c>
      <c r="O69" s="72"/>
      <c r="Q69" s="72"/>
      <c r="R69" s="51"/>
      <c r="S69" s="43" t="s">
        <v>33</v>
      </c>
      <c r="U69" s="72"/>
      <c r="W69" s="72"/>
    </row>
    <row r="70" spans="1:23">
      <c r="A70" s="41">
        <v>2008</v>
      </c>
      <c r="B70" s="41"/>
      <c r="C70" s="41" t="s">
        <v>40</v>
      </c>
      <c r="E70" s="72"/>
      <c r="J70" s="41">
        <v>2008</v>
      </c>
      <c r="K70" s="41"/>
      <c r="L70" s="41"/>
      <c r="M70" s="41"/>
      <c r="N70" s="41"/>
      <c r="O70" s="42"/>
      <c r="Q70" s="72"/>
      <c r="R70" s="51"/>
      <c r="S70" s="41" t="s">
        <v>40</v>
      </c>
      <c r="U70" s="72"/>
    </row>
    <row r="71" spans="1:23">
      <c r="A71" s="82" t="s">
        <v>58</v>
      </c>
      <c r="C71" s="82" t="s">
        <v>59</v>
      </c>
      <c r="E71" s="69" t="str">
        <f>IF(AND('Escala de Rentas IASS'!$F$17="si",'Escala de Rentas IASS'!$F$15&lt;2023),$A64,IF(AND('Escala de Rentas IASS'!$F$17="si",'Escala de Rentas IASS'!$F$15&gt;=2023),$B64,IF(AND('Escala de Rentas IASS'!$F$17="no",'Escala de Rentas IASS'!$F$15=2008),$A71,IF(AND('Escala de Rentas IASS'!$F$17="no",'Escala de Rentas IASS'!$F$15&lt;=2023),$C71,$C76))))</f>
        <v>0 a 9 BPC</v>
      </c>
      <c r="J71" s="82" t="s">
        <v>60</v>
      </c>
      <c r="O71" s="69" t="str">
        <f>IF('Escala de Rentas IASS'!$F$17="si",Parámetros!J64,Parámetros!J71)</f>
        <v>0 a 48 BPC</v>
      </c>
      <c r="R71" s="51"/>
      <c r="S71" s="82" t="s">
        <v>61</v>
      </c>
      <c r="U71" s="69" t="str">
        <f>IF(AND('Escala de Rentas IASS'!$F$17="si",'Escala de Rentas IASS'!$F$15&lt;2023),$S64,IF(AND('Escala de Rentas IASS'!$F$17="si",'Escala de Rentas IASS'!$F$15&gt;=2023),$T64,IF(AND('Escala de Rentas IASS'!$F$17="no",'Escala de Rentas IASS'!$F$15&lt;=2023),$S71,$S76)))</f>
        <v>0 a 108 BPC</v>
      </c>
      <c r="V71" s="86"/>
      <c r="W71" s="87"/>
    </row>
    <row r="72" spans="1:23">
      <c r="A72" s="82" t="s">
        <v>52</v>
      </c>
      <c r="C72" s="82" t="s">
        <v>62</v>
      </c>
      <c r="E72" s="69" t="str">
        <f>IF(AND('Escala de Rentas IASS'!$F$17="si",'Escala de Rentas IASS'!$F$15&lt;2023),$A65,IF(AND('Escala de Rentas IASS'!$F$17="si",'Escala de Rentas IASS'!$F$15&gt;=2023),$B65,IF(AND('Escala de Rentas IASS'!$F$17="no",'Escala de Rentas IASS'!$F$15=2008),$A72,IF(AND('Escala de Rentas IASS'!$F$17="no",'Escala de Rentas IASS'!$F$15&lt;=2023),$C72,$C77))))</f>
        <v>9 a 15 BPC</v>
      </c>
      <c r="J72" s="82" t="s">
        <v>53</v>
      </c>
      <c r="O72" s="69" t="str">
        <f>IF('Escala de Rentas IASS'!$F$17="si",Parámetros!J65,Parámetros!J72)</f>
        <v>48 a 90 BPC</v>
      </c>
      <c r="R72" s="51"/>
      <c r="S72" s="82" t="s">
        <v>63</v>
      </c>
      <c r="U72" s="69" t="str">
        <f>IF(AND('Escala de Rentas IASS'!$F$17="si",'Escala de Rentas IASS'!$F$15&lt;2023),$S65,IF(AND('Escala de Rentas IASS'!$F$17="si",'Escala de Rentas IASS'!$F$15&gt;=2023),$T65,IF(AND('Escala de Rentas IASS'!$F$17="no",'Escala de Rentas IASS'!$F$15&lt;=2023),$S72,$S77)))</f>
        <v>108 a 180 BPC</v>
      </c>
      <c r="V72" s="83"/>
    </row>
    <row r="73" spans="1:23">
      <c r="A73" s="82" t="s">
        <v>55</v>
      </c>
      <c r="C73" s="82" t="s">
        <v>64</v>
      </c>
      <c r="E73" s="69" t="str">
        <f>IF(AND('Escala de Rentas IASS'!$F$17="si",'Escala de Rentas IASS'!$F$15&lt;2023),$A66,IF(AND('Escala de Rentas IASS'!$F$17="si",'Escala de Rentas IASS'!$F$15&gt;=2023),$B66,IF(AND('Escala de Rentas IASS'!$F$17="no",'Escala de Rentas IASS'!$F$15=2008),$A73,IF(AND('Escala de Rentas IASS'!$F$17="no",'Escala de Rentas IASS'!$F$15&lt;=2023),$C73,$C78))))</f>
        <v>15 a 50 BPC</v>
      </c>
      <c r="J73" s="82" t="s">
        <v>56</v>
      </c>
      <c r="O73" s="69" t="str">
        <f>IF('Escala de Rentas IASS'!$F$17="si",Parámetros!J66,Parámetros!J73)</f>
        <v>90 a 300 BPC</v>
      </c>
      <c r="R73" s="51"/>
      <c r="S73" s="82" t="s">
        <v>65</v>
      </c>
      <c r="U73" s="69" t="str">
        <f>IF(AND('Escala de Rentas IASS'!$F$17="si",'Escala de Rentas IASS'!$F$15&lt;2023),$S66,IF(AND('Escala de Rentas IASS'!$F$17="si",'Escala de Rentas IASS'!$F$15&gt;=2023),$T66,IF(AND('Escala de Rentas IASS'!$F$17="no",'Escala de Rentas IASS'!$F$15&lt;=2023),$S73,$S78)))</f>
        <v>180 a 600 BPC</v>
      </c>
      <c r="V73" s="83"/>
    </row>
    <row r="74" spans="1:23">
      <c r="E74" s="69" t="str">
        <f>IF(AND('Escala de Rentas IASS'!$F$17="si",'Escala de Rentas IASS'!$F$15&lt;2023),$A67,IF(AND('Escala de Rentas IASS'!$F$17="si",'Escala de Rentas IASS'!$F$15&gt;=2023),$B67,IF(AND('Escala de Rentas IASS'!$F$17="no",'Escala de Rentas IASS'!$F$15=2008),$A74,IF(AND('Escala de Rentas IASS'!$F$17="no",'Escala de Rentas IASS'!$F$15&lt;=2023),$C74,$C79))))</f>
        <v>Más de 50 BPC</v>
      </c>
      <c r="K74" s="51"/>
      <c r="L74" s="51"/>
      <c r="M74" s="51"/>
      <c r="N74" s="51"/>
      <c r="O74" s="69" t="str">
        <f>IF('Escala de Rentas IASS'!$F$17="si",Parámetros!J67,Parámetros!J74)</f>
        <v>Más de 300 BPC</v>
      </c>
      <c r="P74" s="51"/>
      <c r="R74" s="51"/>
      <c r="S74" s="51"/>
      <c r="T74" s="51"/>
      <c r="U74" s="69" t="str">
        <f>IF(AND('Escala de Rentas IASS'!$F$17="si",'Escala de Rentas IASS'!$F$15&lt;2023),$S67,IF(AND('Escala de Rentas IASS'!$F$17="si",'Escala de Rentas IASS'!$F$15&gt;=2023),$T67,IF(AND('Escala de Rentas IASS'!$F$17="no",'Escala de Rentas IASS'!$F$15&lt;=2023),$S74,$S79)))</f>
        <v>Más de 600 BPC</v>
      </c>
      <c r="V74" s="83"/>
    </row>
    <row r="75" spans="1:23">
      <c r="C75" s="41" t="s">
        <v>19</v>
      </c>
      <c r="S75" s="41" t="s">
        <v>19</v>
      </c>
    </row>
    <row r="76" spans="1:23">
      <c r="C76" s="82" t="s">
        <v>66</v>
      </c>
      <c r="S76" s="82" t="s">
        <v>67</v>
      </c>
    </row>
    <row r="77" spans="1:23">
      <c r="C77" s="82" t="s">
        <v>68</v>
      </c>
      <c r="S77" s="82" t="s">
        <v>69</v>
      </c>
    </row>
    <row r="78" spans="1:23">
      <c r="C78" s="82" t="s">
        <v>70</v>
      </c>
      <c r="S78" s="82" t="s">
        <v>71</v>
      </c>
    </row>
  </sheetData>
  <sheetProtection password="CCE5" sheet="1" objects="1" scenarios="1" selectLockedCells="1" selectUnlockedCells="1"/>
  <mergeCells count="32">
    <mergeCell ref="P47:Q47"/>
    <mergeCell ref="R47:S47"/>
    <mergeCell ref="A38:B38"/>
    <mergeCell ref="C38:D38"/>
    <mergeCell ref="A47:B47"/>
    <mergeCell ref="C47:D47"/>
    <mergeCell ref="V29:W29"/>
    <mergeCell ref="X29:Y29"/>
    <mergeCell ref="AA29:AB29"/>
    <mergeCell ref="AC29:AD29"/>
    <mergeCell ref="A29:B29"/>
    <mergeCell ref="C29:D29"/>
    <mergeCell ref="P29:Q29"/>
    <mergeCell ref="R29:S29"/>
    <mergeCell ref="AA12:AB12"/>
    <mergeCell ref="AC12:AD12"/>
    <mergeCell ref="A20:B20"/>
    <mergeCell ref="C20:D20"/>
    <mergeCell ref="V20:W20"/>
    <mergeCell ref="X20:Y20"/>
    <mergeCell ref="P12:Q12"/>
    <mergeCell ref="R12:S12"/>
    <mergeCell ref="V12:W12"/>
    <mergeCell ref="X12:Y12"/>
    <mergeCell ref="V4:W4"/>
    <mergeCell ref="X4:Y4"/>
    <mergeCell ref="A12:B12"/>
    <mergeCell ref="C12:D12"/>
    <mergeCell ref="G12:H12"/>
    <mergeCell ref="I12:J12"/>
    <mergeCell ref="A4:B4"/>
    <mergeCell ref="C4:D4"/>
  </mergeCells>
  <phoneticPr fontId="33" type="noConversion"/>
  <pageMargins left="0.75" right="0.75" top="1" bottom="1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Escala de Rentas IASS</vt:lpstr>
      <vt:lpstr>Parámetros</vt:lpstr>
      <vt:lpstr>'Escala de Rentas IASS'!Área_de_impresión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Moraes</dc:creator>
  <cp:lastModifiedBy>0265</cp:lastModifiedBy>
  <dcterms:created xsi:type="dcterms:W3CDTF">2024-01-24T14:58:42Z</dcterms:created>
  <dcterms:modified xsi:type="dcterms:W3CDTF">2024-04-09T14:58:32Z</dcterms:modified>
</cp:coreProperties>
</file>