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nas\Estudios_Economicos\Victoria\Archivos Excel\PUBLICACION WEB\- SERIES A PUBLICAR\Series Mensuales\"/>
    </mc:Choice>
  </mc:AlternateContent>
  <workbookProtection workbookPassword="B1B5" lockStructure="1"/>
  <bookViews>
    <workbookView xWindow="0" yWindow="0" windowWidth="28800" windowHeight="12210" firstSheet="2" activeTab="2"/>
  </bookViews>
  <sheets>
    <sheet name="rubros imesi" sheetId="6" state="hidden" r:id="rId1"/>
    <sheet name="IMESI Vol Físico - Series mensu" sheetId="7" state="hidden" r:id="rId2"/>
    <sheet name="Series" sheetId="3" r:id="rId3"/>
    <sheet name="Notas" sheetId="4" r:id="rId4"/>
  </sheets>
  <definedNames>
    <definedName name="_xlnm._FilterDatabase" localSheetId="2" hidden="1">Series!$D$17:$E$528</definedName>
    <definedName name="bebidas">'rubros imesi'!$C$2:$C$16</definedName>
    <definedName name="lubricantes">'rubros imesi'!$D$2:$D$4</definedName>
    <definedName name="Rubros">'rubros imesi'!$A$2:$A$6</definedName>
    <definedName name="seleccione">'rubros imesi'!$A$11</definedName>
    <definedName name="tabacos">'rubros imesi'!$E$2:$E$4</definedName>
    <definedName name="Vehículos">'rubros imesi'!$F$2:$F$44</definedName>
    <definedName name="vehículos2010">'rubros imesi'!#REF!</definedName>
  </definedNames>
  <calcPr calcId="162913"/>
</workbook>
</file>

<file path=xl/calcChain.xml><?xml version="1.0" encoding="utf-8"?>
<calcChain xmlns="http://schemas.openxmlformats.org/spreadsheetml/2006/main">
  <c r="E528" i="3" l="1"/>
  <c r="D528" i="3"/>
  <c r="GB477" i="7" l="1"/>
  <c r="BA477" i="7" l="1"/>
  <c r="AO477" i="7" l="1"/>
  <c r="AI477" i="7"/>
  <c r="AF477" i="7"/>
  <c r="AC477" i="7"/>
  <c r="Z477" i="7"/>
  <c r="W477" i="7"/>
  <c r="H477" i="7"/>
  <c r="E477" i="7"/>
  <c r="B477" i="7" l="1"/>
  <c r="E527" i="3" l="1"/>
  <c r="D527" i="3" s="1"/>
  <c r="GB476" i="7"/>
  <c r="BA476" i="7"/>
  <c r="AO476" i="7" l="1"/>
  <c r="AI476" i="7"/>
  <c r="AF476" i="7"/>
  <c r="AC476" i="7"/>
  <c r="Z476" i="7"/>
  <c r="W476" i="7"/>
  <c r="H476" i="7"/>
  <c r="E476" i="7"/>
  <c r="B476" i="7" l="1"/>
  <c r="E526" i="3" l="1"/>
  <c r="D526" i="3" s="1"/>
  <c r="GB475" i="7" l="1"/>
  <c r="GB474" i="7"/>
  <c r="BA475" i="7"/>
  <c r="AO475" i="7" l="1"/>
  <c r="AI475" i="7"/>
  <c r="AF475" i="7"/>
  <c r="AC475" i="7"/>
  <c r="Z475" i="7"/>
  <c r="W475" i="7"/>
  <c r="H475" i="7"/>
  <c r="E475" i="7"/>
  <c r="B475" i="7" l="1"/>
  <c r="CC497" i="7" l="1"/>
  <c r="CD497" i="7"/>
  <c r="CE497" i="7"/>
  <c r="BW497" i="7"/>
  <c r="BX497" i="7"/>
  <c r="BY497" i="7"/>
  <c r="AO474" i="7" l="1"/>
  <c r="AI474" i="7"/>
  <c r="AF474" i="7"/>
  <c r="AC474" i="7"/>
  <c r="Z474" i="7"/>
  <c r="W474" i="7"/>
  <c r="H474" i="7"/>
  <c r="E474" i="7"/>
  <c r="B474" i="7" l="1"/>
  <c r="L217" i="6" l="1"/>
  <c r="L158" i="6"/>
  <c r="L99" i="6"/>
  <c r="L40" i="6"/>
  <c r="DJ480" i="7"/>
  <c r="DK480" i="7"/>
  <c r="DL480" i="7"/>
  <c r="DJ481" i="7"/>
  <c r="DK481" i="7"/>
  <c r="DL481" i="7"/>
  <c r="DJ482" i="7"/>
  <c r="DK482" i="7"/>
  <c r="DL482" i="7"/>
  <c r="DJ483" i="7"/>
  <c r="DK483" i="7"/>
  <c r="DL483" i="7"/>
  <c r="DJ484" i="7"/>
  <c r="DK484" i="7"/>
  <c r="DL484" i="7"/>
  <c r="DJ485" i="7"/>
  <c r="DK485" i="7"/>
  <c r="DL485" i="7"/>
  <c r="DJ486" i="7"/>
  <c r="DK486" i="7"/>
  <c r="DL486" i="7"/>
  <c r="DJ487" i="7"/>
  <c r="DK487" i="7"/>
  <c r="DL487" i="7"/>
  <c r="DJ488" i="7"/>
  <c r="DK488" i="7"/>
  <c r="DL488" i="7"/>
  <c r="DJ489" i="7"/>
  <c r="DK489" i="7"/>
  <c r="DL489" i="7"/>
  <c r="DJ491" i="7"/>
  <c r="DK491" i="7"/>
  <c r="DL491" i="7"/>
  <c r="DJ493" i="7"/>
  <c r="DK493" i="7"/>
  <c r="DL493" i="7"/>
  <c r="DJ495" i="7"/>
  <c r="DK495" i="7"/>
  <c r="DL495" i="7"/>
  <c r="DJ497" i="7"/>
  <c r="DK497" i="7"/>
  <c r="DL497" i="7"/>
  <c r="DJ498" i="7"/>
  <c r="DK498" i="7"/>
  <c r="DL498" i="7"/>
  <c r="DJ499" i="7"/>
  <c r="DK499" i="7"/>
  <c r="DL499" i="7"/>
  <c r="DL4" i="7"/>
  <c r="DK4" i="7"/>
  <c r="DJ4" i="7"/>
  <c r="E524" i="3" l="1"/>
  <c r="D524" i="3" s="1"/>
  <c r="D499" i="7"/>
  <c r="F499" i="7"/>
  <c r="G499" i="7"/>
  <c r="I499" i="7"/>
  <c r="J499" i="7"/>
  <c r="K499" i="7"/>
  <c r="L499" i="7"/>
  <c r="M499" i="7"/>
  <c r="N499" i="7"/>
  <c r="O499" i="7"/>
  <c r="P499" i="7"/>
  <c r="Q499" i="7"/>
  <c r="R499" i="7"/>
  <c r="S499" i="7"/>
  <c r="T499" i="7"/>
  <c r="U499" i="7"/>
  <c r="V499" i="7"/>
  <c r="X499" i="7"/>
  <c r="Y499" i="7"/>
  <c r="AA499" i="7"/>
  <c r="AB499" i="7"/>
  <c r="AD499" i="7"/>
  <c r="AE499" i="7"/>
  <c r="AG499" i="7"/>
  <c r="AH499" i="7"/>
  <c r="AJ499" i="7"/>
  <c r="AK499" i="7"/>
  <c r="AL499" i="7"/>
  <c r="AM499" i="7"/>
  <c r="AN499" i="7"/>
  <c r="AP499" i="7"/>
  <c r="AQ499" i="7"/>
  <c r="AR499" i="7"/>
  <c r="AS499" i="7"/>
  <c r="AT499" i="7"/>
  <c r="AU499" i="7"/>
  <c r="AV499" i="7"/>
  <c r="AW499" i="7"/>
  <c r="AX499" i="7"/>
  <c r="AY499" i="7"/>
  <c r="AZ499" i="7"/>
  <c r="BB499" i="7"/>
  <c r="BC499" i="7"/>
  <c r="BD499" i="7"/>
  <c r="BE499" i="7"/>
  <c r="BF499" i="7"/>
  <c r="BG499" i="7"/>
  <c r="BH499" i="7"/>
  <c r="BI499" i="7"/>
  <c r="BJ499" i="7"/>
  <c r="BK499" i="7"/>
  <c r="BL499" i="7"/>
  <c r="BM499" i="7"/>
  <c r="BN499" i="7"/>
  <c r="BO499" i="7"/>
  <c r="BP499" i="7"/>
  <c r="BQ499" i="7"/>
  <c r="BR499" i="7"/>
  <c r="BS499" i="7"/>
  <c r="BT499" i="7"/>
  <c r="BU499" i="7"/>
  <c r="BV499" i="7"/>
  <c r="BW499" i="7"/>
  <c r="BX499" i="7"/>
  <c r="BY499" i="7"/>
  <c r="BZ499" i="7"/>
  <c r="CA499" i="7"/>
  <c r="CB499" i="7"/>
  <c r="CC499" i="7"/>
  <c r="CD499" i="7"/>
  <c r="CE499" i="7"/>
  <c r="CF499" i="7"/>
  <c r="CG499" i="7"/>
  <c r="CH499" i="7"/>
  <c r="CI499" i="7"/>
  <c r="CJ499" i="7"/>
  <c r="CK499" i="7"/>
  <c r="CL499" i="7"/>
  <c r="CM499" i="7"/>
  <c r="CN499" i="7"/>
  <c r="CO499" i="7"/>
  <c r="CP499" i="7"/>
  <c r="CQ499" i="7"/>
  <c r="CR499" i="7"/>
  <c r="CS499" i="7"/>
  <c r="CT499" i="7"/>
  <c r="CU499" i="7"/>
  <c r="CV499" i="7"/>
  <c r="CW499" i="7"/>
  <c r="CX499" i="7"/>
  <c r="CY499" i="7"/>
  <c r="CZ499" i="7"/>
  <c r="DA499" i="7"/>
  <c r="DB499" i="7"/>
  <c r="DC499" i="7"/>
  <c r="DD499" i="7"/>
  <c r="DE499" i="7"/>
  <c r="DF499" i="7"/>
  <c r="DG499" i="7"/>
  <c r="DH499" i="7"/>
  <c r="DI499" i="7"/>
  <c r="DM499" i="7"/>
  <c r="DN499" i="7"/>
  <c r="DO499" i="7"/>
  <c r="DP499" i="7"/>
  <c r="DQ499" i="7"/>
  <c r="DR499" i="7"/>
  <c r="DS499" i="7"/>
  <c r="DT499" i="7"/>
  <c r="DU499" i="7"/>
  <c r="DV499" i="7"/>
  <c r="DW499" i="7"/>
  <c r="DX499" i="7"/>
  <c r="DY499" i="7"/>
  <c r="DZ499" i="7"/>
  <c r="EA499" i="7"/>
  <c r="EB499" i="7"/>
  <c r="EC499" i="7"/>
  <c r="ED499" i="7"/>
  <c r="EE499" i="7"/>
  <c r="EF499" i="7"/>
  <c r="EG499" i="7"/>
  <c r="EH499" i="7"/>
  <c r="EI499" i="7"/>
  <c r="EJ499" i="7"/>
  <c r="EK499" i="7"/>
  <c r="EL499" i="7"/>
  <c r="EM499" i="7"/>
  <c r="EN499" i="7"/>
  <c r="EO499" i="7"/>
  <c r="EP499" i="7"/>
  <c r="EQ499" i="7"/>
  <c r="ER499" i="7"/>
  <c r="ES499" i="7"/>
  <c r="ET499" i="7"/>
  <c r="EU499" i="7"/>
  <c r="EV499" i="7"/>
  <c r="EW499" i="7"/>
  <c r="EX499" i="7"/>
  <c r="EY499" i="7"/>
  <c r="EZ499" i="7"/>
  <c r="FA499" i="7"/>
  <c r="FB499" i="7"/>
  <c r="FC499" i="7"/>
  <c r="FD499" i="7"/>
  <c r="FE499" i="7"/>
  <c r="FF499" i="7"/>
  <c r="FG499" i="7"/>
  <c r="FH499" i="7"/>
  <c r="FI499" i="7"/>
  <c r="FJ499" i="7"/>
  <c r="FK499" i="7"/>
  <c r="FL499" i="7"/>
  <c r="FM499" i="7"/>
  <c r="FN499" i="7"/>
  <c r="FO499" i="7"/>
  <c r="FP499" i="7"/>
  <c r="FQ499" i="7"/>
  <c r="FR499" i="7"/>
  <c r="FS499" i="7"/>
  <c r="FT499" i="7"/>
  <c r="FU499" i="7"/>
  <c r="FV499" i="7"/>
  <c r="FW499" i="7"/>
  <c r="FX499" i="7"/>
  <c r="FY499" i="7"/>
  <c r="FZ499" i="7"/>
  <c r="C499" i="7"/>
  <c r="BA474" i="7" l="1"/>
  <c r="E523" i="3" l="1"/>
  <c r="D523" i="3" s="1"/>
  <c r="GB473" i="7"/>
  <c r="BA473" i="7" l="1"/>
  <c r="AO473" i="7" l="1"/>
  <c r="AI473" i="7"/>
  <c r="AF473" i="7"/>
  <c r="AC473" i="7"/>
  <c r="Z473" i="7"/>
  <c r="W473" i="7"/>
  <c r="H473" i="7"/>
  <c r="E473" i="7"/>
  <c r="B473" i="7" l="1"/>
  <c r="E522" i="3"/>
  <c r="D522" i="3" s="1"/>
  <c r="GB472" i="7"/>
  <c r="BA472" i="7" l="1"/>
  <c r="AO472" i="7" l="1"/>
  <c r="AI472" i="7"/>
  <c r="AF472" i="7"/>
  <c r="AC472" i="7"/>
  <c r="Z472" i="7"/>
  <c r="W472" i="7"/>
  <c r="H472" i="7"/>
  <c r="E472" i="7" l="1"/>
  <c r="B472" i="7" s="1"/>
  <c r="E521" i="3" l="1"/>
  <c r="D521" i="3" s="1"/>
  <c r="GB471" i="7"/>
  <c r="BA471" i="7" l="1"/>
  <c r="AO471" i="7" l="1"/>
  <c r="AI471" i="7"/>
  <c r="AF471" i="7"/>
  <c r="AC471" i="7"/>
  <c r="Z471" i="7"/>
  <c r="W471" i="7"/>
  <c r="H471" i="7"/>
  <c r="E471" i="7"/>
  <c r="B471" i="7" l="1"/>
  <c r="E520" i="3"/>
  <c r="D520" i="3" s="1"/>
  <c r="GB470" i="7"/>
  <c r="BA470" i="7"/>
  <c r="AO470" i="7" l="1"/>
  <c r="AI470" i="7"/>
  <c r="AF470" i="7"/>
  <c r="AC470" i="7"/>
  <c r="Z470" i="7"/>
  <c r="W470" i="7"/>
  <c r="H470" i="7"/>
  <c r="E470" i="7"/>
  <c r="B470" i="7" l="1"/>
  <c r="E519" i="3"/>
  <c r="D519" i="3" s="1"/>
  <c r="GB469" i="7"/>
  <c r="BA469" i="7"/>
  <c r="AO469" i="7" l="1"/>
  <c r="AI469" i="7"/>
  <c r="AF469" i="7"/>
  <c r="AC469" i="7"/>
  <c r="Z469" i="7"/>
  <c r="W469" i="7"/>
  <c r="H469" i="7" l="1"/>
  <c r="E469" i="7"/>
  <c r="B469" i="7" l="1"/>
  <c r="E518" i="3"/>
  <c r="D518" i="3" s="1"/>
  <c r="GB468" i="7" l="1"/>
  <c r="BA468" i="7" l="1"/>
  <c r="AO468" i="7" l="1"/>
  <c r="AI468" i="7"/>
  <c r="AF468" i="7"/>
  <c r="AC468" i="7"/>
  <c r="Z468" i="7"/>
  <c r="W468" i="7"/>
  <c r="H468" i="7" l="1"/>
  <c r="E468" i="7"/>
  <c r="E467" i="7"/>
  <c r="H467" i="7"/>
  <c r="W467" i="7"/>
  <c r="Z467" i="7"/>
  <c r="AC467" i="7"/>
  <c r="AF467" i="7"/>
  <c r="AI467" i="7"/>
  <c r="AO467" i="7"/>
  <c r="BA467" i="7"/>
  <c r="B467" i="7" l="1"/>
  <c r="B468" i="7"/>
  <c r="E517" i="3"/>
  <c r="D517" i="3" s="1"/>
  <c r="GB467" i="7"/>
  <c r="E516" i="3" l="1"/>
  <c r="D516" i="3" s="1"/>
  <c r="GB466" i="7"/>
  <c r="BA466" i="7"/>
  <c r="AO466" i="7" l="1"/>
  <c r="AI466" i="7"/>
  <c r="AF466" i="7"/>
  <c r="AC466" i="7"/>
  <c r="Z466" i="7"/>
  <c r="W466" i="7"/>
  <c r="H466" i="7" l="1"/>
  <c r="E466" i="7"/>
  <c r="B466" i="7" l="1"/>
  <c r="E514" i="3"/>
  <c r="D514" i="3" s="1"/>
  <c r="E515" i="3"/>
  <c r="D515" i="3" s="1"/>
  <c r="E513" i="3"/>
  <c r="D513" i="3" s="1"/>
  <c r="GB463" i="7"/>
  <c r="GB464" i="7"/>
  <c r="GB465" i="7"/>
  <c r="BA464" i="7" l="1"/>
  <c r="BA465" i="7"/>
  <c r="AO464" i="7" l="1"/>
  <c r="AO465" i="7"/>
  <c r="AI464" i="7"/>
  <c r="AI465" i="7"/>
  <c r="AF464" i="7"/>
  <c r="AF465" i="7"/>
  <c r="AC464" i="7"/>
  <c r="AC465" i="7"/>
  <c r="Z464" i="7"/>
  <c r="Z465" i="7"/>
  <c r="W464" i="7"/>
  <c r="W465" i="7"/>
  <c r="H464" i="7" l="1"/>
  <c r="H465" i="7"/>
  <c r="E464" i="7"/>
  <c r="B464" i="7" s="1"/>
  <c r="E465" i="7"/>
  <c r="B465" i="7" l="1"/>
  <c r="GB440" i="7"/>
  <c r="GB441" i="7"/>
  <c r="GB442" i="7"/>
  <c r="GB443" i="7"/>
  <c r="GB444" i="7"/>
  <c r="GB445" i="7"/>
  <c r="GB446" i="7"/>
  <c r="GB447" i="7"/>
  <c r="GB448" i="7"/>
  <c r="GB449" i="7"/>
  <c r="GB450" i="7"/>
  <c r="GB451" i="7"/>
  <c r="GB452" i="7"/>
  <c r="GB453" i="7"/>
  <c r="GB454" i="7"/>
  <c r="GB455" i="7"/>
  <c r="GB456" i="7"/>
  <c r="GB457" i="7"/>
  <c r="GB458" i="7"/>
  <c r="GB459" i="7"/>
  <c r="GB460" i="7"/>
  <c r="GB461" i="7"/>
  <c r="GB462" i="7"/>
  <c r="GB439" i="7"/>
  <c r="BG498" i="7"/>
  <c r="BA463" i="7" l="1"/>
  <c r="BA499" i="7" s="1"/>
  <c r="AO463" i="7"/>
  <c r="AO499" i="7" s="1"/>
  <c r="AI463" i="7"/>
  <c r="AI499" i="7" s="1"/>
  <c r="AF463" i="7"/>
  <c r="AF499" i="7" s="1"/>
  <c r="AC463" i="7"/>
  <c r="AC499" i="7" s="1"/>
  <c r="Z463" i="7"/>
  <c r="Z499" i="7" s="1"/>
  <c r="W463" i="7"/>
  <c r="W499" i="7" s="1"/>
  <c r="H463" i="7"/>
  <c r="H499" i="7" s="1"/>
  <c r="E463" i="7"/>
  <c r="E499" i="7" l="1"/>
  <c r="B463" i="7"/>
  <c r="AY498" i="7"/>
  <c r="AZ498" i="7"/>
  <c r="BB498" i="7"/>
  <c r="BC498" i="7"/>
  <c r="BD498" i="7"/>
  <c r="BE498" i="7"/>
  <c r="BF498" i="7"/>
  <c r="BH498" i="7"/>
  <c r="BI498" i="7"/>
  <c r="BJ498" i="7"/>
  <c r="BK498" i="7"/>
  <c r="BL498" i="7"/>
  <c r="BM498" i="7"/>
  <c r="BN498" i="7"/>
  <c r="BO498" i="7"/>
  <c r="BP498" i="7"/>
  <c r="BQ498" i="7"/>
  <c r="BR498" i="7"/>
  <c r="BS498" i="7"/>
  <c r="BT498" i="7"/>
  <c r="BU498" i="7"/>
  <c r="BV498" i="7"/>
  <c r="BW498" i="7"/>
  <c r="BX498" i="7"/>
  <c r="BY498" i="7"/>
  <c r="BZ498" i="7"/>
  <c r="CA498" i="7"/>
  <c r="CB498" i="7"/>
  <c r="CC498" i="7"/>
  <c r="CD498" i="7"/>
  <c r="CE498" i="7"/>
  <c r="CF498" i="7"/>
  <c r="CG498" i="7"/>
  <c r="CH498" i="7"/>
  <c r="CI498" i="7"/>
  <c r="CJ498" i="7"/>
  <c r="CK498" i="7"/>
  <c r="CL498" i="7"/>
  <c r="CM498" i="7"/>
  <c r="CN498" i="7"/>
  <c r="CO498" i="7"/>
  <c r="CP498" i="7"/>
  <c r="CQ498" i="7"/>
  <c r="CR498" i="7"/>
  <c r="CS498" i="7"/>
  <c r="CT498" i="7"/>
  <c r="CU498" i="7"/>
  <c r="CV498" i="7"/>
  <c r="CW498" i="7"/>
  <c r="CX498" i="7"/>
  <c r="CY498" i="7"/>
  <c r="CZ498" i="7"/>
  <c r="DA498" i="7"/>
  <c r="DB498" i="7"/>
  <c r="DC498" i="7"/>
  <c r="DD498" i="7"/>
  <c r="DE498" i="7"/>
  <c r="DF498" i="7"/>
  <c r="DG498" i="7"/>
  <c r="DH498" i="7"/>
  <c r="DI498" i="7"/>
  <c r="DM498" i="7"/>
  <c r="DN498" i="7"/>
  <c r="DO498" i="7"/>
  <c r="DP498" i="7"/>
  <c r="DQ498" i="7"/>
  <c r="DR498" i="7"/>
  <c r="DS498" i="7"/>
  <c r="DT498" i="7"/>
  <c r="DU498" i="7"/>
  <c r="DV498" i="7"/>
  <c r="DW498" i="7"/>
  <c r="DX498" i="7"/>
  <c r="DY498" i="7"/>
  <c r="DZ498" i="7"/>
  <c r="EA498" i="7"/>
  <c r="EB498" i="7"/>
  <c r="EC498" i="7"/>
  <c r="ED498" i="7"/>
  <c r="EE498" i="7"/>
  <c r="EF498" i="7"/>
  <c r="EG498" i="7"/>
  <c r="EH498" i="7"/>
  <c r="EI498" i="7"/>
  <c r="EJ498" i="7"/>
  <c r="EK498" i="7"/>
  <c r="EL498" i="7"/>
  <c r="EM498" i="7"/>
  <c r="EN498" i="7"/>
  <c r="EO498" i="7"/>
  <c r="EP498" i="7"/>
  <c r="EQ498" i="7"/>
  <c r="ER498" i="7"/>
  <c r="ES498" i="7"/>
  <c r="ET498" i="7"/>
  <c r="EU498" i="7"/>
  <c r="EV498" i="7"/>
  <c r="EW498" i="7"/>
  <c r="EX498" i="7"/>
  <c r="EY498" i="7"/>
  <c r="EZ498" i="7"/>
  <c r="FA498" i="7"/>
  <c r="FB498" i="7"/>
  <c r="FC498" i="7"/>
  <c r="FD498" i="7"/>
  <c r="FE498" i="7"/>
  <c r="FF498" i="7"/>
  <c r="FG498" i="7"/>
  <c r="FH498" i="7"/>
  <c r="FI498" i="7"/>
  <c r="FJ498" i="7"/>
  <c r="FK498" i="7"/>
  <c r="FL498" i="7"/>
  <c r="FM498" i="7"/>
  <c r="FN498" i="7"/>
  <c r="FO498" i="7"/>
  <c r="FP498" i="7"/>
  <c r="FQ498" i="7"/>
  <c r="FR498" i="7"/>
  <c r="FS498" i="7"/>
  <c r="FT498" i="7"/>
  <c r="FU498" i="7"/>
  <c r="FV498" i="7"/>
  <c r="FW498" i="7"/>
  <c r="FX498" i="7"/>
  <c r="FY498" i="7"/>
  <c r="FZ498" i="7"/>
  <c r="E510" i="3" l="1"/>
  <c r="D510" i="3" s="1"/>
  <c r="E511" i="3"/>
  <c r="D511" i="3" s="1"/>
  <c r="BA461" i="7"/>
  <c r="BA462" i="7"/>
  <c r="AT498" i="7" l="1"/>
  <c r="AU498" i="7"/>
  <c r="AV498" i="7"/>
  <c r="AW498" i="7"/>
  <c r="AX498" i="7"/>
  <c r="AD498" i="7" l="1"/>
  <c r="AE498" i="7"/>
  <c r="AG498" i="7"/>
  <c r="AH498" i="7"/>
  <c r="AJ498" i="7"/>
  <c r="AK498" i="7"/>
  <c r="AL498" i="7"/>
  <c r="AM498" i="7"/>
  <c r="AN498" i="7"/>
  <c r="AP498" i="7"/>
  <c r="AQ498" i="7"/>
  <c r="AR498" i="7"/>
  <c r="AS498" i="7"/>
  <c r="C498" i="7"/>
  <c r="D498" i="7"/>
  <c r="F498" i="7"/>
  <c r="G498" i="7"/>
  <c r="I498" i="7"/>
  <c r="J498" i="7"/>
  <c r="K498" i="7"/>
  <c r="L498" i="7"/>
  <c r="M498" i="7"/>
  <c r="N498" i="7"/>
  <c r="O498" i="7"/>
  <c r="P498" i="7"/>
  <c r="Q498" i="7"/>
  <c r="R498" i="7"/>
  <c r="S498" i="7"/>
  <c r="T498" i="7"/>
  <c r="U498" i="7"/>
  <c r="V498" i="7"/>
  <c r="X498" i="7"/>
  <c r="Y498" i="7"/>
  <c r="AA498" i="7"/>
  <c r="AB498" i="7"/>
  <c r="AO461" i="7"/>
  <c r="AO462" i="7"/>
  <c r="AI461" i="7"/>
  <c r="AI462" i="7"/>
  <c r="AF461" i="7"/>
  <c r="AF462" i="7"/>
  <c r="AC461" i="7"/>
  <c r="AC462" i="7"/>
  <c r="Z461" i="7"/>
  <c r="Z462" i="7"/>
  <c r="W461" i="7"/>
  <c r="W462" i="7"/>
  <c r="H461" i="7"/>
  <c r="H462" i="7"/>
  <c r="E461" i="7"/>
  <c r="E462" i="7"/>
  <c r="B462" i="7" l="1"/>
  <c r="B461" i="7"/>
  <c r="E460" i="7"/>
  <c r="H460" i="7"/>
  <c r="W460" i="7"/>
  <c r="Z460" i="7"/>
  <c r="AC460" i="7"/>
  <c r="AF460" i="7"/>
  <c r="AI460" i="7"/>
  <c r="AO460" i="7"/>
  <c r="BA460" i="7"/>
  <c r="B460" i="7" l="1"/>
  <c r="E508" i="3"/>
  <c r="D508" i="3" s="1"/>
  <c r="E509" i="3"/>
  <c r="D509" i="3" s="1"/>
  <c r="BA459" i="7"/>
  <c r="AO459" i="7" l="1"/>
  <c r="AI459" i="7"/>
  <c r="AF459" i="7"/>
  <c r="AC459" i="7"/>
  <c r="Z459" i="7"/>
  <c r="W459" i="7"/>
  <c r="H459" i="7"/>
  <c r="E459" i="7"/>
  <c r="B459" i="7" l="1"/>
  <c r="L206" i="6"/>
  <c r="L147" i="6"/>
  <c r="L88" i="6"/>
  <c r="L204" i="6"/>
  <c r="L145" i="6"/>
  <c r="L86" i="6"/>
  <c r="E507" i="3" l="1"/>
  <c r="D507" i="3" s="1"/>
  <c r="L29" i="6"/>
  <c r="L27" i="6"/>
  <c r="CE4" i="7"/>
  <c r="CD4" i="7"/>
  <c r="CC4" i="7"/>
  <c r="BY4" i="7"/>
  <c r="BX4" i="7"/>
  <c r="BW4" i="7"/>
  <c r="BA458" i="7"/>
  <c r="AO458" i="7" l="1"/>
  <c r="AI458" i="7"/>
  <c r="AF458" i="7"/>
  <c r="AC458" i="7"/>
  <c r="Z458" i="7"/>
  <c r="W458" i="7"/>
  <c r="H458" i="7"/>
  <c r="E458" i="7"/>
  <c r="B458" i="7" l="1"/>
  <c r="E506" i="3"/>
  <c r="D506" i="3" s="1"/>
  <c r="BA457" i="7"/>
  <c r="AO457" i="7" l="1"/>
  <c r="AI457" i="7"/>
  <c r="AF457" i="7"/>
  <c r="AC457" i="7"/>
  <c r="Z457" i="7"/>
  <c r="W457" i="7"/>
  <c r="H457" i="7"/>
  <c r="E457" i="7"/>
  <c r="B457" i="7" s="1"/>
  <c r="E505" i="3" l="1"/>
  <c r="D505" i="3" s="1"/>
  <c r="BA456" i="7"/>
  <c r="AO456" i="7" l="1"/>
  <c r="AI456" i="7"/>
  <c r="AF456" i="7"/>
  <c r="AC456" i="7"/>
  <c r="Z456" i="7"/>
  <c r="W456" i="7"/>
  <c r="H456" i="7"/>
  <c r="E456" i="7"/>
  <c r="B456" i="7" s="1"/>
  <c r="E504" i="3" l="1"/>
  <c r="D504" i="3" s="1"/>
  <c r="BA455" i="7"/>
  <c r="AO455" i="7" l="1"/>
  <c r="AI455" i="7"/>
  <c r="AF455" i="7"/>
  <c r="AC455" i="7"/>
  <c r="Z455" i="7"/>
  <c r="W455" i="7"/>
  <c r="H455" i="7"/>
  <c r="E455" i="7"/>
  <c r="B455" i="7" s="1"/>
  <c r="E503" i="3" l="1"/>
  <c r="D503" i="3" s="1"/>
  <c r="BA454" i="7"/>
  <c r="AO454" i="7" l="1"/>
  <c r="AI454" i="7"/>
  <c r="AF454" i="7"/>
  <c r="AC454" i="7"/>
  <c r="Z454" i="7"/>
  <c r="W454" i="7"/>
  <c r="H454" i="7"/>
  <c r="E454" i="7"/>
  <c r="B454" i="7" s="1"/>
  <c r="E502" i="3" l="1"/>
  <c r="D502" i="3" s="1"/>
  <c r="BA453" i="7"/>
  <c r="AO453" i="7" l="1"/>
  <c r="AI453" i="7"/>
  <c r="AF453" i="7"/>
  <c r="AC453" i="7"/>
  <c r="Z453" i="7"/>
  <c r="W453" i="7"/>
  <c r="H453" i="7"/>
  <c r="E453" i="7"/>
  <c r="B453" i="7" s="1"/>
  <c r="E501" i="3" l="1"/>
  <c r="D501" i="3" s="1"/>
  <c r="BA452" i="7"/>
  <c r="AO452" i="7" l="1"/>
  <c r="AI452" i="7"/>
  <c r="AF452" i="7"/>
  <c r="AC452" i="7"/>
  <c r="Z452" i="7"/>
  <c r="W452" i="7"/>
  <c r="H452" i="7"/>
  <c r="E452" i="7" l="1"/>
  <c r="B452" i="7" s="1"/>
  <c r="E500" i="3" l="1"/>
  <c r="D500" i="3" s="1"/>
  <c r="D499" i="3" s="1"/>
  <c r="BA451" i="7" l="1"/>
  <c r="BA498" i="7" s="1"/>
  <c r="AO451" i="7" l="1"/>
  <c r="AO498" i="7" s="1"/>
  <c r="AI451" i="7"/>
  <c r="AI498" i="7" s="1"/>
  <c r="AF451" i="7"/>
  <c r="AF498" i="7" s="1"/>
  <c r="AC451" i="7"/>
  <c r="AC498" i="7" s="1"/>
  <c r="Z451" i="7"/>
  <c r="Z498" i="7" s="1"/>
  <c r="W451" i="7"/>
  <c r="W498" i="7" s="1"/>
  <c r="H451" i="7"/>
  <c r="H498" i="7" s="1"/>
  <c r="E451" i="7"/>
  <c r="E498" i="7" l="1"/>
  <c r="B451" i="7"/>
  <c r="D488" i="7"/>
  <c r="F488" i="7"/>
  <c r="G488" i="7"/>
  <c r="I488" i="7"/>
  <c r="J488" i="7"/>
  <c r="K488" i="7"/>
  <c r="L488" i="7"/>
  <c r="M488" i="7"/>
  <c r="N488" i="7"/>
  <c r="O488" i="7"/>
  <c r="P488" i="7"/>
  <c r="Q488" i="7"/>
  <c r="R488" i="7"/>
  <c r="S488" i="7"/>
  <c r="T488" i="7"/>
  <c r="U488" i="7"/>
  <c r="V488" i="7"/>
  <c r="X488" i="7"/>
  <c r="Y488" i="7"/>
  <c r="AA488" i="7"/>
  <c r="AB488" i="7"/>
  <c r="AD488" i="7"/>
  <c r="AE488" i="7"/>
  <c r="AG488" i="7"/>
  <c r="AH488" i="7"/>
  <c r="AJ488" i="7"/>
  <c r="AK488" i="7"/>
  <c r="AL488" i="7"/>
  <c r="AS488" i="7"/>
  <c r="AT488" i="7"/>
  <c r="AU488" i="7"/>
  <c r="AV488" i="7"/>
  <c r="AW488" i="7"/>
  <c r="AX488" i="7"/>
  <c r="AY488" i="7"/>
  <c r="AZ488" i="7"/>
  <c r="BB488" i="7"/>
  <c r="BC488" i="7"/>
  <c r="BD488" i="7"/>
  <c r="BE488" i="7"/>
  <c r="BF488" i="7"/>
  <c r="BG488" i="7"/>
  <c r="BH488" i="7"/>
  <c r="BI488" i="7"/>
  <c r="BJ488" i="7"/>
  <c r="BK488" i="7"/>
  <c r="BL488" i="7"/>
  <c r="BM488" i="7"/>
  <c r="BN488" i="7"/>
  <c r="BO488" i="7"/>
  <c r="BP488" i="7"/>
  <c r="BQ488" i="7"/>
  <c r="BR488" i="7"/>
  <c r="BS488" i="7"/>
  <c r="BT488" i="7"/>
  <c r="BU488" i="7"/>
  <c r="BV488" i="7"/>
  <c r="BZ488" i="7"/>
  <c r="CA488" i="7"/>
  <c r="CB488" i="7"/>
  <c r="CF488" i="7"/>
  <c r="CG488" i="7"/>
  <c r="CH488" i="7"/>
  <c r="CI488" i="7"/>
  <c r="CJ488" i="7"/>
  <c r="CK488" i="7"/>
  <c r="CL488" i="7"/>
  <c r="CM488" i="7"/>
  <c r="CN488" i="7"/>
  <c r="CO488" i="7"/>
  <c r="CP488" i="7"/>
  <c r="CQ488" i="7"/>
  <c r="CR488" i="7"/>
  <c r="CS488" i="7"/>
  <c r="CT488" i="7"/>
  <c r="CU488" i="7"/>
  <c r="CV488" i="7"/>
  <c r="CW488" i="7"/>
  <c r="CX488" i="7"/>
  <c r="CY488" i="7"/>
  <c r="CZ488" i="7"/>
  <c r="DA488" i="7"/>
  <c r="DB488" i="7"/>
  <c r="DC488" i="7"/>
  <c r="DD488" i="7"/>
  <c r="DE488" i="7"/>
  <c r="DF488" i="7"/>
  <c r="DG488" i="7"/>
  <c r="DH488" i="7"/>
  <c r="DI488" i="7"/>
  <c r="DM488" i="7"/>
  <c r="DN488" i="7"/>
  <c r="DO488" i="7"/>
  <c r="DP488" i="7"/>
  <c r="DQ488" i="7"/>
  <c r="DR488" i="7"/>
  <c r="DS488" i="7"/>
  <c r="DT488" i="7"/>
  <c r="DU488" i="7"/>
  <c r="DV488" i="7"/>
  <c r="DW488" i="7"/>
  <c r="DX488" i="7"/>
  <c r="DY488" i="7"/>
  <c r="DZ488" i="7"/>
  <c r="EA488" i="7"/>
  <c r="EB488" i="7"/>
  <c r="EC488" i="7"/>
  <c r="ED488" i="7"/>
  <c r="EE488" i="7"/>
  <c r="EF488" i="7"/>
  <c r="EG488" i="7"/>
  <c r="EH488" i="7"/>
  <c r="EI488" i="7"/>
  <c r="EJ488" i="7"/>
  <c r="EK488" i="7"/>
  <c r="EL488" i="7"/>
  <c r="EM488" i="7"/>
  <c r="EN488" i="7"/>
  <c r="EO488" i="7"/>
  <c r="EP488" i="7"/>
  <c r="EQ488" i="7"/>
  <c r="ER488" i="7"/>
  <c r="ES488" i="7"/>
  <c r="ET488" i="7"/>
  <c r="EU488" i="7"/>
  <c r="EV488" i="7"/>
  <c r="EW488" i="7"/>
  <c r="EX488" i="7"/>
  <c r="EY488" i="7"/>
  <c r="EZ488" i="7"/>
  <c r="FA488" i="7"/>
  <c r="FB488" i="7"/>
  <c r="FC488" i="7"/>
  <c r="FD488" i="7"/>
  <c r="FE488" i="7"/>
  <c r="FF488" i="7"/>
  <c r="FG488" i="7"/>
  <c r="FH488" i="7"/>
  <c r="FI488" i="7"/>
  <c r="FJ488" i="7"/>
  <c r="FK488" i="7"/>
  <c r="FL488" i="7"/>
  <c r="FM488" i="7"/>
  <c r="FN488" i="7"/>
  <c r="FO488" i="7"/>
  <c r="FP488" i="7"/>
  <c r="FQ488" i="7"/>
  <c r="FR488" i="7"/>
  <c r="FS488" i="7"/>
  <c r="FT488" i="7"/>
  <c r="FU488" i="7"/>
  <c r="FV488" i="7"/>
  <c r="FW488" i="7"/>
  <c r="FX488" i="7"/>
  <c r="FY488" i="7"/>
  <c r="FZ488" i="7"/>
  <c r="C488" i="7"/>
  <c r="D487" i="7"/>
  <c r="F487" i="7"/>
  <c r="G487" i="7"/>
  <c r="I487" i="7"/>
  <c r="J487" i="7"/>
  <c r="K487" i="7"/>
  <c r="L487" i="7"/>
  <c r="M487" i="7"/>
  <c r="N487" i="7"/>
  <c r="O487" i="7"/>
  <c r="P487" i="7"/>
  <c r="Q487" i="7"/>
  <c r="R487" i="7"/>
  <c r="S487" i="7"/>
  <c r="T487" i="7"/>
  <c r="U487" i="7"/>
  <c r="V487" i="7"/>
  <c r="X487" i="7"/>
  <c r="Y487" i="7"/>
  <c r="AA487" i="7"/>
  <c r="AB487" i="7"/>
  <c r="AD487" i="7"/>
  <c r="AE487" i="7"/>
  <c r="AG487" i="7"/>
  <c r="AH487" i="7"/>
  <c r="AJ487" i="7"/>
  <c r="AK487" i="7"/>
  <c r="AL487" i="7"/>
  <c r="AS487" i="7"/>
  <c r="AT487" i="7"/>
  <c r="AU487" i="7"/>
  <c r="AV487" i="7"/>
  <c r="AW487" i="7"/>
  <c r="AX487" i="7"/>
  <c r="AY487" i="7"/>
  <c r="AZ487" i="7"/>
  <c r="BB487" i="7"/>
  <c r="BC487" i="7"/>
  <c r="BD487" i="7"/>
  <c r="BE487" i="7"/>
  <c r="BF487" i="7"/>
  <c r="BG487" i="7"/>
  <c r="BH487" i="7"/>
  <c r="BI487" i="7"/>
  <c r="BJ487" i="7"/>
  <c r="BK487" i="7"/>
  <c r="BL487" i="7"/>
  <c r="BM487" i="7"/>
  <c r="BN487" i="7"/>
  <c r="BO487" i="7"/>
  <c r="BP487" i="7"/>
  <c r="BQ487" i="7"/>
  <c r="BR487" i="7"/>
  <c r="BS487" i="7"/>
  <c r="BT487" i="7"/>
  <c r="BU487" i="7"/>
  <c r="BV487" i="7"/>
  <c r="BZ487" i="7"/>
  <c r="CA487" i="7"/>
  <c r="CB487" i="7"/>
  <c r="CF487" i="7"/>
  <c r="CG487" i="7"/>
  <c r="CH487" i="7"/>
  <c r="CI487" i="7"/>
  <c r="CJ487" i="7"/>
  <c r="CK487" i="7"/>
  <c r="CL487" i="7"/>
  <c r="CM487" i="7"/>
  <c r="CN487" i="7"/>
  <c r="CO487" i="7"/>
  <c r="CP487" i="7"/>
  <c r="CQ487" i="7"/>
  <c r="CR487" i="7"/>
  <c r="CS487" i="7"/>
  <c r="CT487" i="7"/>
  <c r="CU487" i="7"/>
  <c r="CV487" i="7"/>
  <c r="CW487" i="7"/>
  <c r="CX487" i="7"/>
  <c r="CY487" i="7"/>
  <c r="CZ487" i="7"/>
  <c r="DA487" i="7"/>
  <c r="DB487" i="7"/>
  <c r="DC487" i="7"/>
  <c r="DD487" i="7"/>
  <c r="DE487" i="7"/>
  <c r="DF487" i="7"/>
  <c r="DG487" i="7"/>
  <c r="DH487" i="7"/>
  <c r="DI487" i="7"/>
  <c r="DM487" i="7"/>
  <c r="DN487" i="7"/>
  <c r="DO487" i="7"/>
  <c r="DP487" i="7"/>
  <c r="DQ487" i="7"/>
  <c r="DR487" i="7"/>
  <c r="DS487" i="7"/>
  <c r="DT487" i="7"/>
  <c r="DU487" i="7"/>
  <c r="DV487" i="7"/>
  <c r="DW487" i="7"/>
  <c r="DX487" i="7"/>
  <c r="DY487" i="7"/>
  <c r="DZ487" i="7"/>
  <c r="EA487" i="7"/>
  <c r="EB487" i="7"/>
  <c r="EC487" i="7"/>
  <c r="ED487" i="7"/>
  <c r="EE487" i="7"/>
  <c r="EF487" i="7"/>
  <c r="EG487" i="7"/>
  <c r="EH487" i="7"/>
  <c r="EI487" i="7"/>
  <c r="EJ487" i="7"/>
  <c r="EK487" i="7"/>
  <c r="EL487" i="7"/>
  <c r="EM487" i="7"/>
  <c r="EN487" i="7"/>
  <c r="EO487" i="7"/>
  <c r="EP487" i="7"/>
  <c r="EQ487" i="7"/>
  <c r="ER487" i="7"/>
  <c r="ES487" i="7"/>
  <c r="ET487" i="7"/>
  <c r="EU487" i="7"/>
  <c r="EV487" i="7"/>
  <c r="EW487" i="7"/>
  <c r="EX487" i="7"/>
  <c r="EY487" i="7"/>
  <c r="EZ487" i="7"/>
  <c r="FA487" i="7"/>
  <c r="FB487" i="7"/>
  <c r="FC487" i="7"/>
  <c r="FD487" i="7"/>
  <c r="FE487" i="7"/>
  <c r="FF487" i="7"/>
  <c r="FG487" i="7"/>
  <c r="FH487" i="7"/>
  <c r="FI487" i="7"/>
  <c r="FJ487" i="7"/>
  <c r="FK487" i="7"/>
  <c r="FL487" i="7"/>
  <c r="FM487" i="7"/>
  <c r="FN487" i="7"/>
  <c r="FO487" i="7"/>
  <c r="FP487" i="7"/>
  <c r="FQ487" i="7"/>
  <c r="FR487" i="7"/>
  <c r="FS487" i="7"/>
  <c r="FT487" i="7"/>
  <c r="FU487" i="7"/>
  <c r="FV487" i="7"/>
  <c r="FW487" i="7"/>
  <c r="FX487" i="7"/>
  <c r="FY487" i="7"/>
  <c r="FZ487" i="7"/>
  <c r="C487" i="7"/>
  <c r="FX481" i="7"/>
  <c r="FY481" i="7"/>
  <c r="FZ481" i="7"/>
  <c r="FX482" i="7"/>
  <c r="FY482" i="7"/>
  <c r="FZ482" i="7"/>
  <c r="FX483" i="7"/>
  <c r="FY483" i="7"/>
  <c r="FZ483" i="7"/>
  <c r="FX484" i="7"/>
  <c r="FY484" i="7"/>
  <c r="FZ484" i="7"/>
  <c r="FX485" i="7"/>
  <c r="FY485" i="7"/>
  <c r="FZ485" i="7"/>
  <c r="FX486" i="7"/>
  <c r="FY486" i="7"/>
  <c r="FZ486" i="7"/>
  <c r="FX489" i="7"/>
  <c r="FY489" i="7"/>
  <c r="FZ489" i="7"/>
  <c r="FX491" i="7"/>
  <c r="FY491" i="7"/>
  <c r="FZ491" i="7"/>
  <c r="FX493" i="7"/>
  <c r="FY493" i="7"/>
  <c r="FZ493" i="7"/>
  <c r="FX495" i="7"/>
  <c r="FY495" i="7"/>
  <c r="FZ495" i="7"/>
  <c r="FX497" i="7"/>
  <c r="FY497" i="7"/>
  <c r="FZ497" i="7"/>
  <c r="EZ480" i="7"/>
  <c r="FA480" i="7"/>
  <c r="FB480" i="7"/>
  <c r="FC480" i="7"/>
  <c r="FD480" i="7"/>
  <c r="FE480" i="7"/>
  <c r="FF480" i="7"/>
  <c r="FG480" i="7"/>
  <c r="FH480" i="7"/>
  <c r="EZ481" i="7"/>
  <c r="FA481" i="7"/>
  <c r="FB481" i="7"/>
  <c r="FC481" i="7"/>
  <c r="FD481" i="7"/>
  <c r="FE481" i="7"/>
  <c r="FF481" i="7"/>
  <c r="FG481" i="7"/>
  <c r="FH481" i="7"/>
  <c r="EZ482" i="7"/>
  <c r="FA482" i="7"/>
  <c r="FB482" i="7"/>
  <c r="FC482" i="7"/>
  <c r="FD482" i="7"/>
  <c r="FE482" i="7"/>
  <c r="FF482" i="7"/>
  <c r="FG482" i="7"/>
  <c r="FH482" i="7"/>
  <c r="EZ483" i="7"/>
  <c r="FA483" i="7"/>
  <c r="FB483" i="7"/>
  <c r="FC483" i="7"/>
  <c r="FD483" i="7"/>
  <c r="FE483" i="7"/>
  <c r="FF483" i="7"/>
  <c r="FG483" i="7"/>
  <c r="FH483" i="7"/>
  <c r="EZ484" i="7"/>
  <c r="FA484" i="7"/>
  <c r="FB484" i="7"/>
  <c r="FC484" i="7"/>
  <c r="FD484" i="7"/>
  <c r="FE484" i="7"/>
  <c r="FF484" i="7"/>
  <c r="FG484" i="7"/>
  <c r="FH484" i="7"/>
  <c r="EZ485" i="7"/>
  <c r="FA485" i="7"/>
  <c r="FB485" i="7"/>
  <c r="FC485" i="7"/>
  <c r="FD485" i="7"/>
  <c r="FE485" i="7"/>
  <c r="FF485" i="7"/>
  <c r="FG485" i="7"/>
  <c r="FH485" i="7"/>
  <c r="EZ486" i="7"/>
  <c r="FA486" i="7"/>
  <c r="FB486" i="7"/>
  <c r="FC486" i="7"/>
  <c r="FD486" i="7"/>
  <c r="FE486" i="7"/>
  <c r="FF486" i="7"/>
  <c r="FG486" i="7"/>
  <c r="FH486" i="7"/>
  <c r="EZ489" i="7"/>
  <c r="FA489" i="7"/>
  <c r="FB489" i="7"/>
  <c r="FC489" i="7"/>
  <c r="FD489" i="7"/>
  <c r="FE489" i="7"/>
  <c r="FF489" i="7"/>
  <c r="FG489" i="7"/>
  <c r="FH489" i="7"/>
  <c r="EZ491" i="7"/>
  <c r="FA491" i="7"/>
  <c r="FB491" i="7"/>
  <c r="FC491" i="7"/>
  <c r="FD491" i="7"/>
  <c r="FE491" i="7"/>
  <c r="FF491" i="7"/>
  <c r="FG491" i="7"/>
  <c r="FH491" i="7"/>
  <c r="EZ493" i="7"/>
  <c r="FA493" i="7"/>
  <c r="FB493" i="7"/>
  <c r="FC493" i="7"/>
  <c r="FD493" i="7"/>
  <c r="FE493" i="7"/>
  <c r="FF493" i="7"/>
  <c r="FG493" i="7"/>
  <c r="FH493" i="7"/>
  <c r="EZ495" i="7"/>
  <c r="FA495" i="7"/>
  <c r="FB495" i="7"/>
  <c r="FC495" i="7"/>
  <c r="FD495" i="7"/>
  <c r="FE495" i="7"/>
  <c r="FF495" i="7"/>
  <c r="FG495" i="7"/>
  <c r="FH495" i="7"/>
  <c r="EZ497" i="7"/>
  <c r="FA497" i="7"/>
  <c r="FB497" i="7"/>
  <c r="FC497" i="7"/>
  <c r="FD497" i="7"/>
  <c r="FE497" i="7"/>
  <c r="FF497" i="7"/>
  <c r="FG497" i="7"/>
  <c r="FH497" i="7"/>
  <c r="ET480" i="7"/>
  <c r="EU480" i="7"/>
  <c r="EV480" i="7"/>
  <c r="ET481" i="7"/>
  <c r="EU481" i="7"/>
  <c r="EV481" i="7"/>
  <c r="ET482" i="7"/>
  <c r="EU482" i="7"/>
  <c r="EV482" i="7"/>
  <c r="ET483" i="7"/>
  <c r="EU483" i="7"/>
  <c r="EV483" i="7"/>
  <c r="ET484" i="7"/>
  <c r="EU484" i="7"/>
  <c r="EV484" i="7"/>
  <c r="ET485" i="7"/>
  <c r="EU485" i="7"/>
  <c r="EV485" i="7"/>
  <c r="ET486" i="7"/>
  <c r="EU486" i="7"/>
  <c r="EV486" i="7"/>
  <c r="ET489" i="7"/>
  <c r="EU489" i="7"/>
  <c r="EV489" i="7"/>
  <c r="ET491" i="7"/>
  <c r="EU491" i="7"/>
  <c r="EV491" i="7"/>
  <c r="ET493" i="7"/>
  <c r="EU493" i="7"/>
  <c r="EV493" i="7"/>
  <c r="ET495" i="7"/>
  <c r="EU495" i="7"/>
  <c r="EV495" i="7"/>
  <c r="ET497" i="7"/>
  <c r="EU497" i="7"/>
  <c r="EV497" i="7"/>
  <c r="EN480" i="7"/>
  <c r="EO480" i="7"/>
  <c r="EP480" i="7"/>
  <c r="EN481" i="7"/>
  <c r="EO481" i="7"/>
  <c r="EP481" i="7"/>
  <c r="EN482" i="7"/>
  <c r="EO482" i="7"/>
  <c r="EP482" i="7"/>
  <c r="EN483" i="7"/>
  <c r="EO483" i="7"/>
  <c r="EP483" i="7"/>
  <c r="EN484" i="7"/>
  <c r="EO484" i="7"/>
  <c r="EP484" i="7"/>
  <c r="EN485" i="7"/>
  <c r="EO485" i="7"/>
  <c r="EP485" i="7"/>
  <c r="EN486" i="7"/>
  <c r="EO486" i="7"/>
  <c r="EP486" i="7"/>
  <c r="EN489" i="7"/>
  <c r="EO489" i="7"/>
  <c r="EP489" i="7"/>
  <c r="EN491" i="7"/>
  <c r="EO491" i="7"/>
  <c r="EP491" i="7"/>
  <c r="EN493" i="7"/>
  <c r="EO493" i="7"/>
  <c r="EP493" i="7"/>
  <c r="EN495" i="7"/>
  <c r="EO495" i="7"/>
  <c r="EP495" i="7"/>
  <c r="EN497" i="7"/>
  <c r="EO497" i="7"/>
  <c r="EP497" i="7"/>
  <c r="EH480" i="7"/>
  <c r="EI480" i="7"/>
  <c r="EJ480" i="7"/>
  <c r="EH481" i="7"/>
  <c r="EI481" i="7"/>
  <c r="EJ481" i="7"/>
  <c r="EH482" i="7"/>
  <c r="EI482" i="7"/>
  <c r="EJ482" i="7"/>
  <c r="EH483" i="7"/>
  <c r="EI483" i="7"/>
  <c r="EJ483" i="7"/>
  <c r="EH484" i="7"/>
  <c r="EI484" i="7"/>
  <c r="EJ484" i="7"/>
  <c r="EH485" i="7"/>
  <c r="EI485" i="7"/>
  <c r="EJ485" i="7"/>
  <c r="EH486" i="7"/>
  <c r="EI486" i="7"/>
  <c r="EJ486" i="7"/>
  <c r="EH489" i="7"/>
  <c r="EI489" i="7"/>
  <c r="EJ489" i="7"/>
  <c r="EH491" i="7"/>
  <c r="EI491" i="7"/>
  <c r="EJ491" i="7"/>
  <c r="EH493" i="7"/>
  <c r="EI493" i="7"/>
  <c r="EJ493" i="7"/>
  <c r="EH495" i="7"/>
  <c r="EI495" i="7"/>
  <c r="EJ495" i="7"/>
  <c r="EH497" i="7"/>
  <c r="EI497" i="7"/>
  <c r="EJ497" i="7"/>
  <c r="EB480" i="7"/>
  <c r="EC480" i="7"/>
  <c r="ED480" i="7"/>
  <c r="EB481" i="7"/>
  <c r="EC481" i="7"/>
  <c r="ED481" i="7"/>
  <c r="EB482" i="7"/>
  <c r="EC482" i="7"/>
  <c r="ED482" i="7"/>
  <c r="EB483" i="7"/>
  <c r="EC483" i="7"/>
  <c r="ED483" i="7"/>
  <c r="EB484" i="7"/>
  <c r="EC484" i="7"/>
  <c r="ED484" i="7"/>
  <c r="EB485" i="7"/>
  <c r="EC485" i="7"/>
  <c r="ED485" i="7"/>
  <c r="EB486" i="7"/>
  <c r="EC486" i="7"/>
  <c r="ED486" i="7"/>
  <c r="EB489" i="7"/>
  <c r="EC489" i="7"/>
  <c r="ED489" i="7"/>
  <c r="EB491" i="7"/>
  <c r="EC491" i="7"/>
  <c r="ED491" i="7"/>
  <c r="EB493" i="7"/>
  <c r="EC493" i="7"/>
  <c r="ED493" i="7"/>
  <c r="EB495" i="7"/>
  <c r="EC495" i="7"/>
  <c r="ED495" i="7"/>
  <c r="EB497" i="7"/>
  <c r="EC497" i="7"/>
  <c r="ED497" i="7"/>
  <c r="DS480" i="7"/>
  <c r="DT480" i="7"/>
  <c r="DU480" i="7"/>
  <c r="DV480" i="7"/>
  <c r="DW480" i="7"/>
  <c r="DX480" i="7"/>
  <c r="DS481" i="7"/>
  <c r="DT481" i="7"/>
  <c r="DU481" i="7"/>
  <c r="DV481" i="7"/>
  <c r="DW481" i="7"/>
  <c r="DX481" i="7"/>
  <c r="DS482" i="7"/>
  <c r="DT482" i="7"/>
  <c r="DU482" i="7"/>
  <c r="DV482" i="7"/>
  <c r="DW482" i="7"/>
  <c r="DX482" i="7"/>
  <c r="DS483" i="7"/>
  <c r="DT483" i="7"/>
  <c r="DU483" i="7"/>
  <c r="DV483" i="7"/>
  <c r="DW483" i="7"/>
  <c r="DX483" i="7"/>
  <c r="DS484" i="7"/>
  <c r="DT484" i="7"/>
  <c r="DU484" i="7"/>
  <c r="DV484" i="7"/>
  <c r="DW484" i="7"/>
  <c r="DX484" i="7"/>
  <c r="DS485" i="7"/>
  <c r="DT485" i="7"/>
  <c r="DU485" i="7"/>
  <c r="DV485" i="7"/>
  <c r="DW485" i="7"/>
  <c r="DX485" i="7"/>
  <c r="DS486" i="7"/>
  <c r="DT486" i="7"/>
  <c r="DU486" i="7"/>
  <c r="DV486" i="7"/>
  <c r="DW486" i="7"/>
  <c r="DX486" i="7"/>
  <c r="DS489" i="7"/>
  <c r="DT489" i="7"/>
  <c r="DU489" i="7"/>
  <c r="DV489" i="7"/>
  <c r="DW489" i="7"/>
  <c r="DX489" i="7"/>
  <c r="DS491" i="7"/>
  <c r="DT491" i="7"/>
  <c r="DU491" i="7"/>
  <c r="DV491" i="7"/>
  <c r="DW491" i="7"/>
  <c r="DX491" i="7"/>
  <c r="DS493" i="7"/>
  <c r="DT493" i="7"/>
  <c r="DU493" i="7"/>
  <c r="DV493" i="7"/>
  <c r="DW493" i="7"/>
  <c r="DX493" i="7"/>
  <c r="DS495" i="7"/>
  <c r="DT495" i="7"/>
  <c r="DU495" i="7"/>
  <c r="DV495" i="7"/>
  <c r="DW495" i="7"/>
  <c r="DX495" i="7"/>
  <c r="DS497" i="7"/>
  <c r="DT497" i="7"/>
  <c r="DU497" i="7"/>
  <c r="DV497" i="7"/>
  <c r="DW497" i="7"/>
  <c r="DX497" i="7"/>
  <c r="DD480" i="7"/>
  <c r="DE480" i="7"/>
  <c r="DF480" i="7"/>
  <c r="DD481" i="7"/>
  <c r="DE481" i="7"/>
  <c r="DF481" i="7"/>
  <c r="DD482" i="7"/>
  <c r="DE482" i="7"/>
  <c r="DF482" i="7"/>
  <c r="DD483" i="7"/>
  <c r="DE483" i="7"/>
  <c r="DF483" i="7"/>
  <c r="DD484" i="7"/>
  <c r="DE484" i="7"/>
  <c r="DF484" i="7"/>
  <c r="DD485" i="7"/>
  <c r="DE485" i="7"/>
  <c r="DF485" i="7"/>
  <c r="DD486" i="7"/>
  <c r="DE486" i="7"/>
  <c r="DF486" i="7"/>
  <c r="DD489" i="7"/>
  <c r="DE489" i="7"/>
  <c r="DF489" i="7"/>
  <c r="DD491" i="7"/>
  <c r="DE491" i="7"/>
  <c r="DF491" i="7"/>
  <c r="DD493" i="7"/>
  <c r="DE493" i="7"/>
  <c r="DF493" i="7"/>
  <c r="DD495" i="7"/>
  <c r="DE495" i="7"/>
  <c r="DF495" i="7"/>
  <c r="DD497" i="7"/>
  <c r="DE497" i="7"/>
  <c r="DF497" i="7"/>
  <c r="CX480" i="7"/>
  <c r="CY480" i="7"/>
  <c r="CZ480" i="7"/>
  <c r="CX481" i="7"/>
  <c r="CY481" i="7"/>
  <c r="CZ481" i="7"/>
  <c r="CX482" i="7"/>
  <c r="CY482" i="7"/>
  <c r="CZ482" i="7"/>
  <c r="CX483" i="7"/>
  <c r="CY483" i="7"/>
  <c r="CZ483" i="7"/>
  <c r="CX484" i="7"/>
  <c r="CY484" i="7"/>
  <c r="CZ484" i="7"/>
  <c r="CX485" i="7"/>
  <c r="CY485" i="7"/>
  <c r="CZ485" i="7"/>
  <c r="CX486" i="7"/>
  <c r="CY486" i="7"/>
  <c r="CZ486" i="7"/>
  <c r="CX489" i="7"/>
  <c r="CY489" i="7"/>
  <c r="CZ489" i="7"/>
  <c r="CX491" i="7"/>
  <c r="CY491" i="7"/>
  <c r="CZ491" i="7"/>
  <c r="CX493" i="7"/>
  <c r="CY493" i="7"/>
  <c r="CZ493" i="7"/>
  <c r="CX495" i="7"/>
  <c r="CY495" i="7"/>
  <c r="CZ495" i="7"/>
  <c r="CX497" i="7"/>
  <c r="CY497" i="7"/>
  <c r="CZ497" i="7"/>
  <c r="CR480" i="7"/>
  <c r="CS480" i="7"/>
  <c r="CT480" i="7"/>
  <c r="CR481" i="7"/>
  <c r="CS481" i="7"/>
  <c r="CT481" i="7"/>
  <c r="CR482" i="7"/>
  <c r="CS482" i="7"/>
  <c r="CT482" i="7"/>
  <c r="CR483" i="7"/>
  <c r="CS483" i="7"/>
  <c r="CT483" i="7"/>
  <c r="CR484" i="7"/>
  <c r="CS484" i="7"/>
  <c r="CT484" i="7"/>
  <c r="CR485" i="7"/>
  <c r="CS485" i="7"/>
  <c r="CT485" i="7"/>
  <c r="CR486" i="7"/>
  <c r="CS486" i="7"/>
  <c r="CT486" i="7"/>
  <c r="CR489" i="7"/>
  <c r="CS489" i="7"/>
  <c r="CT489" i="7"/>
  <c r="CR491" i="7"/>
  <c r="CS491" i="7"/>
  <c r="CT491" i="7"/>
  <c r="CR493" i="7"/>
  <c r="CS493" i="7"/>
  <c r="CT493" i="7"/>
  <c r="CR495" i="7"/>
  <c r="CS495" i="7"/>
  <c r="CT495" i="7"/>
  <c r="CR497" i="7"/>
  <c r="CS497" i="7"/>
  <c r="CT497" i="7"/>
  <c r="CL480" i="7"/>
  <c r="CM480" i="7"/>
  <c r="CN480" i="7"/>
  <c r="CL481" i="7"/>
  <c r="CM481" i="7"/>
  <c r="CN481" i="7"/>
  <c r="CL482" i="7"/>
  <c r="CM482" i="7"/>
  <c r="CN482" i="7"/>
  <c r="CL483" i="7"/>
  <c r="CM483" i="7"/>
  <c r="CN483" i="7"/>
  <c r="CL484" i="7"/>
  <c r="CM484" i="7"/>
  <c r="CN484" i="7"/>
  <c r="CL485" i="7"/>
  <c r="CM485" i="7"/>
  <c r="CN485" i="7"/>
  <c r="CL486" i="7"/>
  <c r="CM486" i="7"/>
  <c r="CN486" i="7"/>
  <c r="CL489" i="7"/>
  <c r="CM489" i="7"/>
  <c r="CN489" i="7"/>
  <c r="CL491" i="7"/>
  <c r="CM491" i="7"/>
  <c r="CN491" i="7"/>
  <c r="CL493" i="7"/>
  <c r="CM493" i="7"/>
  <c r="CN493" i="7"/>
  <c r="CL495" i="7"/>
  <c r="CM495" i="7"/>
  <c r="CN495" i="7"/>
  <c r="CL497" i="7"/>
  <c r="CM497" i="7"/>
  <c r="CN497" i="7"/>
  <c r="BT480" i="7"/>
  <c r="BU480" i="7"/>
  <c r="BV480" i="7"/>
  <c r="BT481" i="7"/>
  <c r="BU481" i="7"/>
  <c r="BV481" i="7"/>
  <c r="BT482" i="7"/>
  <c r="BU482" i="7"/>
  <c r="BV482" i="7"/>
  <c r="BT483" i="7"/>
  <c r="BU483" i="7"/>
  <c r="BV483" i="7"/>
  <c r="BT484" i="7"/>
  <c r="BU484" i="7"/>
  <c r="BV484" i="7"/>
  <c r="BT485" i="7"/>
  <c r="BU485" i="7"/>
  <c r="BV485" i="7"/>
  <c r="BT486" i="7"/>
  <c r="BU486" i="7"/>
  <c r="BV486" i="7"/>
  <c r="BT489" i="7"/>
  <c r="BU489" i="7"/>
  <c r="BV489" i="7"/>
  <c r="BT491" i="7"/>
  <c r="BU491" i="7"/>
  <c r="BV491" i="7"/>
  <c r="BT493" i="7"/>
  <c r="BU493" i="7"/>
  <c r="BV493" i="7"/>
  <c r="BT495" i="7"/>
  <c r="BU495" i="7"/>
  <c r="BV495" i="7"/>
  <c r="BT497" i="7"/>
  <c r="BU497" i="7"/>
  <c r="BV497" i="7"/>
  <c r="BN480" i="7"/>
  <c r="BO480" i="7"/>
  <c r="BP480" i="7"/>
  <c r="BN481" i="7"/>
  <c r="BO481" i="7"/>
  <c r="BP481" i="7"/>
  <c r="BN482" i="7"/>
  <c r="BO482" i="7"/>
  <c r="BP482" i="7"/>
  <c r="BN483" i="7"/>
  <c r="BO483" i="7"/>
  <c r="BP483" i="7"/>
  <c r="BN484" i="7"/>
  <c r="BO484" i="7"/>
  <c r="BP484" i="7"/>
  <c r="BN485" i="7"/>
  <c r="BO485" i="7"/>
  <c r="BP485" i="7"/>
  <c r="BN486" i="7"/>
  <c r="BO486" i="7"/>
  <c r="BP486" i="7"/>
  <c r="BN489" i="7"/>
  <c r="BO489" i="7"/>
  <c r="BP489" i="7"/>
  <c r="BN491" i="7"/>
  <c r="BO491" i="7"/>
  <c r="BP491" i="7"/>
  <c r="BN493" i="7"/>
  <c r="BO493" i="7"/>
  <c r="BP493" i="7"/>
  <c r="BN495" i="7"/>
  <c r="BO495" i="7"/>
  <c r="BP495" i="7"/>
  <c r="BN497" i="7"/>
  <c r="BO497" i="7"/>
  <c r="BP497" i="7"/>
  <c r="BH480" i="7"/>
  <c r="BI480" i="7"/>
  <c r="BJ480" i="7"/>
  <c r="BH481" i="7"/>
  <c r="BI481" i="7"/>
  <c r="BJ481" i="7"/>
  <c r="BH482" i="7"/>
  <c r="BI482" i="7"/>
  <c r="BJ482" i="7"/>
  <c r="BH483" i="7"/>
  <c r="BI483" i="7"/>
  <c r="BJ483" i="7"/>
  <c r="BH484" i="7"/>
  <c r="BI484" i="7"/>
  <c r="BJ484" i="7"/>
  <c r="BH485" i="7"/>
  <c r="BI485" i="7"/>
  <c r="BJ485" i="7"/>
  <c r="BH486" i="7"/>
  <c r="BI486" i="7"/>
  <c r="BJ486" i="7"/>
  <c r="BH489" i="7"/>
  <c r="BI489" i="7"/>
  <c r="BJ489" i="7"/>
  <c r="BH491" i="7"/>
  <c r="BI491" i="7"/>
  <c r="BJ491" i="7"/>
  <c r="BH493" i="7"/>
  <c r="BI493" i="7"/>
  <c r="BJ493" i="7"/>
  <c r="BH495" i="7"/>
  <c r="BI495" i="7"/>
  <c r="BJ495" i="7"/>
  <c r="BH497" i="7"/>
  <c r="BI497" i="7"/>
  <c r="BJ497" i="7"/>
  <c r="E498" i="3" l="1"/>
  <c r="D498" i="3" s="1"/>
  <c r="F13" i="3" l="1"/>
  <c r="L162" i="6"/>
  <c r="L103" i="6"/>
  <c r="L44" i="6"/>
  <c r="L221" i="6"/>
  <c r="FZ4" i="7" l="1"/>
  <c r="FY4" i="7"/>
  <c r="FX4" i="7"/>
  <c r="L239" i="6"/>
  <c r="L233" i="6"/>
  <c r="L232" i="6"/>
  <c r="L231" i="6"/>
  <c r="L229" i="6"/>
  <c r="L227" i="6"/>
  <c r="L225" i="6"/>
  <c r="FH4" i="7"/>
  <c r="FG4" i="7"/>
  <c r="FF4" i="7"/>
  <c r="FE4" i="7"/>
  <c r="FD4" i="7"/>
  <c r="FC4" i="7"/>
  <c r="FB4" i="7"/>
  <c r="FA4" i="7"/>
  <c r="EZ4" i="7"/>
  <c r="EV4" i="7"/>
  <c r="EU4" i="7"/>
  <c r="ET4" i="7"/>
  <c r="EP4" i="7"/>
  <c r="EO4" i="7"/>
  <c r="EN4" i="7"/>
  <c r="EJ4" i="7"/>
  <c r="EI4" i="7"/>
  <c r="EH4" i="7"/>
  <c r="DX4" i="7"/>
  <c r="DW4" i="7"/>
  <c r="DV4" i="7"/>
  <c r="L220" i="6"/>
  <c r="DU4" i="7"/>
  <c r="DT4" i="7"/>
  <c r="DS4" i="7"/>
  <c r="L223" i="6"/>
  <c r="ED4" i="7"/>
  <c r="EC4" i="7"/>
  <c r="EB4" i="7"/>
  <c r="L215" i="6"/>
  <c r="DF4" i="7"/>
  <c r="DE4" i="7"/>
  <c r="DD4" i="7"/>
  <c r="L213" i="6"/>
  <c r="L211" i="6"/>
  <c r="CZ4" i="7"/>
  <c r="CY4" i="7"/>
  <c r="CX4" i="7"/>
  <c r="CT4" i="7"/>
  <c r="CS4" i="7"/>
  <c r="CR4" i="7"/>
  <c r="CN4" i="7"/>
  <c r="CM4" i="7"/>
  <c r="CL4" i="7"/>
  <c r="L209" i="6"/>
  <c r="BV4" i="7"/>
  <c r="BU4" i="7"/>
  <c r="BT4" i="7"/>
  <c r="L203" i="6"/>
  <c r="L201" i="6"/>
  <c r="BP4" i="7"/>
  <c r="BO4" i="7"/>
  <c r="BN4" i="7"/>
  <c r="BG486" i="7"/>
  <c r="BG481" i="7"/>
  <c r="BJ4" i="7"/>
  <c r="BI4" i="7"/>
  <c r="BH4" i="7"/>
  <c r="L199" i="6"/>
  <c r="E497" i="3" l="1"/>
  <c r="D497" i="3" s="1"/>
  <c r="E496" i="3" l="1"/>
  <c r="D496" i="3" s="1"/>
  <c r="E495" i="3" l="1"/>
  <c r="D495" i="3" s="1"/>
  <c r="E494" i="3" l="1"/>
  <c r="D494" i="3" s="1"/>
  <c r="E493" i="3" l="1"/>
  <c r="D493" i="3" s="1"/>
  <c r="BA439" i="7"/>
  <c r="E488" i="3" l="1"/>
  <c r="D488" i="3" s="1"/>
  <c r="E489" i="3"/>
  <c r="D489" i="3" s="1"/>
  <c r="E490" i="3"/>
  <c r="D490" i="3" s="1"/>
  <c r="E491" i="3"/>
  <c r="D491" i="3" s="1"/>
  <c r="E492" i="3"/>
  <c r="D492" i="3" s="1"/>
  <c r="E487" i="3"/>
  <c r="D487" i="3" s="1"/>
  <c r="D486" i="3" s="1"/>
  <c r="BA450" i="7" l="1"/>
  <c r="BA449" i="7"/>
  <c r="BA448" i="7"/>
  <c r="BA447" i="7"/>
  <c r="BA446" i="7"/>
  <c r="BA445" i="7"/>
  <c r="BA444" i="7"/>
  <c r="BA443" i="7"/>
  <c r="BA442" i="7"/>
  <c r="BA441" i="7"/>
  <c r="BA440" i="7"/>
  <c r="AO450" i="7"/>
  <c r="AO449" i="7"/>
  <c r="AO448" i="7"/>
  <c r="AO447" i="7"/>
  <c r="AO446" i="7"/>
  <c r="AO445" i="7"/>
  <c r="AO444" i="7"/>
  <c r="AO443" i="7"/>
  <c r="AO442" i="7"/>
  <c r="AO441" i="7"/>
  <c r="AO440" i="7"/>
  <c r="AO439" i="7"/>
  <c r="AI450" i="7"/>
  <c r="AI449" i="7"/>
  <c r="AI448" i="7"/>
  <c r="AI447" i="7"/>
  <c r="AI446" i="7"/>
  <c r="AI445" i="7"/>
  <c r="AI444" i="7"/>
  <c r="AI443" i="7"/>
  <c r="AI442" i="7"/>
  <c r="AI441" i="7"/>
  <c r="AI440" i="7"/>
  <c r="AI439" i="7"/>
  <c r="AF450" i="7"/>
  <c r="AF449" i="7"/>
  <c r="AF448" i="7"/>
  <c r="AF447" i="7"/>
  <c r="AF446" i="7"/>
  <c r="AF445" i="7"/>
  <c r="AF444" i="7"/>
  <c r="AF443" i="7"/>
  <c r="AF442" i="7"/>
  <c r="AF441" i="7"/>
  <c r="AF440" i="7"/>
  <c r="AF439" i="7"/>
  <c r="AC450" i="7"/>
  <c r="AC449" i="7"/>
  <c r="AC448" i="7"/>
  <c r="AC447" i="7"/>
  <c r="AC446" i="7"/>
  <c r="AC445" i="7"/>
  <c r="AC444" i="7"/>
  <c r="AC443" i="7"/>
  <c r="AC442" i="7"/>
  <c r="AC441" i="7"/>
  <c r="AC440" i="7"/>
  <c r="AC439" i="7"/>
  <c r="Z450" i="7"/>
  <c r="Z449" i="7"/>
  <c r="Z448" i="7"/>
  <c r="Z447" i="7"/>
  <c r="Z446" i="7"/>
  <c r="Z445" i="7"/>
  <c r="Z444" i="7"/>
  <c r="Z443" i="7"/>
  <c r="Z442" i="7"/>
  <c r="Z441" i="7"/>
  <c r="Z440" i="7"/>
  <c r="Z439" i="7"/>
  <c r="W450" i="7"/>
  <c r="W449" i="7"/>
  <c r="W448" i="7"/>
  <c r="W447" i="7"/>
  <c r="W446" i="7"/>
  <c r="W445" i="7"/>
  <c r="W444" i="7"/>
  <c r="W443" i="7"/>
  <c r="W442" i="7"/>
  <c r="W441" i="7"/>
  <c r="W440" i="7"/>
  <c r="W439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E450" i="7"/>
  <c r="E449" i="7"/>
  <c r="E448" i="7"/>
  <c r="E447" i="7"/>
  <c r="E446" i="7"/>
  <c r="E445" i="7"/>
  <c r="B445" i="7" s="1"/>
  <c r="E444" i="7"/>
  <c r="B444" i="7" s="1"/>
  <c r="E443" i="7"/>
  <c r="B443" i="7" s="1"/>
  <c r="E442" i="7"/>
  <c r="B442" i="7" s="1"/>
  <c r="E441" i="7"/>
  <c r="E440" i="7"/>
  <c r="E439" i="7"/>
  <c r="FW497" i="7"/>
  <c r="FV497" i="7"/>
  <c r="FU497" i="7"/>
  <c r="FT497" i="7"/>
  <c r="FS497" i="7"/>
  <c r="FR497" i="7"/>
  <c r="FQ497" i="7"/>
  <c r="FP497" i="7"/>
  <c r="FO497" i="7"/>
  <c r="FN497" i="7"/>
  <c r="FM497" i="7"/>
  <c r="FL497" i="7"/>
  <c r="FJ497" i="7"/>
  <c r="FI497" i="7"/>
  <c r="EY497" i="7"/>
  <c r="EX497" i="7"/>
  <c r="EW497" i="7"/>
  <c r="ES497" i="7"/>
  <c r="ER497" i="7"/>
  <c r="EQ497" i="7"/>
  <c r="EM497" i="7"/>
  <c r="EL497" i="7"/>
  <c r="EK497" i="7"/>
  <c r="EG497" i="7"/>
  <c r="EF497" i="7"/>
  <c r="EE497" i="7"/>
  <c r="EA497" i="7"/>
  <c r="DZ497" i="7"/>
  <c r="DY497" i="7"/>
  <c r="DQ497" i="7"/>
  <c r="DP497" i="7"/>
  <c r="DO497" i="7"/>
  <c r="DN497" i="7"/>
  <c r="DM497" i="7"/>
  <c r="DI497" i="7"/>
  <c r="DH497" i="7"/>
  <c r="DG497" i="7"/>
  <c r="DC497" i="7"/>
  <c r="DB497" i="7"/>
  <c r="DA497" i="7"/>
  <c r="CW497" i="7"/>
  <c r="CV497" i="7"/>
  <c r="CU497" i="7"/>
  <c r="CQ497" i="7"/>
  <c r="CP497" i="7"/>
  <c r="CO497" i="7"/>
  <c r="CK497" i="7"/>
  <c r="CJ497" i="7"/>
  <c r="CI497" i="7"/>
  <c r="CH497" i="7"/>
  <c r="CG497" i="7"/>
  <c r="CF497" i="7"/>
  <c r="CB497" i="7"/>
  <c r="CA497" i="7"/>
  <c r="BZ497" i="7"/>
  <c r="BS497" i="7"/>
  <c r="BR497" i="7"/>
  <c r="BQ497" i="7"/>
  <c r="BM497" i="7"/>
  <c r="BL497" i="7"/>
  <c r="BK497" i="7"/>
  <c r="BG497" i="7"/>
  <c r="BF497" i="7"/>
  <c r="BE497" i="7"/>
  <c r="BD497" i="7"/>
  <c r="BC497" i="7"/>
  <c r="BB497" i="7"/>
  <c r="AZ497" i="7"/>
  <c r="AY497" i="7"/>
  <c r="AX497" i="7"/>
  <c r="AW497" i="7"/>
  <c r="AV497" i="7"/>
  <c r="AU497" i="7"/>
  <c r="AT497" i="7"/>
  <c r="AS497" i="7"/>
  <c r="AR497" i="7"/>
  <c r="AQ497" i="7"/>
  <c r="AP497" i="7"/>
  <c r="AN497" i="7"/>
  <c r="AM497" i="7"/>
  <c r="AL497" i="7"/>
  <c r="AK497" i="7"/>
  <c r="AJ497" i="7"/>
  <c r="AH497" i="7"/>
  <c r="AG497" i="7"/>
  <c r="AE497" i="7"/>
  <c r="AD497" i="7"/>
  <c r="AB497" i="7"/>
  <c r="AA497" i="7"/>
  <c r="Y497" i="7"/>
  <c r="X497" i="7"/>
  <c r="V497" i="7"/>
  <c r="U497" i="7"/>
  <c r="T497" i="7"/>
  <c r="S497" i="7"/>
  <c r="R497" i="7"/>
  <c r="Q497" i="7"/>
  <c r="P497" i="7"/>
  <c r="O497" i="7"/>
  <c r="N497" i="7"/>
  <c r="M497" i="7"/>
  <c r="L497" i="7"/>
  <c r="K497" i="7"/>
  <c r="J497" i="7"/>
  <c r="I497" i="7"/>
  <c r="G497" i="7"/>
  <c r="F497" i="7"/>
  <c r="D497" i="7"/>
  <c r="C497" i="7"/>
  <c r="FW495" i="7"/>
  <c r="FV495" i="7"/>
  <c r="FU495" i="7"/>
  <c r="FT495" i="7"/>
  <c r="FS495" i="7"/>
  <c r="FR495" i="7"/>
  <c r="FQ495" i="7"/>
  <c r="FP495" i="7"/>
  <c r="FO495" i="7"/>
  <c r="FN495" i="7"/>
  <c r="FM495" i="7"/>
  <c r="FL495" i="7"/>
  <c r="FJ495" i="7"/>
  <c r="FI495" i="7"/>
  <c r="EY495" i="7"/>
  <c r="EX495" i="7"/>
  <c r="EW495" i="7"/>
  <c r="ES495" i="7"/>
  <c r="ER495" i="7"/>
  <c r="EQ495" i="7"/>
  <c r="EM495" i="7"/>
  <c r="EL495" i="7"/>
  <c r="EK495" i="7"/>
  <c r="EG495" i="7"/>
  <c r="EF495" i="7"/>
  <c r="EE495" i="7"/>
  <c r="EA495" i="7"/>
  <c r="DZ495" i="7"/>
  <c r="DY495" i="7"/>
  <c r="DQ495" i="7"/>
  <c r="DP495" i="7"/>
  <c r="DO495" i="7"/>
  <c r="DN495" i="7"/>
  <c r="DM495" i="7"/>
  <c r="DI495" i="7"/>
  <c r="DH495" i="7"/>
  <c r="DG495" i="7"/>
  <c r="DC495" i="7"/>
  <c r="DB495" i="7"/>
  <c r="DA495" i="7"/>
  <c r="CW495" i="7"/>
  <c r="CV495" i="7"/>
  <c r="CU495" i="7"/>
  <c r="CQ495" i="7"/>
  <c r="CP495" i="7"/>
  <c r="CO495" i="7"/>
  <c r="CK495" i="7"/>
  <c r="CJ495" i="7"/>
  <c r="CI495" i="7"/>
  <c r="CH495" i="7"/>
  <c r="CG495" i="7"/>
  <c r="CF495" i="7"/>
  <c r="CB495" i="7"/>
  <c r="XFA495" i="7"/>
  <c r="CA495" i="7"/>
  <c r="BZ495" i="7"/>
  <c r="BS495" i="7"/>
  <c r="BR495" i="7"/>
  <c r="BQ495" i="7"/>
  <c r="BM495" i="7"/>
  <c r="BL495" i="7"/>
  <c r="BK495" i="7"/>
  <c r="BG495" i="7"/>
  <c r="BF495" i="7"/>
  <c r="BE495" i="7"/>
  <c r="BD495" i="7"/>
  <c r="BC495" i="7"/>
  <c r="BB495" i="7"/>
  <c r="AZ495" i="7"/>
  <c r="AY495" i="7"/>
  <c r="AX495" i="7"/>
  <c r="AW495" i="7"/>
  <c r="AV495" i="7"/>
  <c r="AU495" i="7"/>
  <c r="AT495" i="7"/>
  <c r="AS495" i="7"/>
  <c r="AR495" i="7"/>
  <c r="AQ495" i="7"/>
  <c r="AP495" i="7"/>
  <c r="AN495" i="7"/>
  <c r="AM495" i="7"/>
  <c r="AL495" i="7"/>
  <c r="AK495" i="7"/>
  <c r="AJ495" i="7"/>
  <c r="AH495" i="7"/>
  <c r="AG495" i="7"/>
  <c r="AE495" i="7"/>
  <c r="AD495" i="7"/>
  <c r="AB495" i="7"/>
  <c r="AA495" i="7"/>
  <c r="Y495" i="7"/>
  <c r="X495" i="7"/>
  <c r="V495" i="7"/>
  <c r="U495" i="7"/>
  <c r="T495" i="7"/>
  <c r="S495" i="7"/>
  <c r="R495" i="7"/>
  <c r="Q495" i="7"/>
  <c r="P495" i="7"/>
  <c r="O495" i="7"/>
  <c r="N495" i="7"/>
  <c r="M495" i="7"/>
  <c r="L495" i="7"/>
  <c r="K495" i="7"/>
  <c r="J495" i="7"/>
  <c r="I495" i="7"/>
  <c r="G495" i="7"/>
  <c r="F495" i="7"/>
  <c r="D495" i="7"/>
  <c r="C495" i="7"/>
  <c r="E485" i="3"/>
  <c r="D485" i="3" s="1"/>
  <c r="E484" i="3"/>
  <c r="D484" i="3" s="1"/>
  <c r="E483" i="3"/>
  <c r="D483" i="3" s="1"/>
  <c r="E482" i="3"/>
  <c r="D482" i="3" s="1"/>
  <c r="E481" i="3"/>
  <c r="D481" i="3" s="1"/>
  <c r="E480" i="3"/>
  <c r="D480" i="3" s="1"/>
  <c r="E479" i="3"/>
  <c r="D479" i="3" s="1"/>
  <c r="E478" i="3"/>
  <c r="D478" i="3" s="1"/>
  <c r="E477" i="3"/>
  <c r="D477" i="3" s="1"/>
  <c r="E476" i="3"/>
  <c r="D476" i="3" s="1"/>
  <c r="E475" i="3"/>
  <c r="D475" i="3" s="1"/>
  <c r="E474" i="3"/>
  <c r="B450" i="7" l="1"/>
  <c r="B447" i="7"/>
  <c r="B440" i="7"/>
  <c r="B448" i="7"/>
  <c r="B446" i="7"/>
  <c r="B439" i="7"/>
  <c r="B441" i="7"/>
  <c r="B449" i="7"/>
  <c r="AO497" i="7"/>
  <c r="Z497" i="7"/>
  <c r="AI497" i="7"/>
  <c r="DR497" i="7"/>
  <c r="H497" i="7"/>
  <c r="W497" i="7"/>
  <c r="AF497" i="7"/>
  <c r="BA497" i="7"/>
  <c r="FK497" i="7"/>
  <c r="AC497" i="7"/>
  <c r="E497" i="7"/>
  <c r="W438" i="7"/>
  <c r="W437" i="7"/>
  <c r="W436" i="7"/>
  <c r="W435" i="7"/>
  <c r="W434" i="7"/>
  <c r="W433" i="7"/>
  <c r="BA433" i="7" l="1"/>
  <c r="BA434" i="7"/>
  <c r="BA435" i="7"/>
  <c r="BA436" i="7"/>
  <c r="BA437" i="7"/>
  <c r="BA438" i="7"/>
  <c r="AO433" i="7"/>
  <c r="AO434" i="7"/>
  <c r="AO435" i="7"/>
  <c r="AO436" i="7"/>
  <c r="AO437" i="7"/>
  <c r="AO438" i="7"/>
  <c r="AI433" i="7"/>
  <c r="AI434" i="7"/>
  <c r="AI435" i="7"/>
  <c r="AI436" i="7"/>
  <c r="AI437" i="7"/>
  <c r="AI438" i="7"/>
  <c r="AF433" i="7"/>
  <c r="AF434" i="7"/>
  <c r="AF435" i="7"/>
  <c r="AF436" i="7"/>
  <c r="AF437" i="7"/>
  <c r="AF438" i="7"/>
  <c r="AC433" i="7"/>
  <c r="AC434" i="7"/>
  <c r="AC435" i="7"/>
  <c r="AC436" i="7"/>
  <c r="AC437" i="7"/>
  <c r="AC438" i="7"/>
  <c r="Z433" i="7"/>
  <c r="Z434" i="7"/>
  <c r="Z435" i="7"/>
  <c r="Z436" i="7"/>
  <c r="Z437" i="7"/>
  <c r="Z438" i="7"/>
  <c r="H433" i="7"/>
  <c r="H434" i="7"/>
  <c r="H435" i="7"/>
  <c r="H436" i="7"/>
  <c r="H437" i="7"/>
  <c r="H438" i="7"/>
  <c r="E433" i="7"/>
  <c r="E434" i="7"/>
  <c r="E435" i="7"/>
  <c r="E436" i="7"/>
  <c r="E437" i="7"/>
  <c r="B437" i="7" s="1"/>
  <c r="E438" i="7"/>
  <c r="AO428" i="7"/>
  <c r="AO429" i="7"/>
  <c r="AO430" i="7"/>
  <c r="AO431" i="7"/>
  <c r="AO432" i="7"/>
  <c r="AO427" i="7"/>
  <c r="D474" i="3"/>
  <c r="D473" i="3" s="1"/>
  <c r="E472" i="3"/>
  <c r="D472" i="3" s="1"/>
  <c r="E466" i="3"/>
  <c r="D466" i="3" s="1"/>
  <c r="E467" i="3"/>
  <c r="D467" i="3" s="1"/>
  <c r="E468" i="3"/>
  <c r="D468" i="3" s="1"/>
  <c r="E469" i="3"/>
  <c r="D469" i="3" s="1"/>
  <c r="E470" i="3"/>
  <c r="D470" i="3" s="1"/>
  <c r="E471" i="3"/>
  <c r="D471" i="3" s="1"/>
  <c r="B438" i="7" l="1"/>
  <c r="B434" i="7"/>
  <c r="B433" i="7"/>
  <c r="B436" i="7"/>
  <c r="B435" i="7"/>
  <c r="AO495" i="7"/>
  <c r="L11" i="6"/>
  <c r="L7" i="6"/>
  <c r="BA432" i="7"/>
  <c r="BA431" i="7"/>
  <c r="BA430" i="7"/>
  <c r="BA429" i="7"/>
  <c r="BA428" i="7"/>
  <c r="BA427" i="7"/>
  <c r="AF432" i="7"/>
  <c r="AF431" i="7"/>
  <c r="AF430" i="7"/>
  <c r="AF429" i="7"/>
  <c r="AF428" i="7"/>
  <c r="AF427" i="7"/>
  <c r="AI432" i="7"/>
  <c r="AI431" i="7"/>
  <c r="AI430" i="7"/>
  <c r="AI429" i="7"/>
  <c r="AI428" i="7"/>
  <c r="AI427" i="7"/>
  <c r="AF495" i="7" l="1"/>
  <c r="AI495" i="7"/>
  <c r="BA495" i="7"/>
  <c r="AC432" i="7"/>
  <c r="AC431" i="7"/>
  <c r="AC430" i="7"/>
  <c r="AC429" i="7"/>
  <c r="AC428" i="7"/>
  <c r="AC427" i="7"/>
  <c r="Z432" i="7"/>
  <c r="Z431" i="7"/>
  <c r="Z430" i="7"/>
  <c r="Z429" i="7"/>
  <c r="Z428" i="7"/>
  <c r="Z427" i="7"/>
  <c r="W432" i="7"/>
  <c r="W431" i="7"/>
  <c r="W430" i="7"/>
  <c r="W429" i="7"/>
  <c r="W428" i="7"/>
  <c r="W427" i="7"/>
  <c r="H432" i="7"/>
  <c r="H431" i="7"/>
  <c r="H430" i="7"/>
  <c r="H429" i="7"/>
  <c r="H428" i="7"/>
  <c r="H427" i="7"/>
  <c r="E432" i="7"/>
  <c r="E431" i="7"/>
  <c r="E430" i="7"/>
  <c r="E429" i="7"/>
  <c r="E428" i="7"/>
  <c r="B428" i="7" s="1"/>
  <c r="E427" i="7"/>
  <c r="C493" i="7"/>
  <c r="BE493" i="7"/>
  <c r="BF493" i="7"/>
  <c r="BG493" i="7"/>
  <c r="BK493" i="7"/>
  <c r="BL493" i="7"/>
  <c r="BM493" i="7"/>
  <c r="BQ493" i="7"/>
  <c r="BR493" i="7"/>
  <c r="BS493" i="7"/>
  <c r="BZ493" i="7"/>
  <c r="CA493" i="7"/>
  <c r="CB493" i="7"/>
  <c r="CF493" i="7"/>
  <c r="CG493" i="7"/>
  <c r="CH493" i="7"/>
  <c r="CI493" i="7"/>
  <c r="CJ493" i="7"/>
  <c r="CK493" i="7"/>
  <c r="CO493" i="7"/>
  <c r="CP493" i="7"/>
  <c r="CQ493" i="7"/>
  <c r="CU493" i="7"/>
  <c r="CV493" i="7"/>
  <c r="CW493" i="7"/>
  <c r="DA493" i="7"/>
  <c r="DB493" i="7"/>
  <c r="DC493" i="7"/>
  <c r="DG493" i="7"/>
  <c r="DH493" i="7"/>
  <c r="DI493" i="7"/>
  <c r="DM493" i="7"/>
  <c r="DN493" i="7"/>
  <c r="DO493" i="7"/>
  <c r="DP493" i="7"/>
  <c r="DQ493" i="7"/>
  <c r="DY493" i="7"/>
  <c r="DZ493" i="7"/>
  <c r="EA493" i="7"/>
  <c r="EE493" i="7"/>
  <c r="EF493" i="7"/>
  <c r="EG493" i="7"/>
  <c r="EK493" i="7"/>
  <c r="EL493" i="7"/>
  <c r="EM493" i="7"/>
  <c r="EQ493" i="7"/>
  <c r="ER493" i="7"/>
  <c r="ES493" i="7"/>
  <c r="EW493" i="7"/>
  <c r="EX493" i="7"/>
  <c r="EY493" i="7"/>
  <c r="FI493" i="7"/>
  <c r="FJ493" i="7"/>
  <c r="FL493" i="7"/>
  <c r="FM493" i="7"/>
  <c r="FN493" i="7"/>
  <c r="FO493" i="7"/>
  <c r="FP493" i="7"/>
  <c r="FQ493" i="7"/>
  <c r="FR493" i="7"/>
  <c r="FS493" i="7"/>
  <c r="FT493" i="7"/>
  <c r="FU493" i="7"/>
  <c r="FV493" i="7"/>
  <c r="FW493" i="7"/>
  <c r="D493" i="7"/>
  <c r="F493" i="7"/>
  <c r="G493" i="7"/>
  <c r="I493" i="7"/>
  <c r="J493" i="7"/>
  <c r="K493" i="7"/>
  <c r="L493" i="7"/>
  <c r="M493" i="7"/>
  <c r="N493" i="7"/>
  <c r="O493" i="7"/>
  <c r="P493" i="7"/>
  <c r="Q493" i="7"/>
  <c r="R493" i="7"/>
  <c r="S493" i="7"/>
  <c r="T493" i="7"/>
  <c r="U493" i="7"/>
  <c r="V493" i="7"/>
  <c r="X493" i="7"/>
  <c r="Y493" i="7"/>
  <c r="AA493" i="7"/>
  <c r="AB493" i="7"/>
  <c r="AD493" i="7"/>
  <c r="AE493" i="7"/>
  <c r="AG493" i="7"/>
  <c r="AH493" i="7"/>
  <c r="AJ493" i="7"/>
  <c r="AK493" i="7"/>
  <c r="AL493" i="7"/>
  <c r="AS493" i="7"/>
  <c r="AT493" i="7"/>
  <c r="AU493" i="7"/>
  <c r="AV493" i="7"/>
  <c r="AW493" i="7"/>
  <c r="AX493" i="7"/>
  <c r="AY493" i="7"/>
  <c r="AZ493" i="7"/>
  <c r="BB493" i="7"/>
  <c r="BC493" i="7"/>
  <c r="BD493" i="7"/>
  <c r="B429" i="7" l="1"/>
  <c r="B430" i="7"/>
  <c r="B432" i="7"/>
  <c r="B431" i="7"/>
  <c r="B427" i="7"/>
  <c r="FK495" i="7"/>
  <c r="H495" i="7"/>
  <c r="Z495" i="7"/>
  <c r="DR495" i="7"/>
  <c r="E495" i="7"/>
  <c r="W495" i="7"/>
  <c r="AC495" i="7"/>
  <c r="BA420" i="7"/>
  <c r="BA421" i="7"/>
  <c r="BA422" i="7"/>
  <c r="BA423" i="7"/>
  <c r="BA424" i="7"/>
  <c r="BA425" i="7"/>
  <c r="BA426" i="7"/>
  <c r="AF420" i="7"/>
  <c r="AF421" i="7"/>
  <c r="AF422" i="7"/>
  <c r="AF423" i="7"/>
  <c r="AF424" i="7"/>
  <c r="AF425" i="7"/>
  <c r="AF426" i="7"/>
  <c r="AI420" i="7"/>
  <c r="AI421" i="7"/>
  <c r="AI422" i="7"/>
  <c r="AI423" i="7"/>
  <c r="AI424" i="7"/>
  <c r="AI425" i="7"/>
  <c r="AI426" i="7"/>
  <c r="AC420" i="7"/>
  <c r="AC421" i="7"/>
  <c r="AC422" i="7"/>
  <c r="AC423" i="7"/>
  <c r="AC424" i="7"/>
  <c r="AC425" i="7"/>
  <c r="AC426" i="7"/>
  <c r="Z420" i="7"/>
  <c r="Z421" i="7"/>
  <c r="Z422" i="7"/>
  <c r="Z423" i="7"/>
  <c r="Z424" i="7"/>
  <c r="Z425" i="7"/>
  <c r="Z426" i="7"/>
  <c r="W420" i="7"/>
  <c r="W421" i="7"/>
  <c r="W422" i="7"/>
  <c r="W423" i="7"/>
  <c r="W424" i="7"/>
  <c r="W425" i="7"/>
  <c r="W426" i="7"/>
  <c r="H420" i="7"/>
  <c r="H421" i="7"/>
  <c r="H422" i="7"/>
  <c r="H423" i="7"/>
  <c r="H424" i="7"/>
  <c r="H425" i="7"/>
  <c r="H426" i="7"/>
  <c r="H416" i="7"/>
  <c r="H417" i="7"/>
  <c r="H418" i="7"/>
  <c r="H419" i="7"/>
  <c r="E420" i="7"/>
  <c r="E421" i="7"/>
  <c r="E422" i="7"/>
  <c r="E423" i="7"/>
  <c r="E424" i="7"/>
  <c r="E425" i="7"/>
  <c r="E426" i="7"/>
  <c r="AI319" i="7"/>
  <c r="AI320" i="7"/>
  <c r="AI321" i="7"/>
  <c r="AI322" i="7"/>
  <c r="AI323" i="7"/>
  <c r="AI324" i="7"/>
  <c r="AI325" i="7"/>
  <c r="AI326" i="7"/>
  <c r="AI327" i="7"/>
  <c r="AI328" i="7"/>
  <c r="AI329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C319" i="7"/>
  <c r="AC320" i="7"/>
  <c r="AC321" i="7"/>
  <c r="AC322" i="7"/>
  <c r="AC323" i="7"/>
  <c r="AC324" i="7"/>
  <c r="AC325" i="7"/>
  <c r="AC326" i="7"/>
  <c r="AC327" i="7"/>
  <c r="AC328" i="7"/>
  <c r="AC329" i="7"/>
  <c r="AC330" i="7"/>
  <c r="Z319" i="7"/>
  <c r="Z320" i="7"/>
  <c r="Z321" i="7"/>
  <c r="Z322" i="7"/>
  <c r="Z323" i="7"/>
  <c r="Z324" i="7"/>
  <c r="Z325" i="7"/>
  <c r="Z326" i="7"/>
  <c r="Z327" i="7"/>
  <c r="Z328" i="7"/>
  <c r="Z329" i="7"/>
  <c r="Z330" i="7"/>
  <c r="W319" i="7"/>
  <c r="W320" i="7"/>
  <c r="W321" i="7"/>
  <c r="W322" i="7"/>
  <c r="W323" i="7"/>
  <c r="W324" i="7"/>
  <c r="W325" i="7"/>
  <c r="W326" i="7"/>
  <c r="W327" i="7"/>
  <c r="W328" i="7"/>
  <c r="W329" i="7"/>
  <c r="W330" i="7"/>
  <c r="H319" i="7"/>
  <c r="H320" i="7"/>
  <c r="H321" i="7"/>
  <c r="H322" i="7"/>
  <c r="H323" i="7"/>
  <c r="H324" i="7"/>
  <c r="H325" i="7"/>
  <c r="H326" i="7"/>
  <c r="H327" i="7"/>
  <c r="H328" i="7"/>
  <c r="H329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462" i="3"/>
  <c r="D462" i="3" s="1"/>
  <c r="E463" i="3"/>
  <c r="D463" i="3" s="1"/>
  <c r="E464" i="3"/>
  <c r="D464" i="3" s="1"/>
  <c r="E465" i="3"/>
  <c r="D465" i="3" s="1"/>
  <c r="E461" i="3"/>
  <c r="D461" i="3" s="1"/>
  <c r="D460" i="3" s="1"/>
  <c r="E459" i="3"/>
  <c r="D459" i="3" s="1"/>
  <c r="E452" i="3"/>
  <c r="D452" i="3" s="1"/>
  <c r="E453" i="3"/>
  <c r="D453" i="3" s="1"/>
  <c r="E454" i="3"/>
  <c r="D454" i="3" s="1"/>
  <c r="E455" i="3"/>
  <c r="D455" i="3" s="1"/>
  <c r="E456" i="3"/>
  <c r="D456" i="3" s="1"/>
  <c r="E457" i="3"/>
  <c r="D457" i="3" s="1"/>
  <c r="E458" i="3"/>
  <c r="D458" i="3" s="1"/>
  <c r="B424" i="7" l="1"/>
  <c r="B423" i="7"/>
  <c r="B422" i="7"/>
  <c r="B426" i="7"/>
  <c r="B421" i="7"/>
  <c r="B425" i="7"/>
  <c r="B420" i="7"/>
  <c r="FW491" i="7"/>
  <c r="FV491" i="7"/>
  <c r="FU491" i="7"/>
  <c r="FT491" i="7"/>
  <c r="FS491" i="7"/>
  <c r="FR491" i="7"/>
  <c r="FQ491" i="7"/>
  <c r="FP491" i="7"/>
  <c r="FO491" i="7"/>
  <c r="FN491" i="7"/>
  <c r="FM491" i="7"/>
  <c r="FL491" i="7"/>
  <c r="FJ491" i="7"/>
  <c r="FI491" i="7"/>
  <c r="EY491" i="7"/>
  <c r="EX491" i="7"/>
  <c r="EW491" i="7"/>
  <c r="ES491" i="7"/>
  <c r="ER491" i="7"/>
  <c r="EQ491" i="7"/>
  <c r="EM491" i="7"/>
  <c r="EL491" i="7"/>
  <c r="EK491" i="7"/>
  <c r="EG491" i="7"/>
  <c r="EF491" i="7"/>
  <c r="EE491" i="7"/>
  <c r="EA491" i="7"/>
  <c r="DZ491" i="7"/>
  <c r="DY491" i="7"/>
  <c r="DQ491" i="7"/>
  <c r="DP491" i="7"/>
  <c r="DO491" i="7"/>
  <c r="DN491" i="7"/>
  <c r="DM491" i="7"/>
  <c r="DI491" i="7"/>
  <c r="DH491" i="7"/>
  <c r="DG491" i="7"/>
  <c r="DC491" i="7"/>
  <c r="DB491" i="7"/>
  <c r="DA491" i="7"/>
  <c r="CW491" i="7"/>
  <c r="CV491" i="7"/>
  <c r="CU491" i="7"/>
  <c r="CQ491" i="7"/>
  <c r="CP491" i="7"/>
  <c r="CO491" i="7"/>
  <c r="CK491" i="7"/>
  <c r="CJ491" i="7"/>
  <c r="CI491" i="7"/>
  <c r="CH491" i="7"/>
  <c r="CG491" i="7"/>
  <c r="CF491" i="7"/>
  <c r="CB491" i="7"/>
  <c r="CA491" i="7"/>
  <c r="BZ491" i="7"/>
  <c r="BS491" i="7"/>
  <c r="BR491" i="7"/>
  <c r="BQ491" i="7"/>
  <c r="BM491" i="7"/>
  <c r="BL491" i="7"/>
  <c r="BK491" i="7"/>
  <c r="BG491" i="7"/>
  <c r="BF491" i="7"/>
  <c r="BE491" i="7"/>
  <c r="BD491" i="7"/>
  <c r="BC491" i="7"/>
  <c r="BB491" i="7"/>
  <c r="AZ491" i="7"/>
  <c r="AY491" i="7"/>
  <c r="AX491" i="7"/>
  <c r="AW491" i="7"/>
  <c r="AV491" i="7"/>
  <c r="AU491" i="7"/>
  <c r="AT491" i="7"/>
  <c r="AS491" i="7"/>
  <c r="AL491" i="7"/>
  <c r="AK491" i="7"/>
  <c r="AJ491" i="7"/>
  <c r="AG491" i="7"/>
  <c r="AE491" i="7"/>
  <c r="AD491" i="7"/>
  <c r="AB491" i="7"/>
  <c r="AA491" i="7"/>
  <c r="Y491" i="7"/>
  <c r="X491" i="7"/>
  <c r="V491" i="7"/>
  <c r="U491" i="7"/>
  <c r="T491" i="7"/>
  <c r="S491" i="7"/>
  <c r="R491" i="7"/>
  <c r="Q491" i="7"/>
  <c r="P491" i="7"/>
  <c r="O491" i="7"/>
  <c r="N491" i="7"/>
  <c r="M491" i="7"/>
  <c r="L491" i="7"/>
  <c r="K491" i="7"/>
  <c r="J491" i="7"/>
  <c r="I491" i="7"/>
  <c r="G491" i="7"/>
  <c r="F491" i="7"/>
  <c r="D491" i="7"/>
  <c r="C491" i="7"/>
  <c r="BA411" i="7"/>
  <c r="BA412" i="7"/>
  <c r="BA413" i="7"/>
  <c r="BA414" i="7"/>
  <c r="BA415" i="7"/>
  <c r="BA416" i="7"/>
  <c r="BA417" i="7"/>
  <c r="BA418" i="7"/>
  <c r="BA419" i="7"/>
  <c r="FK493" i="7" l="1"/>
  <c r="DR493" i="7"/>
  <c r="BA493" i="7"/>
  <c r="AI415" i="7"/>
  <c r="AH409" i="7"/>
  <c r="AH407" i="7"/>
  <c r="AH406" i="7"/>
  <c r="AH405" i="7"/>
  <c r="AH404" i="7"/>
  <c r="AI410" i="7"/>
  <c r="AI411" i="7"/>
  <c r="AI412" i="7"/>
  <c r="AI413" i="7"/>
  <c r="AI414" i="7"/>
  <c r="AI416" i="7"/>
  <c r="AI417" i="7"/>
  <c r="AI418" i="7"/>
  <c r="AI419" i="7"/>
  <c r="AF415" i="7"/>
  <c r="AF410" i="7"/>
  <c r="AF411" i="7"/>
  <c r="AF412" i="7"/>
  <c r="AF413" i="7"/>
  <c r="AF414" i="7"/>
  <c r="AF416" i="7"/>
  <c r="AF417" i="7"/>
  <c r="AF418" i="7"/>
  <c r="AF419" i="7"/>
  <c r="AC415" i="7"/>
  <c r="AC416" i="7"/>
  <c r="AC417" i="7"/>
  <c r="AC418" i="7"/>
  <c r="AC419" i="7"/>
  <c r="AC413" i="7"/>
  <c r="AC414" i="7"/>
  <c r="AC410" i="7"/>
  <c r="AC411" i="7"/>
  <c r="AC412" i="7"/>
  <c r="AC404" i="7"/>
  <c r="AC405" i="7"/>
  <c r="AC406" i="7"/>
  <c r="AC407" i="7"/>
  <c r="AC408" i="7"/>
  <c r="AC409" i="7"/>
  <c r="Z410" i="7"/>
  <c r="Z411" i="7"/>
  <c r="Z412" i="7"/>
  <c r="Z413" i="7"/>
  <c r="Z414" i="7"/>
  <c r="Z415" i="7"/>
  <c r="Z416" i="7"/>
  <c r="Z417" i="7"/>
  <c r="Z418" i="7"/>
  <c r="Z419" i="7"/>
  <c r="W410" i="7"/>
  <c r="W411" i="7"/>
  <c r="W412" i="7"/>
  <c r="W413" i="7"/>
  <c r="W414" i="7"/>
  <c r="W415" i="7"/>
  <c r="W416" i="7"/>
  <c r="W417" i="7"/>
  <c r="W418" i="7"/>
  <c r="W419" i="7"/>
  <c r="Z493" i="7" l="1"/>
  <c r="AF493" i="7"/>
  <c r="W493" i="7"/>
  <c r="AI493" i="7"/>
  <c r="AC493" i="7"/>
  <c r="AH491" i="7"/>
  <c r="H411" i="7"/>
  <c r="H412" i="7"/>
  <c r="H413" i="7"/>
  <c r="H414" i="7"/>
  <c r="H415" i="7"/>
  <c r="H493" i="7" s="1"/>
  <c r="E410" i="7"/>
  <c r="E411" i="7"/>
  <c r="E412" i="7"/>
  <c r="E413" i="7"/>
  <c r="E414" i="7"/>
  <c r="E415" i="7"/>
  <c r="E416" i="7"/>
  <c r="B416" i="7" s="1"/>
  <c r="E417" i="7"/>
  <c r="B417" i="7" s="1"/>
  <c r="E418" i="7"/>
  <c r="B418" i="7" s="1"/>
  <c r="E419" i="7"/>
  <c r="B419" i="7" s="1"/>
  <c r="BA407" i="7"/>
  <c r="BA408" i="7"/>
  <c r="BA409" i="7"/>
  <c r="BA410" i="7"/>
  <c r="AF407" i="7"/>
  <c r="AF408" i="7"/>
  <c r="AF409" i="7"/>
  <c r="AI407" i="7"/>
  <c r="AI408" i="7"/>
  <c r="AI409" i="7"/>
  <c r="Z407" i="7"/>
  <c r="Z408" i="7"/>
  <c r="Z409" i="7"/>
  <c r="W407" i="7"/>
  <c r="W408" i="7"/>
  <c r="W409" i="7"/>
  <c r="H407" i="7"/>
  <c r="H408" i="7"/>
  <c r="H409" i="7"/>
  <c r="H410" i="7"/>
  <c r="E407" i="7"/>
  <c r="E408" i="7"/>
  <c r="E409" i="7"/>
  <c r="B414" i="7" l="1"/>
  <c r="B413" i="7"/>
  <c r="B410" i="7"/>
  <c r="B412" i="7"/>
  <c r="B411" i="7"/>
  <c r="B409" i="7"/>
  <c r="B408" i="7"/>
  <c r="B407" i="7"/>
  <c r="B415" i="7"/>
  <c r="E493" i="7"/>
  <c r="AX489" i="7"/>
  <c r="FW489" i="7" l="1"/>
  <c r="FV489" i="7"/>
  <c r="FU489" i="7"/>
  <c r="FT489" i="7"/>
  <c r="FS489" i="7"/>
  <c r="FR489" i="7"/>
  <c r="FQ489" i="7"/>
  <c r="FP489" i="7"/>
  <c r="FO489" i="7"/>
  <c r="FN489" i="7"/>
  <c r="FM489" i="7"/>
  <c r="FL489" i="7"/>
  <c r="FJ489" i="7"/>
  <c r="FI489" i="7"/>
  <c r="EY489" i="7"/>
  <c r="EX489" i="7"/>
  <c r="EW489" i="7"/>
  <c r="ES489" i="7"/>
  <c r="ER489" i="7"/>
  <c r="EQ489" i="7"/>
  <c r="EM489" i="7"/>
  <c r="EL489" i="7"/>
  <c r="EK489" i="7"/>
  <c r="EG489" i="7"/>
  <c r="EF489" i="7"/>
  <c r="EE489" i="7"/>
  <c r="EA489" i="7"/>
  <c r="DZ489" i="7"/>
  <c r="DY489" i="7"/>
  <c r="DQ489" i="7"/>
  <c r="DP489" i="7"/>
  <c r="DO489" i="7"/>
  <c r="DN489" i="7"/>
  <c r="DM489" i="7"/>
  <c r="DI489" i="7"/>
  <c r="DH489" i="7"/>
  <c r="DG489" i="7"/>
  <c r="DC489" i="7"/>
  <c r="DB489" i="7"/>
  <c r="DA489" i="7"/>
  <c r="CW489" i="7"/>
  <c r="CV489" i="7"/>
  <c r="CU489" i="7"/>
  <c r="CQ489" i="7"/>
  <c r="CP489" i="7"/>
  <c r="CO489" i="7"/>
  <c r="CK489" i="7"/>
  <c r="CJ489" i="7"/>
  <c r="CI489" i="7"/>
  <c r="CH489" i="7"/>
  <c r="CG489" i="7"/>
  <c r="CF489" i="7"/>
  <c r="CB489" i="7"/>
  <c r="CA489" i="7"/>
  <c r="BZ489" i="7"/>
  <c r="BS489" i="7"/>
  <c r="BR489" i="7"/>
  <c r="BQ489" i="7"/>
  <c r="BM489" i="7"/>
  <c r="BL489" i="7"/>
  <c r="BK489" i="7"/>
  <c r="BG489" i="7"/>
  <c r="BF489" i="7"/>
  <c r="BE489" i="7"/>
  <c r="BD489" i="7"/>
  <c r="BC489" i="7"/>
  <c r="BB489" i="7"/>
  <c r="AZ489" i="7"/>
  <c r="AY489" i="7"/>
  <c r="AW489" i="7"/>
  <c r="AV489" i="7"/>
  <c r="AU489" i="7"/>
  <c r="AT489" i="7"/>
  <c r="AS489" i="7"/>
  <c r="AL489" i="7"/>
  <c r="AK489" i="7"/>
  <c r="AJ489" i="7"/>
  <c r="AH489" i="7"/>
  <c r="AG489" i="7"/>
  <c r="AE489" i="7"/>
  <c r="AD489" i="7"/>
  <c r="AB489" i="7"/>
  <c r="AA489" i="7"/>
  <c r="Y489" i="7"/>
  <c r="X489" i="7"/>
  <c r="V489" i="7"/>
  <c r="U489" i="7"/>
  <c r="T489" i="7"/>
  <c r="S489" i="7"/>
  <c r="R489" i="7"/>
  <c r="Q489" i="7"/>
  <c r="P489" i="7"/>
  <c r="O489" i="7"/>
  <c r="N489" i="7"/>
  <c r="M489" i="7"/>
  <c r="L489" i="7"/>
  <c r="K489" i="7"/>
  <c r="J489" i="7"/>
  <c r="I489" i="7"/>
  <c r="G489" i="7"/>
  <c r="F489" i="7"/>
  <c r="D489" i="7"/>
  <c r="C489" i="7"/>
  <c r="E449" i="3" l="1"/>
  <c r="D449" i="3" s="1"/>
  <c r="E450" i="3"/>
  <c r="D450" i="3" s="1"/>
  <c r="E451" i="3"/>
  <c r="D451" i="3" s="1"/>
  <c r="E448" i="3"/>
  <c r="D448" i="3" s="1"/>
  <c r="D447" i="3" s="1"/>
  <c r="BA403" i="7"/>
  <c r="BA404" i="7"/>
  <c r="BA405" i="7"/>
  <c r="BA406" i="7"/>
  <c r="AI403" i="7"/>
  <c r="AI404" i="7"/>
  <c r="AI405" i="7"/>
  <c r="AI406" i="7"/>
  <c r="AF403" i="7"/>
  <c r="AF404" i="7"/>
  <c r="AF405" i="7"/>
  <c r="AF406" i="7"/>
  <c r="AC403" i="7"/>
  <c r="AC491" i="7" s="1"/>
  <c r="Z403" i="7"/>
  <c r="Z404" i="7"/>
  <c r="Z405" i="7"/>
  <c r="Z406" i="7"/>
  <c r="W403" i="7"/>
  <c r="W404" i="7"/>
  <c r="W405" i="7"/>
  <c r="W406" i="7"/>
  <c r="H403" i="7"/>
  <c r="H404" i="7"/>
  <c r="H405" i="7"/>
  <c r="H406" i="7"/>
  <c r="E403" i="7"/>
  <c r="B403" i="7" s="1"/>
  <c r="E404" i="7"/>
  <c r="B404" i="7" s="1"/>
  <c r="E405" i="7"/>
  <c r="B405" i="7" s="1"/>
  <c r="E406" i="7"/>
  <c r="B406" i="7" l="1"/>
  <c r="AF491" i="7"/>
  <c r="AI491" i="7"/>
  <c r="BA491" i="7"/>
  <c r="E491" i="7"/>
  <c r="H491" i="7"/>
  <c r="W491" i="7"/>
  <c r="Z491" i="7"/>
  <c r="E446" i="3"/>
  <c r="D446" i="3" s="1"/>
  <c r="E445" i="3"/>
  <c r="D445" i="3" s="1"/>
  <c r="E444" i="3"/>
  <c r="D444" i="3" s="1"/>
  <c r="E443" i="3"/>
  <c r="D443" i="3" s="1"/>
  <c r="BA399" i="7"/>
  <c r="BA400" i="7"/>
  <c r="BA401" i="7"/>
  <c r="BA402" i="7"/>
  <c r="FK491" i="7" l="1"/>
  <c r="DR491" i="7"/>
  <c r="AF399" i="7"/>
  <c r="AF400" i="7"/>
  <c r="AF401" i="7"/>
  <c r="AF402" i="7"/>
  <c r="AI399" i="7"/>
  <c r="AI400" i="7"/>
  <c r="AI401" i="7"/>
  <c r="AI402" i="7"/>
  <c r="AC399" i="7"/>
  <c r="AC400" i="7"/>
  <c r="AC401" i="7"/>
  <c r="AC402" i="7"/>
  <c r="Z399" i="7"/>
  <c r="Z400" i="7"/>
  <c r="Z401" i="7"/>
  <c r="Z402" i="7"/>
  <c r="W399" i="7"/>
  <c r="W400" i="7"/>
  <c r="W401" i="7"/>
  <c r="W402" i="7"/>
  <c r="H399" i="7"/>
  <c r="H400" i="7"/>
  <c r="H401" i="7"/>
  <c r="H402" i="7"/>
  <c r="E399" i="7"/>
  <c r="E400" i="7"/>
  <c r="E401" i="7"/>
  <c r="E402" i="7"/>
  <c r="D485" i="7"/>
  <c r="F485" i="7"/>
  <c r="G485" i="7"/>
  <c r="I485" i="7"/>
  <c r="J485" i="7"/>
  <c r="K485" i="7"/>
  <c r="L485" i="7"/>
  <c r="M485" i="7"/>
  <c r="N485" i="7"/>
  <c r="O485" i="7"/>
  <c r="P485" i="7"/>
  <c r="Q485" i="7"/>
  <c r="R485" i="7"/>
  <c r="S485" i="7"/>
  <c r="T485" i="7"/>
  <c r="U485" i="7"/>
  <c r="V485" i="7"/>
  <c r="X485" i="7"/>
  <c r="Y485" i="7"/>
  <c r="AA485" i="7"/>
  <c r="AB485" i="7"/>
  <c r="AD485" i="7"/>
  <c r="AE485" i="7"/>
  <c r="AG485" i="7"/>
  <c r="AH485" i="7"/>
  <c r="AJ485" i="7"/>
  <c r="AK485" i="7"/>
  <c r="AL485" i="7"/>
  <c r="AS485" i="7"/>
  <c r="AT485" i="7"/>
  <c r="AU485" i="7"/>
  <c r="AV485" i="7"/>
  <c r="AW485" i="7"/>
  <c r="AX485" i="7"/>
  <c r="AY485" i="7"/>
  <c r="AZ485" i="7"/>
  <c r="BB485" i="7"/>
  <c r="BC485" i="7"/>
  <c r="BD485" i="7"/>
  <c r="BE485" i="7"/>
  <c r="BF485" i="7"/>
  <c r="BG485" i="7"/>
  <c r="BK485" i="7"/>
  <c r="BL485" i="7"/>
  <c r="BM485" i="7"/>
  <c r="BQ485" i="7"/>
  <c r="BR485" i="7"/>
  <c r="BS485" i="7"/>
  <c r="BZ485" i="7"/>
  <c r="CA485" i="7"/>
  <c r="CB485" i="7"/>
  <c r="CF485" i="7"/>
  <c r="CG485" i="7"/>
  <c r="CH485" i="7"/>
  <c r="CI485" i="7"/>
  <c r="CJ485" i="7"/>
  <c r="CK485" i="7"/>
  <c r="CO485" i="7"/>
  <c r="CP485" i="7"/>
  <c r="CQ485" i="7"/>
  <c r="CU485" i="7"/>
  <c r="CV485" i="7"/>
  <c r="CW485" i="7"/>
  <c r="DA485" i="7"/>
  <c r="DB485" i="7"/>
  <c r="DC485" i="7"/>
  <c r="DG485" i="7"/>
  <c r="DH485" i="7"/>
  <c r="DI485" i="7"/>
  <c r="DM485" i="7"/>
  <c r="DN485" i="7"/>
  <c r="DO485" i="7"/>
  <c r="DP485" i="7"/>
  <c r="DQ485" i="7"/>
  <c r="DY485" i="7"/>
  <c r="DZ485" i="7"/>
  <c r="EA485" i="7"/>
  <c r="EE485" i="7"/>
  <c r="EF485" i="7"/>
  <c r="EG485" i="7"/>
  <c r="EK485" i="7"/>
  <c r="EL485" i="7"/>
  <c r="EM485" i="7"/>
  <c r="EQ485" i="7"/>
  <c r="ER485" i="7"/>
  <c r="ES485" i="7"/>
  <c r="EW485" i="7"/>
  <c r="EX485" i="7"/>
  <c r="EY485" i="7"/>
  <c r="FI485" i="7"/>
  <c r="FJ485" i="7"/>
  <c r="FL485" i="7"/>
  <c r="FM485" i="7"/>
  <c r="FN485" i="7"/>
  <c r="FO485" i="7"/>
  <c r="FP485" i="7"/>
  <c r="FQ485" i="7"/>
  <c r="FR485" i="7"/>
  <c r="FS485" i="7"/>
  <c r="FT485" i="7"/>
  <c r="FU485" i="7"/>
  <c r="FV485" i="7"/>
  <c r="FW485" i="7"/>
  <c r="D486" i="7"/>
  <c r="F486" i="7"/>
  <c r="G486" i="7"/>
  <c r="I486" i="7"/>
  <c r="J486" i="7"/>
  <c r="K486" i="7"/>
  <c r="L486" i="7"/>
  <c r="M486" i="7"/>
  <c r="N486" i="7"/>
  <c r="O486" i="7"/>
  <c r="P486" i="7"/>
  <c r="Q486" i="7"/>
  <c r="R486" i="7"/>
  <c r="S486" i="7"/>
  <c r="T486" i="7"/>
  <c r="U486" i="7"/>
  <c r="V486" i="7"/>
  <c r="X486" i="7"/>
  <c r="Y486" i="7"/>
  <c r="AA486" i="7"/>
  <c r="AB486" i="7"/>
  <c r="AD486" i="7"/>
  <c r="AE486" i="7"/>
  <c r="AG486" i="7"/>
  <c r="AH486" i="7"/>
  <c r="AJ486" i="7"/>
  <c r="AK486" i="7"/>
  <c r="AL486" i="7"/>
  <c r="AS486" i="7"/>
  <c r="AT486" i="7"/>
  <c r="AU486" i="7"/>
  <c r="AV486" i="7"/>
  <c r="AW486" i="7"/>
  <c r="AX486" i="7"/>
  <c r="AY486" i="7"/>
  <c r="AZ486" i="7"/>
  <c r="BB486" i="7"/>
  <c r="BC486" i="7"/>
  <c r="BD486" i="7"/>
  <c r="BE486" i="7"/>
  <c r="BF486" i="7"/>
  <c r="BK486" i="7"/>
  <c r="BL486" i="7"/>
  <c r="BM486" i="7"/>
  <c r="BQ486" i="7"/>
  <c r="BR486" i="7"/>
  <c r="BS486" i="7"/>
  <c r="BZ486" i="7"/>
  <c r="CA486" i="7"/>
  <c r="CB486" i="7"/>
  <c r="CF486" i="7"/>
  <c r="CG486" i="7"/>
  <c r="CH486" i="7"/>
  <c r="CI486" i="7"/>
  <c r="CJ486" i="7"/>
  <c r="CK486" i="7"/>
  <c r="CO486" i="7"/>
  <c r="CP486" i="7"/>
  <c r="CQ486" i="7"/>
  <c r="CU486" i="7"/>
  <c r="CV486" i="7"/>
  <c r="CW486" i="7"/>
  <c r="DA486" i="7"/>
  <c r="DB486" i="7"/>
  <c r="DC486" i="7"/>
  <c r="DG486" i="7"/>
  <c r="DH486" i="7"/>
  <c r="DI486" i="7"/>
  <c r="DM486" i="7"/>
  <c r="DN486" i="7"/>
  <c r="DO486" i="7"/>
  <c r="DP486" i="7"/>
  <c r="DQ486" i="7"/>
  <c r="DY486" i="7"/>
  <c r="DZ486" i="7"/>
  <c r="EA486" i="7"/>
  <c r="EE486" i="7"/>
  <c r="EF486" i="7"/>
  <c r="EG486" i="7"/>
  <c r="EK486" i="7"/>
  <c r="EL486" i="7"/>
  <c r="EM486" i="7"/>
  <c r="EQ486" i="7"/>
  <c r="ER486" i="7"/>
  <c r="ES486" i="7"/>
  <c r="EW486" i="7"/>
  <c r="EX486" i="7"/>
  <c r="EY486" i="7"/>
  <c r="FI486" i="7"/>
  <c r="FJ486" i="7"/>
  <c r="FL486" i="7"/>
  <c r="FM486" i="7"/>
  <c r="FN486" i="7"/>
  <c r="FO486" i="7"/>
  <c r="FP486" i="7"/>
  <c r="FQ486" i="7"/>
  <c r="FR486" i="7"/>
  <c r="FS486" i="7"/>
  <c r="FT486" i="7"/>
  <c r="FU486" i="7"/>
  <c r="FV486" i="7"/>
  <c r="FW486" i="7"/>
  <c r="C486" i="7"/>
  <c r="C485" i="7"/>
  <c r="D480" i="7"/>
  <c r="F480" i="7"/>
  <c r="G480" i="7"/>
  <c r="I480" i="7"/>
  <c r="J480" i="7"/>
  <c r="K480" i="7"/>
  <c r="L480" i="7"/>
  <c r="M480" i="7"/>
  <c r="N480" i="7"/>
  <c r="O480" i="7"/>
  <c r="P480" i="7"/>
  <c r="Q480" i="7"/>
  <c r="R480" i="7"/>
  <c r="S480" i="7"/>
  <c r="T480" i="7"/>
  <c r="U480" i="7"/>
  <c r="V480" i="7"/>
  <c r="X480" i="7"/>
  <c r="Y480" i="7"/>
  <c r="AA480" i="7"/>
  <c r="AB480" i="7"/>
  <c r="AD480" i="7"/>
  <c r="AE480" i="7"/>
  <c r="AG480" i="7"/>
  <c r="AH480" i="7"/>
  <c r="AJ480" i="7"/>
  <c r="AK480" i="7"/>
  <c r="AL480" i="7"/>
  <c r="AS480" i="7"/>
  <c r="AT480" i="7"/>
  <c r="AU480" i="7"/>
  <c r="AV480" i="7"/>
  <c r="AW480" i="7"/>
  <c r="AX480" i="7"/>
  <c r="AY480" i="7"/>
  <c r="AZ480" i="7"/>
  <c r="BB480" i="7"/>
  <c r="BC480" i="7"/>
  <c r="BE480" i="7"/>
  <c r="BF480" i="7"/>
  <c r="BG480" i="7"/>
  <c r="BK480" i="7"/>
  <c r="BL480" i="7"/>
  <c r="BM480" i="7"/>
  <c r="BQ480" i="7"/>
  <c r="BR480" i="7"/>
  <c r="BS480" i="7"/>
  <c r="BZ480" i="7"/>
  <c r="CA480" i="7"/>
  <c r="CB480" i="7"/>
  <c r="CF480" i="7"/>
  <c r="CG480" i="7"/>
  <c r="CH480" i="7"/>
  <c r="CI480" i="7"/>
  <c r="CJ480" i="7"/>
  <c r="CK480" i="7"/>
  <c r="CO480" i="7"/>
  <c r="CP480" i="7"/>
  <c r="CQ480" i="7"/>
  <c r="CU480" i="7"/>
  <c r="CV480" i="7"/>
  <c r="CW480" i="7"/>
  <c r="DA480" i="7"/>
  <c r="DB480" i="7"/>
  <c r="DC480" i="7"/>
  <c r="DG480" i="7"/>
  <c r="DH480" i="7"/>
  <c r="DI480" i="7"/>
  <c r="DM480" i="7"/>
  <c r="DN480" i="7"/>
  <c r="DO480" i="7"/>
  <c r="DP480" i="7"/>
  <c r="DQ480" i="7"/>
  <c r="DR480" i="7"/>
  <c r="DY480" i="7"/>
  <c r="DZ480" i="7"/>
  <c r="EA480" i="7"/>
  <c r="EE480" i="7"/>
  <c r="EF480" i="7"/>
  <c r="EG480" i="7"/>
  <c r="EK480" i="7"/>
  <c r="EL480" i="7"/>
  <c r="EM480" i="7"/>
  <c r="EQ480" i="7"/>
  <c r="ER480" i="7"/>
  <c r="ES480" i="7"/>
  <c r="EW480" i="7"/>
  <c r="EX480" i="7"/>
  <c r="EY480" i="7"/>
  <c r="FI480" i="7"/>
  <c r="FJ480" i="7"/>
  <c r="FK480" i="7"/>
  <c r="FL480" i="7"/>
  <c r="FM480" i="7"/>
  <c r="FN480" i="7"/>
  <c r="FO480" i="7"/>
  <c r="FP480" i="7"/>
  <c r="FQ480" i="7"/>
  <c r="FR480" i="7"/>
  <c r="FS480" i="7"/>
  <c r="FT480" i="7"/>
  <c r="FU480" i="7"/>
  <c r="FV480" i="7"/>
  <c r="FW480" i="7"/>
  <c r="D481" i="7"/>
  <c r="F481" i="7"/>
  <c r="G481" i="7"/>
  <c r="I481" i="7"/>
  <c r="J481" i="7"/>
  <c r="K481" i="7"/>
  <c r="L481" i="7"/>
  <c r="M481" i="7"/>
  <c r="N481" i="7"/>
  <c r="O481" i="7"/>
  <c r="P481" i="7"/>
  <c r="Q481" i="7"/>
  <c r="R481" i="7"/>
  <c r="S481" i="7"/>
  <c r="T481" i="7"/>
  <c r="U481" i="7"/>
  <c r="V481" i="7"/>
  <c r="X481" i="7"/>
  <c r="Y481" i="7"/>
  <c r="AA481" i="7"/>
  <c r="AB481" i="7"/>
  <c r="AD481" i="7"/>
  <c r="AE481" i="7"/>
  <c r="AG481" i="7"/>
  <c r="AH481" i="7"/>
  <c r="AJ481" i="7"/>
  <c r="AK481" i="7"/>
  <c r="AL481" i="7"/>
  <c r="AS481" i="7"/>
  <c r="AT481" i="7"/>
  <c r="AU481" i="7"/>
  <c r="AV481" i="7"/>
  <c r="AW481" i="7"/>
  <c r="AX481" i="7"/>
  <c r="AY481" i="7"/>
  <c r="AZ481" i="7"/>
  <c r="BB481" i="7"/>
  <c r="BC481" i="7"/>
  <c r="BD481" i="7"/>
  <c r="BE481" i="7"/>
  <c r="BF481" i="7"/>
  <c r="BK481" i="7"/>
  <c r="BL481" i="7"/>
  <c r="BM481" i="7"/>
  <c r="BQ481" i="7"/>
  <c r="BR481" i="7"/>
  <c r="BS481" i="7"/>
  <c r="BZ481" i="7"/>
  <c r="CA481" i="7"/>
  <c r="CB481" i="7"/>
  <c r="CF481" i="7"/>
  <c r="CG481" i="7"/>
  <c r="CH481" i="7"/>
  <c r="CI481" i="7"/>
  <c r="CJ481" i="7"/>
  <c r="CK481" i="7"/>
  <c r="CO481" i="7"/>
  <c r="CP481" i="7"/>
  <c r="CQ481" i="7"/>
  <c r="CU481" i="7"/>
  <c r="CV481" i="7"/>
  <c r="CW481" i="7"/>
  <c r="DA481" i="7"/>
  <c r="DB481" i="7"/>
  <c r="DC481" i="7"/>
  <c r="DG481" i="7"/>
  <c r="DH481" i="7"/>
  <c r="DI481" i="7"/>
  <c r="DM481" i="7"/>
  <c r="DN481" i="7"/>
  <c r="DO481" i="7"/>
  <c r="DP481" i="7"/>
  <c r="DQ481" i="7"/>
  <c r="DY481" i="7"/>
  <c r="DZ481" i="7"/>
  <c r="EA481" i="7"/>
  <c r="EE481" i="7"/>
  <c r="EF481" i="7"/>
  <c r="EG481" i="7"/>
  <c r="EK481" i="7"/>
  <c r="EL481" i="7"/>
  <c r="EM481" i="7"/>
  <c r="EQ481" i="7"/>
  <c r="ER481" i="7"/>
  <c r="ES481" i="7"/>
  <c r="EW481" i="7"/>
  <c r="EX481" i="7"/>
  <c r="EY481" i="7"/>
  <c r="FI481" i="7"/>
  <c r="FJ481" i="7"/>
  <c r="FL481" i="7"/>
  <c r="FM481" i="7"/>
  <c r="FN481" i="7"/>
  <c r="FO481" i="7"/>
  <c r="FP481" i="7"/>
  <c r="FQ481" i="7"/>
  <c r="FR481" i="7"/>
  <c r="FS481" i="7"/>
  <c r="FT481" i="7"/>
  <c r="FU481" i="7"/>
  <c r="FV481" i="7"/>
  <c r="FW481" i="7"/>
  <c r="D482" i="7"/>
  <c r="F482" i="7"/>
  <c r="G482" i="7"/>
  <c r="I482" i="7"/>
  <c r="J482" i="7"/>
  <c r="K482" i="7"/>
  <c r="L482" i="7"/>
  <c r="M482" i="7"/>
  <c r="N482" i="7"/>
  <c r="O482" i="7"/>
  <c r="P482" i="7"/>
  <c r="Q482" i="7"/>
  <c r="R482" i="7"/>
  <c r="S482" i="7"/>
  <c r="T482" i="7"/>
  <c r="U482" i="7"/>
  <c r="V482" i="7"/>
  <c r="X482" i="7"/>
  <c r="Y482" i="7"/>
  <c r="AA482" i="7"/>
  <c r="AB482" i="7"/>
  <c r="AD482" i="7"/>
  <c r="AE482" i="7"/>
  <c r="AG482" i="7"/>
  <c r="AH482" i="7"/>
  <c r="AJ482" i="7"/>
  <c r="AK482" i="7"/>
  <c r="AL482" i="7"/>
  <c r="AS482" i="7"/>
  <c r="AT482" i="7"/>
  <c r="AU482" i="7"/>
  <c r="AV482" i="7"/>
  <c r="AW482" i="7"/>
  <c r="AX482" i="7"/>
  <c r="AY482" i="7"/>
  <c r="AZ482" i="7"/>
  <c r="BB482" i="7"/>
  <c r="BC482" i="7"/>
  <c r="BD482" i="7"/>
  <c r="BE482" i="7"/>
  <c r="BF482" i="7"/>
  <c r="BG482" i="7"/>
  <c r="BK482" i="7"/>
  <c r="BL482" i="7"/>
  <c r="BM482" i="7"/>
  <c r="BQ482" i="7"/>
  <c r="BR482" i="7"/>
  <c r="BS482" i="7"/>
  <c r="BZ482" i="7"/>
  <c r="CA482" i="7"/>
  <c r="CB482" i="7"/>
  <c r="CF482" i="7"/>
  <c r="CG482" i="7"/>
  <c r="CH482" i="7"/>
  <c r="CI482" i="7"/>
  <c r="CJ482" i="7"/>
  <c r="CK482" i="7"/>
  <c r="CO482" i="7"/>
  <c r="CP482" i="7"/>
  <c r="CQ482" i="7"/>
  <c r="CU482" i="7"/>
  <c r="CV482" i="7"/>
  <c r="CW482" i="7"/>
  <c r="DA482" i="7"/>
  <c r="DB482" i="7"/>
  <c r="DC482" i="7"/>
  <c r="DG482" i="7"/>
  <c r="DH482" i="7"/>
  <c r="DI482" i="7"/>
  <c r="DM482" i="7"/>
  <c r="DN482" i="7"/>
  <c r="DO482" i="7"/>
  <c r="DP482" i="7"/>
  <c r="DQ482" i="7"/>
  <c r="DY482" i="7"/>
  <c r="DZ482" i="7"/>
  <c r="EA482" i="7"/>
  <c r="EE482" i="7"/>
  <c r="EF482" i="7"/>
  <c r="EG482" i="7"/>
  <c r="EK482" i="7"/>
  <c r="EL482" i="7"/>
  <c r="EM482" i="7"/>
  <c r="EQ482" i="7"/>
  <c r="ER482" i="7"/>
  <c r="ES482" i="7"/>
  <c r="EW482" i="7"/>
  <c r="EX482" i="7"/>
  <c r="EY482" i="7"/>
  <c r="FI482" i="7"/>
  <c r="FJ482" i="7"/>
  <c r="FL482" i="7"/>
  <c r="FM482" i="7"/>
  <c r="FN482" i="7"/>
  <c r="FO482" i="7"/>
  <c r="FP482" i="7"/>
  <c r="FQ482" i="7"/>
  <c r="FR482" i="7"/>
  <c r="FS482" i="7"/>
  <c r="FT482" i="7"/>
  <c r="FU482" i="7"/>
  <c r="FV482" i="7"/>
  <c r="FW482" i="7"/>
  <c r="D483" i="7"/>
  <c r="E483" i="7"/>
  <c r="F483" i="7"/>
  <c r="G483" i="7"/>
  <c r="I483" i="7"/>
  <c r="J483" i="7"/>
  <c r="K483" i="7"/>
  <c r="L483" i="7"/>
  <c r="M483" i="7"/>
  <c r="N483" i="7"/>
  <c r="O483" i="7"/>
  <c r="P483" i="7"/>
  <c r="Q483" i="7"/>
  <c r="R483" i="7"/>
  <c r="S483" i="7"/>
  <c r="T483" i="7"/>
  <c r="U483" i="7"/>
  <c r="V483" i="7"/>
  <c r="W483" i="7"/>
  <c r="X483" i="7"/>
  <c r="Y483" i="7"/>
  <c r="Z483" i="7"/>
  <c r="AA483" i="7"/>
  <c r="AB483" i="7"/>
  <c r="AC483" i="7"/>
  <c r="AD483" i="7"/>
  <c r="AE483" i="7"/>
  <c r="AF483" i="7"/>
  <c r="AG483" i="7"/>
  <c r="AH483" i="7"/>
  <c r="AJ483" i="7"/>
  <c r="AK483" i="7"/>
  <c r="AL483" i="7"/>
  <c r="AS483" i="7"/>
  <c r="AT483" i="7"/>
  <c r="AU483" i="7"/>
  <c r="AV483" i="7"/>
  <c r="AW483" i="7"/>
  <c r="AX483" i="7"/>
  <c r="AY483" i="7"/>
  <c r="AZ483" i="7"/>
  <c r="BB483" i="7"/>
  <c r="BC483" i="7"/>
  <c r="BD483" i="7"/>
  <c r="BE483" i="7"/>
  <c r="BF483" i="7"/>
  <c r="BG483" i="7"/>
  <c r="BK483" i="7"/>
  <c r="BL483" i="7"/>
  <c r="BM483" i="7"/>
  <c r="BQ483" i="7"/>
  <c r="BR483" i="7"/>
  <c r="BS483" i="7"/>
  <c r="BZ483" i="7"/>
  <c r="CA483" i="7"/>
  <c r="CB483" i="7"/>
  <c r="CF483" i="7"/>
  <c r="CG483" i="7"/>
  <c r="CH483" i="7"/>
  <c r="CI483" i="7"/>
  <c r="CJ483" i="7"/>
  <c r="CK483" i="7"/>
  <c r="CO483" i="7"/>
  <c r="CP483" i="7"/>
  <c r="CQ483" i="7"/>
  <c r="CU483" i="7"/>
  <c r="CV483" i="7"/>
  <c r="CW483" i="7"/>
  <c r="DA483" i="7"/>
  <c r="DB483" i="7"/>
  <c r="DC483" i="7"/>
  <c r="DG483" i="7"/>
  <c r="DH483" i="7"/>
  <c r="DI483" i="7"/>
  <c r="DM483" i="7"/>
  <c r="DN483" i="7"/>
  <c r="DO483" i="7"/>
  <c r="DP483" i="7"/>
  <c r="DQ483" i="7"/>
  <c r="DY483" i="7"/>
  <c r="DZ483" i="7"/>
  <c r="EA483" i="7"/>
  <c r="EE483" i="7"/>
  <c r="EF483" i="7"/>
  <c r="EG483" i="7"/>
  <c r="EK483" i="7"/>
  <c r="EL483" i="7"/>
  <c r="EM483" i="7"/>
  <c r="EQ483" i="7"/>
  <c r="ER483" i="7"/>
  <c r="ES483" i="7"/>
  <c r="EW483" i="7"/>
  <c r="EX483" i="7"/>
  <c r="EY483" i="7"/>
  <c r="FI483" i="7"/>
  <c r="FJ483" i="7"/>
  <c r="FL483" i="7"/>
  <c r="FM483" i="7"/>
  <c r="FN483" i="7"/>
  <c r="FO483" i="7"/>
  <c r="FP483" i="7"/>
  <c r="FQ483" i="7"/>
  <c r="FR483" i="7"/>
  <c r="FS483" i="7"/>
  <c r="FT483" i="7"/>
  <c r="FU483" i="7"/>
  <c r="FV483" i="7"/>
  <c r="FW483" i="7"/>
  <c r="D484" i="7"/>
  <c r="F484" i="7"/>
  <c r="G484" i="7"/>
  <c r="I484" i="7"/>
  <c r="J484" i="7"/>
  <c r="K484" i="7"/>
  <c r="L484" i="7"/>
  <c r="M484" i="7"/>
  <c r="N484" i="7"/>
  <c r="O484" i="7"/>
  <c r="P484" i="7"/>
  <c r="Q484" i="7"/>
  <c r="R484" i="7"/>
  <c r="S484" i="7"/>
  <c r="T484" i="7"/>
  <c r="U484" i="7"/>
  <c r="V484" i="7"/>
  <c r="X484" i="7"/>
  <c r="Y484" i="7"/>
  <c r="AA484" i="7"/>
  <c r="AB484" i="7"/>
  <c r="AD484" i="7"/>
  <c r="AE484" i="7"/>
  <c r="AG484" i="7"/>
  <c r="AH484" i="7"/>
  <c r="AJ484" i="7"/>
  <c r="AK484" i="7"/>
  <c r="AL484" i="7"/>
  <c r="AS484" i="7"/>
  <c r="AT484" i="7"/>
  <c r="AU484" i="7"/>
  <c r="AV484" i="7"/>
  <c r="AW484" i="7"/>
  <c r="AX484" i="7"/>
  <c r="AY484" i="7"/>
  <c r="AZ484" i="7"/>
  <c r="BB484" i="7"/>
  <c r="BC484" i="7"/>
  <c r="BD484" i="7"/>
  <c r="BE484" i="7"/>
  <c r="BF484" i="7"/>
  <c r="BG484" i="7"/>
  <c r="BK484" i="7"/>
  <c r="BL484" i="7"/>
  <c r="BM484" i="7"/>
  <c r="BQ484" i="7"/>
  <c r="BR484" i="7"/>
  <c r="BS484" i="7"/>
  <c r="BZ484" i="7"/>
  <c r="CA484" i="7"/>
  <c r="CB484" i="7"/>
  <c r="CF484" i="7"/>
  <c r="CG484" i="7"/>
  <c r="CH484" i="7"/>
  <c r="CI484" i="7"/>
  <c r="CJ484" i="7"/>
  <c r="CK484" i="7"/>
  <c r="CO484" i="7"/>
  <c r="CP484" i="7"/>
  <c r="CQ484" i="7"/>
  <c r="CU484" i="7"/>
  <c r="CV484" i="7"/>
  <c r="CW484" i="7"/>
  <c r="DA484" i="7"/>
  <c r="DB484" i="7"/>
  <c r="DC484" i="7"/>
  <c r="DG484" i="7"/>
  <c r="DH484" i="7"/>
  <c r="DI484" i="7"/>
  <c r="DM484" i="7"/>
  <c r="DN484" i="7"/>
  <c r="DO484" i="7"/>
  <c r="DP484" i="7"/>
  <c r="DQ484" i="7"/>
  <c r="DY484" i="7"/>
  <c r="DZ484" i="7"/>
  <c r="EA484" i="7"/>
  <c r="EE484" i="7"/>
  <c r="EF484" i="7"/>
  <c r="EG484" i="7"/>
  <c r="EK484" i="7"/>
  <c r="EL484" i="7"/>
  <c r="EM484" i="7"/>
  <c r="EQ484" i="7"/>
  <c r="ER484" i="7"/>
  <c r="ES484" i="7"/>
  <c r="EW484" i="7"/>
  <c r="EX484" i="7"/>
  <c r="EY484" i="7"/>
  <c r="FI484" i="7"/>
  <c r="FJ484" i="7"/>
  <c r="FL484" i="7"/>
  <c r="FM484" i="7"/>
  <c r="FN484" i="7"/>
  <c r="FO484" i="7"/>
  <c r="FP484" i="7"/>
  <c r="FQ484" i="7"/>
  <c r="FR484" i="7"/>
  <c r="FS484" i="7"/>
  <c r="FT484" i="7"/>
  <c r="FU484" i="7"/>
  <c r="FV484" i="7"/>
  <c r="FW484" i="7"/>
  <c r="C484" i="7"/>
  <c r="C483" i="7"/>
  <c r="C482" i="7"/>
  <c r="C481" i="7"/>
  <c r="C480" i="7"/>
  <c r="E442" i="3"/>
  <c r="D442" i="3" s="1"/>
  <c r="E441" i="3"/>
  <c r="D441" i="3" s="1"/>
  <c r="E440" i="3"/>
  <c r="D440" i="3" s="1"/>
  <c r="E439" i="3"/>
  <c r="D439" i="3" s="1"/>
  <c r="E438" i="3"/>
  <c r="D438" i="3" s="1"/>
  <c r="E437" i="3"/>
  <c r="D437" i="3" s="1"/>
  <c r="E436" i="3"/>
  <c r="D436" i="3" s="1"/>
  <c r="E435" i="3"/>
  <c r="D435" i="3" s="1"/>
  <c r="D434" i="3" s="1"/>
  <c r="BA397" i="7"/>
  <c r="BA398" i="7"/>
  <c r="AI397" i="7"/>
  <c r="AI398" i="7"/>
  <c r="AF397" i="7"/>
  <c r="AF398" i="7"/>
  <c r="AC397" i="7"/>
  <c r="AC398" i="7"/>
  <c r="Z397" i="7"/>
  <c r="Z398" i="7"/>
  <c r="W397" i="7"/>
  <c r="W398" i="7"/>
  <c r="H397" i="7"/>
  <c r="H398" i="7"/>
  <c r="E397" i="7"/>
  <c r="E398" i="7"/>
  <c r="BA395" i="7"/>
  <c r="BA396" i="7"/>
  <c r="AI395" i="7"/>
  <c r="AI396" i="7"/>
  <c r="AF395" i="7"/>
  <c r="AF396" i="7"/>
  <c r="AC395" i="7"/>
  <c r="AC396" i="7"/>
  <c r="Z395" i="7"/>
  <c r="Z396" i="7"/>
  <c r="W395" i="7"/>
  <c r="W396" i="7"/>
  <c r="H395" i="7"/>
  <c r="H396" i="7"/>
  <c r="E395" i="7"/>
  <c r="E396" i="7"/>
  <c r="BA392" i="7"/>
  <c r="BA393" i="7"/>
  <c r="BA394" i="7"/>
  <c r="AI392" i="7"/>
  <c r="AI393" i="7"/>
  <c r="AI394" i="7"/>
  <c r="AF392" i="7"/>
  <c r="AF393" i="7"/>
  <c r="AF394" i="7"/>
  <c r="AC392" i="7"/>
  <c r="AC393" i="7"/>
  <c r="AC394" i="7"/>
  <c r="Z392" i="7"/>
  <c r="Z393" i="7"/>
  <c r="Z394" i="7"/>
  <c r="W392" i="7"/>
  <c r="W393" i="7"/>
  <c r="W394" i="7"/>
  <c r="H392" i="7"/>
  <c r="H393" i="7"/>
  <c r="H394" i="7"/>
  <c r="E392" i="7"/>
  <c r="B392" i="7" s="1"/>
  <c r="E393" i="7"/>
  <c r="E394" i="7"/>
  <c r="BA389" i="7"/>
  <c r="BA390" i="7"/>
  <c r="BA391" i="7"/>
  <c r="AI390" i="7"/>
  <c r="AI391" i="7"/>
  <c r="AF390" i="7"/>
  <c r="AF391" i="7"/>
  <c r="AC390" i="7"/>
  <c r="AC391" i="7"/>
  <c r="Z390" i="7"/>
  <c r="Z391" i="7"/>
  <c r="W390" i="7"/>
  <c r="W391" i="7"/>
  <c r="H390" i="7"/>
  <c r="H391" i="7"/>
  <c r="E390" i="7"/>
  <c r="E391" i="7"/>
  <c r="AI389" i="7"/>
  <c r="AI388" i="7"/>
  <c r="AF389" i="7"/>
  <c r="AF388" i="7"/>
  <c r="AC389" i="7"/>
  <c r="AC388" i="7"/>
  <c r="Z389" i="7"/>
  <c r="Z388" i="7"/>
  <c r="W389" i="7"/>
  <c r="W388" i="7"/>
  <c r="H389" i="7"/>
  <c r="H388" i="7"/>
  <c r="E389" i="7"/>
  <c r="B389" i="7" s="1"/>
  <c r="E388" i="7"/>
  <c r="BA386" i="7"/>
  <c r="BA387" i="7"/>
  <c r="BA388" i="7"/>
  <c r="BA379" i="7"/>
  <c r="AI386" i="7"/>
  <c r="AI387" i="7"/>
  <c r="AF386" i="7"/>
  <c r="AF387" i="7"/>
  <c r="AC386" i="7"/>
  <c r="AC387" i="7"/>
  <c r="Z386" i="7"/>
  <c r="Z387" i="7"/>
  <c r="W386" i="7"/>
  <c r="W387" i="7"/>
  <c r="H386" i="7"/>
  <c r="H387" i="7"/>
  <c r="E386" i="7"/>
  <c r="E387" i="7"/>
  <c r="BA385" i="7"/>
  <c r="AI385" i="7"/>
  <c r="AF385" i="7"/>
  <c r="AC385" i="7"/>
  <c r="Z385" i="7"/>
  <c r="W385" i="7"/>
  <c r="H385" i="7"/>
  <c r="E385" i="7"/>
  <c r="BA382" i="7"/>
  <c r="BA383" i="7"/>
  <c r="BA384" i="7"/>
  <c r="AI382" i="7"/>
  <c r="AI383" i="7"/>
  <c r="AI384" i="7"/>
  <c r="AF382" i="7"/>
  <c r="AF383" i="7"/>
  <c r="AF384" i="7"/>
  <c r="AC382" i="7"/>
  <c r="AC383" i="7"/>
  <c r="AC384" i="7"/>
  <c r="Z382" i="7"/>
  <c r="Z383" i="7"/>
  <c r="Z384" i="7"/>
  <c r="W382" i="7"/>
  <c r="W383" i="7"/>
  <c r="W384" i="7"/>
  <c r="H382" i="7"/>
  <c r="H383" i="7"/>
  <c r="H384" i="7"/>
  <c r="E382" i="7"/>
  <c r="E383" i="7"/>
  <c r="E384" i="7"/>
  <c r="E423" i="3"/>
  <c r="D423" i="3" s="1"/>
  <c r="E433" i="3"/>
  <c r="D433" i="3" s="1"/>
  <c r="E432" i="3"/>
  <c r="D432" i="3" s="1"/>
  <c r="E431" i="3"/>
  <c r="D431" i="3" s="1"/>
  <c r="E430" i="3"/>
  <c r="D430" i="3" s="1"/>
  <c r="E429" i="3"/>
  <c r="D429" i="3" s="1"/>
  <c r="E428" i="3"/>
  <c r="D428" i="3" s="1"/>
  <c r="E427" i="3"/>
  <c r="D427" i="3" s="1"/>
  <c r="E426" i="3"/>
  <c r="D426" i="3" s="1"/>
  <c r="E425" i="3"/>
  <c r="D425" i="3" s="1"/>
  <c r="E424" i="3"/>
  <c r="D424" i="3" s="1"/>
  <c r="E422" i="3"/>
  <c r="D422" i="3" s="1"/>
  <c r="D421" i="3" s="1"/>
  <c r="E381" i="7"/>
  <c r="B381" i="7" s="1"/>
  <c r="H381" i="7"/>
  <c r="W381" i="7"/>
  <c r="Z381" i="7"/>
  <c r="AC381" i="7"/>
  <c r="AF381" i="7"/>
  <c r="AI381" i="7"/>
  <c r="E380" i="7"/>
  <c r="H380" i="7"/>
  <c r="W380" i="7"/>
  <c r="Z380" i="7"/>
  <c r="AC380" i="7"/>
  <c r="AF380" i="7"/>
  <c r="AI380" i="7"/>
  <c r="E379" i="7"/>
  <c r="H379" i="7"/>
  <c r="W379" i="7"/>
  <c r="W488" i="7" s="1"/>
  <c r="Z379" i="7"/>
  <c r="AC379" i="7"/>
  <c r="AF379" i="7"/>
  <c r="AI379" i="7"/>
  <c r="E378" i="7"/>
  <c r="H378" i="7"/>
  <c r="W378" i="7"/>
  <c r="Z378" i="7"/>
  <c r="AC378" i="7"/>
  <c r="AF378" i="7"/>
  <c r="AI378" i="7"/>
  <c r="BA381" i="7"/>
  <c r="BA378" i="7"/>
  <c r="BA380" i="7"/>
  <c r="BA376" i="7"/>
  <c r="BA377" i="7"/>
  <c r="AI376" i="7"/>
  <c r="AI377" i="7"/>
  <c r="AF376" i="7"/>
  <c r="AF377" i="7"/>
  <c r="AC376" i="7"/>
  <c r="AC377" i="7"/>
  <c r="Z376" i="7"/>
  <c r="Z377" i="7"/>
  <c r="W376" i="7"/>
  <c r="W377" i="7"/>
  <c r="H376" i="7"/>
  <c r="H377" i="7"/>
  <c r="E376" i="7"/>
  <c r="E377" i="7"/>
  <c r="BA374" i="7"/>
  <c r="BA375" i="7"/>
  <c r="AI374" i="7"/>
  <c r="AI375" i="7"/>
  <c r="AF374" i="7"/>
  <c r="AF375" i="7"/>
  <c r="AC374" i="7"/>
  <c r="AC375" i="7"/>
  <c r="Z374" i="7"/>
  <c r="Z375" i="7"/>
  <c r="W374" i="7"/>
  <c r="W375" i="7"/>
  <c r="H374" i="7"/>
  <c r="H375" i="7"/>
  <c r="E374" i="7"/>
  <c r="E375" i="7"/>
  <c r="BA372" i="7"/>
  <c r="BA373" i="7"/>
  <c r="BA355" i="7"/>
  <c r="W372" i="7"/>
  <c r="W373" i="7"/>
  <c r="AI372" i="7"/>
  <c r="AI373" i="7"/>
  <c r="AF372" i="7"/>
  <c r="AF373" i="7"/>
  <c r="AC372" i="7"/>
  <c r="AC373" i="7"/>
  <c r="Z372" i="7"/>
  <c r="Z373" i="7"/>
  <c r="H372" i="7"/>
  <c r="H373" i="7"/>
  <c r="E372" i="7"/>
  <c r="E373" i="7"/>
  <c r="E355" i="7"/>
  <c r="B355" i="7" s="1"/>
  <c r="BA371" i="7"/>
  <c r="AC371" i="7"/>
  <c r="Z371" i="7"/>
  <c r="W371" i="7"/>
  <c r="H371" i="7"/>
  <c r="AI371" i="7"/>
  <c r="AF371" i="7"/>
  <c r="E371" i="7"/>
  <c r="B371" i="7" s="1"/>
  <c r="AI370" i="7"/>
  <c r="AF370" i="7"/>
  <c r="AC370" i="7"/>
  <c r="Z370" i="7"/>
  <c r="W370" i="7"/>
  <c r="H370" i="7"/>
  <c r="E370" i="7"/>
  <c r="B370" i="7" s="1"/>
  <c r="BA370" i="7"/>
  <c r="AI367" i="7"/>
  <c r="AI368" i="7"/>
  <c r="AI369" i="7"/>
  <c r="AF367" i="7"/>
  <c r="AF368" i="7"/>
  <c r="AF369" i="7"/>
  <c r="AC367" i="7"/>
  <c r="AC368" i="7"/>
  <c r="AC369" i="7"/>
  <c r="Z367" i="7"/>
  <c r="Z368" i="7"/>
  <c r="Z369" i="7"/>
  <c r="W369" i="7"/>
  <c r="W368" i="7"/>
  <c r="W367" i="7"/>
  <c r="W487" i="7" s="1"/>
  <c r="H367" i="7"/>
  <c r="H487" i="7" s="1"/>
  <c r="H368" i="7"/>
  <c r="H369" i="7"/>
  <c r="BA369" i="7"/>
  <c r="BA368" i="7"/>
  <c r="BA367" i="7"/>
  <c r="E369" i="7"/>
  <c r="B369" i="7" s="1"/>
  <c r="E368" i="7"/>
  <c r="E367" i="7"/>
  <c r="E366" i="7"/>
  <c r="E365" i="7"/>
  <c r="E364" i="7"/>
  <c r="E420" i="3"/>
  <c r="D420" i="3" s="1"/>
  <c r="E419" i="3"/>
  <c r="D419" i="3" s="1"/>
  <c r="E418" i="3"/>
  <c r="D418" i="3" s="1"/>
  <c r="E417" i="3"/>
  <c r="D417" i="3" s="1"/>
  <c r="E416" i="3"/>
  <c r="D416" i="3" s="1"/>
  <c r="E415" i="3"/>
  <c r="D415" i="3" s="1"/>
  <c r="E414" i="3"/>
  <c r="D414" i="3" s="1"/>
  <c r="E413" i="3"/>
  <c r="D413" i="3" s="1"/>
  <c r="E412" i="3"/>
  <c r="D412" i="3" s="1"/>
  <c r="E411" i="3"/>
  <c r="D411" i="3" s="1"/>
  <c r="E410" i="3"/>
  <c r="D410" i="3" s="1"/>
  <c r="E409" i="3"/>
  <c r="D409" i="3" s="1"/>
  <c r="D408" i="3" s="1"/>
  <c r="E396" i="3"/>
  <c r="D396" i="3" s="1"/>
  <c r="D395" i="3" s="1"/>
  <c r="BA366" i="7"/>
  <c r="BA365" i="7"/>
  <c r="AI364" i="7"/>
  <c r="AI365" i="7"/>
  <c r="AI366" i="7"/>
  <c r="AF364" i="7"/>
  <c r="AF365" i="7"/>
  <c r="AF366" i="7"/>
  <c r="AC366" i="7"/>
  <c r="AC365" i="7"/>
  <c r="AC364" i="7"/>
  <c r="Z366" i="7"/>
  <c r="Z365" i="7"/>
  <c r="Z364" i="7"/>
  <c r="W366" i="7"/>
  <c r="W365" i="7"/>
  <c r="W364" i="7"/>
  <c r="H364" i="7"/>
  <c r="H365" i="7"/>
  <c r="H366" i="7"/>
  <c r="BA364" i="7"/>
  <c r="BA363" i="7"/>
  <c r="BA362" i="7"/>
  <c r="AF363" i="7"/>
  <c r="AF362" i="7"/>
  <c r="AC363" i="7"/>
  <c r="AC362" i="7"/>
  <c r="AC361" i="7"/>
  <c r="AC360" i="7"/>
  <c r="AC359" i="7"/>
  <c r="AC358" i="7"/>
  <c r="AC357" i="7"/>
  <c r="AC356" i="7"/>
  <c r="AI363" i="7"/>
  <c r="AI362" i="7"/>
  <c r="AI361" i="7"/>
  <c r="AI360" i="7"/>
  <c r="AI359" i="7"/>
  <c r="AI358" i="7"/>
  <c r="AI357" i="7"/>
  <c r="AI356" i="7"/>
  <c r="AI355" i="7"/>
  <c r="E363" i="7"/>
  <c r="E362" i="7"/>
  <c r="E361" i="7"/>
  <c r="E360" i="7"/>
  <c r="E359" i="7"/>
  <c r="E358" i="7"/>
  <c r="E357" i="7"/>
  <c r="E356" i="7"/>
  <c r="Z363" i="7"/>
  <c r="Z362" i="7"/>
  <c r="Z361" i="7"/>
  <c r="Z360" i="7"/>
  <c r="Z359" i="7"/>
  <c r="Z358" i="7"/>
  <c r="Z357" i="7"/>
  <c r="Z356" i="7"/>
  <c r="W363" i="7"/>
  <c r="W362" i="7"/>
  <c r="W361" i="7"/>
  <c r="W360" i="7"/>
  <c r="W359" i="7"/>
  <c r="W358" i="7"/>
  <c r="W357" i="7"/>
  <c r="W356" i="7"/>
  <c r="H363" i="7"/>
  <c r="H362" i="7"/>
  <c r="H361" i="7"/>
  <c r="H360" i="7"/>
  <c r="H359" i="7"/>
  <c r="H358" i="7"/>
  <c r="H357" i="7"/>
  <c r="H356" i="7"/>
  <c r="AF361" i="7"/>
  <c r="AF360" i="7"/>
  <c r="AF359" i="7"/>
  <c r="AF358" i="7"/>
  <c r="BA361" i="7"/>
  <c r="BA359" i="7"/>
  <c r="BA360" i="7"/>
  <c r="AF357" i="7"/>
  <c r="AF356" i="7"/>
  <c r="BA358" i="7"/>
  <c r="BA357" i="7"/>
  <c r="BA356" i="7"/>
  <c r="E397" i="3"/>
  <c r="D397" i="3" s="1"/>
  <c r="E398" i="3"/>
  <c r="D398" i="3" s="1"/>
  <c r="E399" i="3"/>
  <c r="D399" i="3" s="1"/>
  <c r="E400" i="3"/>
  <c r="D400" i="3" s="1"/>
  <c r="E401" i="3"/>
  <c r="D401" i="3" s="1"/>
  <c r="E402" i="3"/>
  <c r="D402" i="3" s="1"/>
  <c r="E403" i="3"/>
  <c r="D403" i="3" s="1"/>
  <c r="E404" i="3"/>
  <c r="D404" i="3" s="1"/>
  <c r="E405" i="3"/>
  <c r="D405" i="3" s="1"/>
  <c r="E406" i="3"/>
  <c r="D406" i="3" s="1"/>
  <c r="E407" i="3"/>
  <c r="D407" i="3" s="1"/>
  <c r="H355" i="7"/>
  <c r="W355" i="7"/>
  <c r="Z355" i="7"/>
  <c r="AC355" i="7"/>
  <c r="AF355" i="7"/>
  <c r="E354" i="7"/>
  <c r="H354" i="7"/>
  <c r="W354" i="7"/>
  <c r="Z354" i="7"/>
  <c r="AC354" i="7"/>
  <c r="AF354" i="7"/>
  <c r="AI354" i="7"/>
  <c r="E353" i="7"/>
  <c r="H353" i="7"/>
  <c r="W353" i="7"/>
  <c r="Z353" i="7"/>
  <c r="AC353" i="7"/>
  <c r="AF353" i="7"/>
  <c r="AI353" i="7"/>
  <c r="E352" i="7"/>
  <c r="H352" i="7"/>
  <c r="W352" i="7"/>
  <c r="Z352" i="7"/>
  <c r="AC352" i="7"/>
  <c r="AF352" i="7"/>
  <c r="AI352" i="7"/>
  <c r="AI283" i="7"/>
  <c r="AI284" i="7"/>
  <c r="AI285" i="7"/>
  <c r="AI286" i="7"/>
  <c r="AI287" i="7"/>
  <c r="AI288" i="7"/>
  <c r="AI289" i="7"/>
  <c r="AI290" i="7"/>
  <c r="AI291" i="7"/>
  <c r="AI292" i="7"/>
  <c r="AI293" i="7"/>
  <c r="AI294" i="7"/>
  <c r="AI295" i="7"/>
  <c r="AI296" i="7"/>
  <c r="AI297" i="7"/>
  <c r="AI298" i="7"/>
  <c r="AI299" i="7"/>
  <c r="AI300" i="7"/>
  <c r="AI301" i="7"/>
  <c r="AI302" i="7"/>
  <c r="AI303" i="7"/>
  <c r="AI304" i="7"/>
  <c r="AI305" i="7"/>
  <c r="AI306" i="7"/>
  <c r="AI307" i="7"/>
  <c r="AI308" i="7"/>
  <c r="AI309" i="7"/>
  <c r="AI310" i="7"/>
  <c r="AI311" i="7"/>
  <c r="AI312" i="7"/>
  <c r="AI313" i="7"/>
  <c r="AI314" i="7"/>
  <c r="AI315" i="7"/>
  <c r="AI316" i="7"/>
  <c r="AI317" i="7"/>
  <c r="AI318" i="7"/>
  <c r="AI330" i="7"/>
  <c r="AI483" i="7" s="1"/>
  <c r="AI331" i="7"/>
  <c r="AI332" i="7"/>
  <c r="AI333" i="7"/>
  <c r="AI334" i="7"/>
  <c r="AI335" i="7"/>
  <c r="AI336" i="7"/>
  <c r="AI337" i="7"/>
  <c r="AI338" i="7"/>
  <c r="AI339" i="7"/>
  <c r="AI340" i="7"/>
  <c r="AI341" i="7"/>
  <c r="AI342" i="7"/>
  <c r="AI343" i="7"/>
  <c r="AI344" i="7"/>
  <c r="AI345" i="7"/>
  <c r="AI346" i="7"/>
  <c r="AI347" i="7"/>
  <c r="AI348" i="7"/>
  <c r="AI349" i="7"/>
  <c r="AI350" i="7"/>
  <c r="BA354" i="7"/>
  <c r="BA353" i="7"/>
  <c r="BA352" i="7"/>
  <c r="BA351" i="7"/>
  <c r="BA350" i="7"/>
  <c r="W350" i="7"/>
  <c r="W351" i="7"/>
  <c r="AC351" i="7"/>
  <c r="AF351" i="7"/>
  <c r="AI351" i="7"/>
  <c r="H351" i="7"/>
  <c r="AF350" i="7"/>
  <c r="AC350" i="7"/>
  <c r="AC349" i="7"/>
  <c r="AC348" i="7"/>
  <c r="AC347" i="7"/>
  <c r="AC346" i="7"/>
  <c r="AC345" i="7"/>
  <c r="AC344" i="7"/>
  <c r="Z351" i="7"/>
  <c r="Z350" i="7"/>
  <c r="Z349" i="7"/>
  <c r="Z348" i="7"/>
  <c r="Z347" i="7"/>
  <c r="Z346" i="7"/>
  <c r="Z345" i="7"/>
  <c r="Z344" i="7"/>
  <c r="H350" i="7"/>
  <c r="E351" i="7"/>
  <c r="E350" i="7"/>
  <c r="E349" i="7"/>
  <c r="E348" i="7"/>
  <c r="E347" i="7"/>
  <c r="E346" i="7"/>
  <c r="H346" i="7"/>
  <c r="W346" i="7"/>
  <c r="AF346" i="7"/>
  <c r="E345" i="7"/>
  <c r="E344" i="7"/>
  <c r="AF349" i="7"/>
  <c r="AF348" i="7"/>
  <c r="W349" i="7"/>
  <c r="W348" i="7"/>
  <c r="H349" i="7"/>
  <c r="H348" i="7"/>
  <c r="BA349" i="7"/>
  <c r="BA348" i="7"/>
  <c r="E384" i="3"/>
  <c r="D384" i="3" s="1"/>
  <c r="E385" i="3"/>
  <c r="D385" i="3" s="1"/>
  <c r="E386" i="3"/>
  <c r="D386" i="3" s="1"/>
  <c r="E387" i="3"/>
  <c r="D387" i="3" s="1"/>
  <c r="E388" i="3"/>
  <c r="D388" i="3" s="1"/>
  <c r="E389" i="3"/>
  <c r="D389" i="3" s="1"/>
  <c r="E390" i="3"/>
  <c r="D390" i="3" s="1"/>
  <c r="E391" i="3"/>
  <c r="D391" i="3" s="1"/>
  <c r="E392" i="3"/>
  <c r="D392" i="3" s="1"/>
  <c r="E393" i="3"/>
  <c r="D393" i="3" s="1"/>
  <c r="E394" i="3"/>
  <c r="D394" i="3" s="1"/>
  <c r="E383" i="3"/>
  <c r="D383" i="3" s="1"/>
  <c r="D382" i="3" s="1"/>
  <c r="BA347" i="7"/>
  <c r="E343" i="7"/>
  <c r="AF347" i="7"/>
  <c r="AF345" i="7"/>
  <c r="AF344" i="7"/>
  <c r="AF343" i="7"/>
  <c r="AC343" i="7"/>
  <c r="Z343" i="7"/>
  <c r="W347" i="7"/>
  <c r="H347" i="7"/>
  <c r="W345" i="7"/>
  <c r="W344" i="7"/>
  <c r="H344" i="7"/>
  <c r="W343" i="7"/>
  <c r="H345" i="7"/>
  <c r="H343" i="7"/>
  <c r="BA346" i="7"/>
  <c r="BA345" i="7"/>
  <c r="BA344" i="7"/>
  <c r="BA343" i="7"/>
  <c r="AF342" i="7"/>
  <c r="AF341" i="7"/>
  <c r="AF340" i="7"/>
  <c r="AF339" i="7"/>
  <c r="AF338" i="7"/>
  <c r="AF337" i="7"/>
  <c r="AF336" i="7"/>
  <c r="AF335" i="7"/>
  <c r="AF334" i="7"/>
  <c r="AF333" i="7"/>
  <c r="AC342" i="7"/>
  <c r="AC341" i="7"/>
  <c r="AC340" i="7"/>
  <c r="AC339" i="7"/>
  <c r="AC338" i="7"/>
  <c r="AC337" i="7"/>
  <c r="AC336" i="7"/>
  <c r="AC335" i="7"/>
  <c r="AC334" i="7"/>
  <c r="Z342" i="7"/>
  <c r="Z341" i="7"/>
  <c r="Z340" i="7"/>
  <c r="Z339" i="7"/>
  <c r="Z338" i="7"/>
  <c r="Z337" i="7"/>
  <c r="Z336" i="7"/>
  <c r="Z335" i="7"/>
  <c r="Z334" i="7"/>
  <c r="Z333" i="7"/>
  <c r="Z332" i="7"/>
  <c r="Z331" i="7"/>
  <c r="W342" i="7"/>
  <c r="W341" i="7"/>
  <c r="W340" i="7"/>
  <c r="H340" i="7"/>
  <c r="H341" i="7"/>
  <c r="H342" i="7"/>
  <c r="E341" i="7"/>
  <c r="E342" i="7"/>
  <c r="E340" i="7"/>
  <c r="BA342" i="7"/>
  <c r="BA341" i="7"/>
  <c r="BA340" i="7"/>
  <c r="BA339" i="7"/>
  <c r="BA338" i="7"/>
  <c r="BA337" i="7"/>
  <c r="BA336" i="7"/>
  <c r="BA335" i="7"/>
  <c r="BA334" i="7"/>
  <c r="BA333" i="7"/>
  <c r="BA332" i="7"/>
  <c r="BD283" i="7"/>
  <c r="BD284" i="7"/>
  <c r="BA283" i="7"/>
  <c r="L196" i="6"/>
  <c r="L137" i="6"/>
  <c r="L78" i="6"/>
  <c r="L19" i="6"/>
  <c r="W339" i="7"/>
  <c r="W338" i="7"/>
  <c r="W337" i="7"/>
  <c r="W336" i="7"/>
  <c r="E339" i="7"/>
  <c r="H339" i="7"/>
  <c r="E338" i="7"/>
  <c r="E337" i="7"/>
  <c r="H336" i="7"/>
  <c r="H337" i="7"/>
  <c r="H338" i="7"/>
  <c r="AF332" i="7"/>
  <c r="AF331" i="7"/>
  <c r="W335" i="7"/>
  <c r="W334" i="7"/>
  <c r="H335" i="7"/>
  <c r="H334" i="7"/>
  <c r="H333" i="7"/>
  <c r="H332" i="7"/>
  <c r="H331" i="7"/>
  <c r="E334" i="7"/>
  <c r="E335" i="7"/>
  <c r="E336" i="7"/>
  <c r="L2" i="6"/>
  <c r="L3" i="6"/>
  <c r="L4" i="6"/>
  <c r="L5" i="6"/>
  <c r="L6" i="6"/>
  <c r="L8" i="6"/>
  <c r="L9" i="6"/>
  <c r="L10" i="6"/>
  <c r="L12" i="6"/>
  <c r="L13" i="6"/>
  <c r="L14" i="6"/>
  <c r="L15" i="6"/>
  <c r="L16" i="6"/>
  <c r="L17" i="6"/>
  <c r="L18" i="6"/>
  <c r="L20" i="6"/>
  <c r="L21" i="6"/>
  <c r="L22" i="6"/>
  <c r="L23" i="6"/>
  <c r="L24" i="6"/>
  <c r="L25" i="6"/>
  <c r="L26" i="6"/>
  <c r="L28" i="6"/>
  <c r="L30" i="6"/>
  <c r="L31" i="6"/>
  <c r="L32" i="6"/>
  <c r="L33" i="6"/>
  <c r="L34" i="6"/>
  <c r="L35" i="6"/>
  <c r="L36" i="6"/>
  <c r="L37" i="6"/>
  <c r="L38" i="6"/>
  <c r="L39" i="6"/>
  <c r="L41" i="6"/>
  <c r="L42" i="6"/>
  <c r="L43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9" i="6"/>
  <c r="L80" i="6"/>
  <c r="L81" i="6"/>
  <c r="L82" i="6"/>
  <c r="L83" i="6"/>
  <c r="L84" i="6"/>
  <c r="L85" i="6"/>
  <c r="L87" i="6"/>
  <c r="L89" i="6"/>
  <c r="L90" i="6"/>
  <c r="L91" i="6"/>
  <c r="L92" i="6"/>
  <c r="L93" i="6"/>
  <c r="L94" i="6"/>
  <c r="L95" i="6"/>
  <c r="L96" i="6"/>
  <c r="L97" i="6"/>
  <c r="L98" i="6"/>
  <c r="L100" i="6"/>
  <c r="L101" i="6"/>
  <c r="L102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8" i="6"/>
  <c r="L139" i="6"/>
  <c r="L140" i="6"/>
  <c r="L141" i="6"/>
  <c r="L142" i="6"/>
  <c r="L143" i="6"/>
  <c r="L144" i="6"/>
  <c r="L146" i="6"/>
  <c r="L148" i="6"/>
  <c r="L149" i="6"/>
  <c r="L150" i="6"/>
  <c r="L151" i="6"/>
  <c r="L152" i="6"/>
  <c r="L153" i="6"/>
  <c r="L154" i="6"/>
  <c r="L155" i="6"/>
  <c r="L156" i="6"/>
  <c r="L157" i="6"/>
  <c r="L159" i="6"/>
  <c r="L160" i="6"/>
  <c r="L161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7" i="6"/>
  <c r="L198" i="6"/>
  <c r="L200" i="6"/>
  <c r="L202" i="6"/>
  <c r="L205" i="6"/>
  <c r="L207" i="6"/>
  <c r="L208" i="6"/>
  <c r="L210" i="6"/>
  <c r="L212" i="6"/>
  <c r="L214" i="6"/>
  <c r="L216" i="6"/>
  <c r="L218" i="6"/>
  <c r="L219" i="6"/>
  <c r="L222" i="6"/>
  <c r="L224" i="6"/>
  <c r="L226" i="6"/>
  <c r="L228" i="6"/>
  <c r="L230" i="6"/>
  <c r="L234" i="6"/>
  <c r="L235" i="6"/>
  <c r="L236" i="6"/>
  <c r="L237" i="6"/>
  <c r="L238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E371" i="3"/>
  <c r="D371" i="3" s="1"/>
  <c r="E372" i="3"/>
  <c r="D372" i="3" s="1"/>
  <c r="E373" i="3"/>
  <c r="D373" i="3" s="1"/>
  <c r="E374" i="3"/>
  <c r="D374" i="3" s="1"/>
  <c r="E375" i="3"/>
  <c r="D375" i="3" s="1"/>
  <c r="E376" i="3"/>
  <c r="D376" i="3" s="1"/>
  <c r="E377" i="3"/>
  <c r="D377" i="3" s="1"/>
  <c r="E378" i="3"/>
  <c r="D378" i="3" s="1"/>
  <c r="E379" i="3"/>
  <c r="D379" i="3" s="1"/>
  <c r="E380" i="3"/>
  <c r="D380" i="3" s="1"/>
  <c r="E381" i="3"/>
  <c r="D381" i="3" s="1"/>
  <c r="E370" i="3"/>
  <c r="D370" i="3" s="1"/>
  <c r="D369" i="3" s="1"/>
  <c r="E333" i="7"/>
  <c r="E332" i="7"/>
  <c r="E331" i="7"/>
  <c r="H330" i="7"/>
  <c r="H483" i="7" s="1"/>
  <c r="W333" i="7"/>
  <c r="W332" i="7"/>
  <c r="W331" i="7"/>
  <c r="AC333" i="7"/>
  <c r="AC332" i="7"/>
  <c r="AC331" i="7"/>
  <c r="BA331" i="7"/>
  <c r="BA330" i="7"/>
  <c r="BA329" i="7"/>
  <c r="BA328" i="7"/>
  <c r="BA327" i="7"/>
  <c r="BA326" i="7"/>
  <c r="BA325" i="7"/>
  <c r="BA324" i="7"/>
  <c r="BA323" i="7"/>
  <c r="BA322" i="7"/>
  <c r="BA321" i="7"/>
  <c r="BA320" i="7"/>
  <c r="BA319" i="7"/>
  <c r="E358" i="3"/>
  <c r="D358" i="3" s="1"/>
  <c r="E359" i="3"/>
  <c r="D359" i="3" s="1"/>
  <c r="E360" i="3"/>
  <c r="D360" i="3" s="1"/>
  <c r="E361" i="3"/>
  <c r="D361" i="3" s="1"/>
  <c r="E362" i="3"/>
  <c r="D362" i="3" s="1"/>
  <c r="E363" i="3"/>
  <c r="D363" i="3" s="1"/>
  <c r="E364" i="3"/>
  <c r="D364" i="3" s="1"/>
  <c r="E365" i="3"/>
  <c r="D365" i="3" s="1"/>
  <c r="E366" i="3"/>
  <c r="D366" i="3" s="1"/>
  <c r="E367" i="3"/>
  <c r="D367" i="3" s="1"/>
  <c r="E368" i="3"/>
  <c r="D368" i="3" s="1"/>
  <c r="E357" i="3"/>
  <c r="D357" i="3" s="1"/>
  <c r="D356" i="3" s="1"/>
  <c r="AF314" i="7"/>
  <c r="AF315" i="7"/>
  <c r="AF316" i="7"/>
  <c r="AF317" i="7"/>
  <c r="AF318" i="7"/>
  <c r="AC314" i="7"/>
  <c r="AC315" i="7"/>
  <c r="AC316" i="7"/>
  <c r="AC317" i="7"/>
  <c r="AC318" i="7"/>
  <c r="Z314" i="7"/>
  <c r="Z315" i="7"/>
  <c r="Z316" i="7"/>
  <c r="Z317" i="7"/>
  <c r="Z318" i="7"/>
  <c r="W314" i="7"/>
  <c r="W315" i="7"/>
  <c r="W316" i="7"/>
  <c r="W317" i="7"/>
  <c r="W318" i="7"/>
  <c r="H314" i="7"/>
  <c r="H315" i="7"/>
  <c r="H316" i="7"/>
  <c r="H317" i="7"/>
  <c r="H318" i="7"/>
  <c r="E318" i="7"/>
  <c r="E317" i="7"/>
  <c r="E316" i="7"/>
  <c r="E315" i="7"/>
  <c r="E314" i="7"/>
  <c r="E313" i="7"/>
  <c r="BA314" i="7"/>
  <c r="BA315" i="7"/>
  <c r="BA316" i="7"/>
  <c r="BA317" i="7"/>
  <c r="BA318" i="7"/>
  <c r="BA311" i="7"/>
  <c r="BA312" i="7"/>
  <c r="BA313" i="7"/>
  <c r="AF313" i="7"/>
  <c r="AF312" i="7"/>
  <c r="AF311" i="7"/>
  <c r="AC313" i="7"/>
  <c r="AC312" i="7"/>
  <c r="AC311" i="7"/>
  <c r="Z313" i="7"/>
  <c r="Z312" i="7"/>
  <c r="Z311" i="7"/>
  <c r="W313" i="7"/>
  <c r="W312" i="7"/>
  <c r="W311" i="7"/>
  <c r="H313" i="7"/>
  <c r="H312" i="7"/>
  <c r="H311" i="7"/>
  <c r="E312" i="7"/>
  <c r="E311" i="7"/>
  <c r="BA310" i="7"/>
  <c r="BA309" i="7"/>
  <c r="BA308" i="7"/>
  <c r="BA307" i="7"/>
  <c r="AF308" i="7"/>
  <c r="AF309" i="7"/>
  <c r="AF310" i="7"/>
  <c r="AC310" i="7"/>
  <c r="AC309" i="7"/>
  <c r="AC308" i="7"/>
  <c r="Z308" i="7"/>
  <c r="Z309" i="7"/>
  <c r="Z310" i="7"/>
  <c r="W310" i="7"/>
  <c r="W309" i="7"/>
  <c r="W308" i="7"/>
  <c r="H310" i="7"/>
  <c r="H309" i="7"/>
  <c r="H308" i="7"/>
  <c r="E310" i="7"/>
  <c r="E309" i="7"/>
  <c r="E308" i="7"/>
  <c r="C4" i="7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AK4" i="7"/>
  <c r="AL4" i="7"/>
  <c r="AS4" i="7"/>
  <c r="AT4" i="7"/>
  <c r="AU4" i="7"/>
  <c r="AV4" i="7"/>
  <c r="AW4" i="7"/>
  <c r="AX4" i="7"/>
  <c r="E345" i="3"/>
  <c r="D345" i="3" s="1"/>
  <c r="E346" i="3"/>
  <c r="D346" i="3" s="1"/>
  <c r="E347" i="3"/>
  <c r="D347" i="3" s="1"/>
  <c r="E348" i="3"/>
  <c r="D348" i="3" s="1"/>
  <c r="E349" i="3"/>
  <c r="D349" i="3" s="1"/>
  <c r="E350" i="3"/>
  <c r="D350" i="3" s="1"/>
  <c r="E351" i="3"/>
  <c r="D351" i="3" s="1"/>
  <c r="E352" i="3"/>
  <c r="D352" i="3" s="1"/>
  <c r="E353" i="3"/>
  <c r="D353" i="3" s="1"/>
  <c r="E354" i="3"/>
  <c r="D354" i="3" s="1"/>
  <c r="E355" i="3"/>
  <c r="D355" i="3" s="1"/>
  <c r="E344" i="3"/>
  <c r="D344" i="3" s="1"/>
  <c r="D343" i="3" s="1"/>
  <c r="BA306" i="7"/>
  <c r="AF307" i="7"/>
  <c r="AF306" i="7"/>
  <c r="AC307" i="7"/>
  <c r="AC306" i="7"/>
  <c r="Z307" i="7"/>
  <c r="Z306" i="7"/>
  <c r="W307" i="7"/>
  <c r="W306" i="7"/>
  <c r="H307" i="7"/>
  <c r="H306" i="7"/>
  <c r="E307" i="7"/>
  <c r="E306" i="7"/>
  <c r="H305" i="7"/>
  <c r="H304" i="7"/>
  <c r="H303" i="7"/>
  <c r="H302" i="7"/>
  <c r="E305" i="7"/>
  <c r="E304" i="7"/>
  <c r="E303" i="7"/>
  <c r="E302" i="7"/>
  <c r="AF305" i="7"/>
  <c r="AF304" i="7"/>
  <c r="AF303" i="7"/>
  <c r="AF302" i="7"/>
  <c r="AC305" i="7"/>
  <c r="AC304" i="7"/>
  <c r="AC303" i="7"/>
  <c r="AC302" i="7"/>
  <c r="AC283" i="7"/>
  <c r="AC284" i="7"/>
  <c r="AC285" i="7"/>
  <c r="AC286" i="7"/>
  <c r="AC287" i="7"/>
  <c r="AC288" i="7"/>
  <c r="AC289" i="7"/>
  <c r="AC290" i="7"/>
  <c r="AC291" i="7"/>
  <c r="AC292" i="7"/>
  <c r="AC293" i="7"/>
  <c r="AC294" i="7"/>
  <c r="AC295" i="7"/>
  <c r="AC296" i="7"/>
  <c r="AC297" i="7"/>
  <c r="AC298" i="7"/>
  <c r="AC299" i="7"/>
  <c r="AC300" i="7"/>
  <c r="Z305" i="7"/>
  <c r="Z304" i="7"/>
  <c r="Z303" i="7"/>
  <c r="Z302" i="7"/>
  <c r="W305" i="7"/>
  <c r="W304" i="7"/>
  <c r="W303" i="7"/>
  <c r="W302" i="7"/>
  <c r="BA303" i="7"/>
  <c r="BA304" i="7"/>
  <c r="BA305" i="7"/>
  <c r="I11" i="3"/>
  <c r="J11" i="3" s="1"/>
  <c r="H295" i="7"/>
  <c r="H296" i="7"/>
  <c r="H297" i="7"/>
  <c r="H298" i="7"/>
  <c r="H299" i="7"/>
  <c r="H300" i="7"/>
  <c r="H301" i="7"/>
  <c r="E295" i="7"/>
  <c r="E296" i="7"/>
  <c r="E297" i="7"/>
  <c r="E298" i="7"/>
  <c r="E299" i="7"/>
  <c r="E300" i="7"/>
  <c r="E301" i="7"/>
  <c r="E332" i="3"/>
  <c r="D332" i="3" s="1"/>
  <c r="E333" i="3"/>
  <c r="D333" i="3" s="1"/>
  <c r="E334" i="3"/>
  <c r="D334" i="3" s="1"/>
  <c r="E335" i="3"/>
  <c r="D335" i="3" s="1"/>
  <c r="E336" i="3"/>
  <c r="D336" i="3" s="1"/>
  <c r="E337" i="3"/>
  <c r="D337" i="3" s="1"/>
  <c r="E338" i="3"/>
  <c r="D338" i="3" s="1"/>
  <c r="E339" i="3"/>
  <c r="D339" i="3" s="1"/>
  <c r="E340" i="3"/>
  <c r="D340" i="3" s="1"/>
  <c r="E341" i="3"/>
  <c r="D341" i="3" s="1"/>
  <c r="E342" i="3"/>
  <c r="D342" i="3" s="1"/>
  <c r="E331" i="3"/>
  <c r="D331" i="3" s="1"/>
  <c r="D330" i="3" s="1"/>
  <c r="E319" i="3"/>
  <c r="D319" i="3" s="1"/>
  <c r="E320" i="3"/>
  <c r="D320" i="3" s="1"/>
  <c r="E321" i="3"/>
  <c r="D321" i="3" s="1"/>
  <c r="E322" i="3"/>
  <c r="D322" i="3" s="1"/>
  <c r="E323" i="3"/>
  <c r="D323" i="3" s="1"/>
  <c r="E324" i="3"/>
  <c r="D324" i="3" s="1"/>
  <c r="E325" i="3"/>
  <c r="D325" i="3" s="1"/>
  <c r="E326" i="3"/>
  <c r="D326" i="3" s="1"/>
  <c r="E327" i="3"/>
  <c r="D327" i="3" s="1"/>
  <c r="E328" i="3"/>
  <c r="D328" i="3" s="1"/>
  <c r="E329" i="3"/>
  <c r="D329" i="3" s="1"/>
  <c r="E318" i="3"/>
  <c r="D318" i="3" s="1"/>
  <c r="D317" i="3" s="1"/>
  <c r="E306" i="3"/>
  <c r="D306" i="3" s="1"/>
  <c r="E307" i="3"/>
  <c r="D307" i="3" s="1"/>
  <c r="E308" i="3"/>
  <c r="D308" i="3" s="1"/>
  <c r="E309" i="3"/>
  <c r="D309" i="3" s="1"/>
  <c r="E310" i="3"/>
  <c r="D310" i="3" s="1"/>
  <c r="E311" i="3"/>
  <c r="D311" i="3" s="1"/>
  <c r="E312" i="3"/>
  <c r="D312" i="3" s="1"/>
  <c r="E313" i="3"/>
  <c r="D313" i="3" s="1"/>
  <c r="E314" i="3"/>
  <c r="D314" i="3" s="1"/>
  <c r="E315" i="3"/>
  <c r="D315" i="3" s="1"/>
  <c r="E316" i="3"/>
  <c r="D316" i="3" s="1"/>
  <c r="E305" i="3"/>
  <c r="D305" i="3" s="1"/>
  <c r="D304" i="3" s="1"/>
  <c r="E293" i="3"/>
  <c r="D293" i="3" s="1"/>
  <c r="E294" i="3"/>
  <c r="D294" i="3" s="1"/>
  <c r="E295" i="3"/>
  <c r="D295" i="3" s="1"/>
  <c r="E296" i="3"/>
  <c r="D296" i="3" s="1"/>
  <c r="E297" i="3"/>
  <c r="D297" i="3" s="1"/>
  <c r="E298" i="3"/>
  <c r="D298" i="3" s="1"/>
  <c r="E299" i="3"/>
  <c r="D299" i="3" s="1"/>
  <c r="E300" i="3"/>
  <c r="D300" i="3" s="1"/>
  <c r="E301" i="3"/>
  <c r="D301" i="3" s="1"/>
  <c r="E302" i="3"/>
  <c r="D302" i="3" s="1"/>
  <c r="E303" i="3"/>
  <c r="D303" i="3" s="1"/>
  <c r="E292" i="3"/>
  <c r="D292" i="3" s="1"/>
  <c r="D291" i="3" s="1"/>
  <c r="E280" i="3"/>
  <c r="D280" i="3" s="1"/>
  <c r="E281" i="3"/>
  <c r="D281" i="3" s="1"/>
  <c r="E282" i="3"/>
  <c r="D282" i="3" s="1"/>
  <c r="E283" i="3"/>
  <c r="D283" i="3" s="1"/>
  <c r="E284" i="3"/>
  <c r="D284" i="3" s="1"/>
  <c r="E285" i="3"/>
  <c r="D285" i="3" s="1"/>
  <c r="E286" i="3"/>
  <c r="D286" i="3" s="1"/>
  <c r="E287" i="3"/>
  <c r="D287" i="3" s="1"/>
  <c r="E288" i="3"/>
  <c r="D288" i="3" s="1"/>
  <c r="E289" i="3"/>
  <c r="D289" i="3" s="1"/>
  <c r="E290" i="3"/>
  <c r="D290" i="3" s="1"/>
  <c r="E279" i="3"/>
  <c r="D279" i="3" s="1"/>
  <c r="D278" i="3" s="1"/>
  <c r="E267" i="3"/>
  <c r="D267" i="3" s="1"/>
  <c r="E268" i="3"/>
  <c r="D268" i="3" s="1"/>
  <c r="E269" i="3"/>
  <c r="D269" i="3" s="1"/>
  <c r="E270" i="3"/>
  <c r="D270" i="3" s="1"/>
  <c r="E271" i="3"/>
  <c r="D271" i="3" s="1"/>
  <c r="E272" i="3"/>
  <c r="D272" i="3" s="1"/>
  <c r="E273" i="3"/>
  <c r="D273" i="3" s="1"/>
  <c r="E274" i="3"/>
  <c r="D274" i="3" s="1"/>
  <c r="E275" i="3"/>
  <c r="D275" i="3" s="1"/>
  <c r="E276" i="3"/>
  <c r="D276" i="3" s="1"/>
  <c r="E277" i="3"/>
  <c r="D277" i="3" s="1"/>
  <c r="E266" i="3"/>
  <c r="D266" i="3" s="1"/>
  <c r="D265" i="3" s="1"/>
  <c r="E254" i="3"/>
  <c r="D254" i="3" s="1"/>
  <c r="E255" i="3"/>
  <c r="D255" i="3" s="1"/>
  <c r="E256" i="3"/>
  <c r="D256" i="3" s="1"/>
  <c r="E257" i="3"/>
  <c r="D257" i="3" s="1"/>
  <c r="E258" i="3"/>
  <c r="D258" i="3" s="1"/>
  <c r="E259" i="3"/>
  <c r="D259" i="3" s="1"/>
  <c r="E260" i="3"/>
  <c r="D260" i="3" s="1"/>
  <c r="E261" i="3"/>
  <c r="D261" i="3" s="1"/>
  <c r="E262" i="3"/>
  <c r="D262" i="3" s="1"/>
  <c r="E263" i="3"/>
  <c r="D263" i="3" s="1"/>
  <c r="E264" i="3"/>
  <c r="D264" i="3" s="1"/>
  <c r="E253" i="3"/>
  <c r="D253" i="3" s="1"/>
  <c r="D252" i="3" s="1"/>
  <c r="E241" i="3"/>
  <c r="D241" i="3" s="1"/>
  <c r="E242" i="3"/>
  <c r="D242" i="3" s="1"/>
  <c r="E243" i="3"/>
  <c r="D243" i="3" s="1"/>
  <c r="E244" i="3"/>
  <c r="D244" i="3" s="1"/>
  <c r="E245" i="3"/>
  <c r="D245" i="3" s="1"/>
  <c r="E246" i="3"/>
  <c r="D246" i="3" s="1"/>
  <c r="E247" i="3"/>
  <c r="D247" i="3" s="1"/>
  <c r="E248" i="3"/>
  <c r="D248" i="3" s="1"/>
  <c r="E249" i="3"/>
  <c r="D249" i="3" s="1"/>
  <c r="E250" i="3"/>
  <c r="D250" i="3" s="1"/>
  <c r="E251" i="3"/>
  <c r="D251" i="3" s="1"/>
  <c r="E240" i="3"/>
  <c r="D240" i="3" s="1"/>
  <c r="D239" i="3" s="1"/>
  <c r="E228" i="3"/>
  <c r="D228" i="3" s="1"/>
  <c r="E229" i="3"/>
  <c r="D229" i="3" s="1"/>
  <c r="E230" i="3"/>
  <c r="D230" i="3" s="1"/>
  <c r="E231" i="3"/>
  <c r="D231" i="3" s="1"/>
  <c r="E232" i="3"/>
  <c r="D232" i="3" s="1"/>
  <c r="E233" i="3"/>
  <c r="D233" i="3" s="1"/>
  <c r="E234" i="3"/>
  <c r="D234" i="3" s="1"/>
  <c r="E235" i="3"/>
  <c r="D235" i="3" s="1"/>
  <c r="E236" i="3"/>
  <c r="D236" i="3" s="1"/>
  <c r="E237" i="3"/>
  <c r="D237" i="3" s="1"/>
  <c r="E238" i="3"/>
  <c r="D238" i="3" s="1"/>
  <c r="E227" i="3"/>
  <c r="D227" i="3" s="1"/>
  <c r="D226" i="3" s="1"/>
  <c r="E215" i="3"/>
  <c r="D215" i="3" s="1"/>
  <c r="E216" i="3"/>
  <c r="D216" i="3" s="1"/>
  <c r="E217" i="3"/>
  <c r="D217" i="3" s="1"/>
  <c r="E218" i="3"/>
  <c r="D218" i="3" s="1"/>
  <c r="E219" i="3"/>
  <c r="D219" i="3" s="1"/>
  <c r="E220" i="3"/>
  <c r="D220" i="3" s="1"/>
  <c r="E221" i="3"/>
  <c r="D221" i="3" s="1"/>
  <c r="E222" i="3"/>
  <c r="D222" i="3" s="1"/>
  <c r="E223" i="3"/>
  <c r="D223" i="3" s="1"/>
  <c r="E224" i="3"/>
  <c r="D224" i="3" s="1"/>
  <c r="E225" i="3"/>
  <c r="D225" i="3" s="1"/>
  <c r="E214" i="3"/>
  <c r="D214" i="3" s="1"/>
  <c r="D213" i="3" s="1"/>
  <c r="E202" i="3"/>
  <c r="D202" i="3" s="1"/>
  <c r="E203" i="3"/>
  <c r="D203" i="3" s="1"/>
  <c r="E204" i="3"/>
  <c r="D204" i="3" s="1"/>
  <c r="E205" i="3"/>
  <c r="D205" i="3" s="1"/>
  <c r="E206" i="3"/>
  <c r="D206" i="3" s="1"/>
  <c r="E207" i="3"/>
  <c r="D207" i="3" s="1"/>
  <c r="E208" i="3"/>
  <c r="D208" i="3" s="1"/>
  <c r="E209" i="3"/>
  <c r="D209" i="3" s="1"/>
  <c r="E210" i="3"/>
  <c r="D210" i="3" s="1"/>
  <c r="E211" i="3"/>
  <c r="D211" i="3" s="1"/>
  <c r="E212" i="3"/>
  <c r="D212" i="3" s="1"/>
  <c r="E201" i="3"/>
  <c r="D201" i="3" s="1"/>
  <c r="D200" i="3" s="1"/>
  <c r="E189" i="3"/>
  <c r="D189" i="3" s="1"/>
  <c r="E190" i="3"/>
  <c r="D190" i="3" s="1"/>
  <c r="E191" i="3"/>
  <c r="D191" i="3" s="1"/>
  <c r="E192" i="3"/>
  <c r="D192" i="3" s="1"/>
  <c r="E193" i="3"/>
  <c r="D193" i="3" s="1"/>
  <c r="E194" i="3"/>
  <c r="D194" i="3" s="1"/>
  <c r="E195" i="3"/>
  <c r="D195" i="3" s="1"/>
  <c r="E196" i="3"/>
  <c r="D196" i="3" s="1"/>
  <c r="E197" i="3"/>
  <c r="D197" i="3" s="1"/>
  <c r="E198" i="3"/>
  <c r="D198" i="3" s="1"/>
  <c r="E199" i="3"/>
  <c r="D199" i="3" s="1"/>
  <c r="E188" i="3"/>
  <c r="D188" i="3" s="1"/>
  <c r="D187" i="3" s="1"/>
  <c r="E176" i="3"/>
  <c r="D176" i="3" s="1"/>
  <c r="E177" i="3"/>
  <c r="D177" i="3" s="1"/>
  <c r="E178" i="3"/>
  <c r="D178" i="3" s="1"/>
  <c r="E179" i="3"/>
  <c r="D179" i="3" s="1"/>
  <c r="E180" i="3"/>
  <c r="D180" i="3" s="1"/>
  <c r="E181" i="3"/>
  <c r="D181" i="3" s="1"/>
  <c r="E182" i="3"/>
  <c r="D182" i="3" s="1"/>
  <c r="E183" i="3"/>
  <c r="D183" i="3" s="1"/>
  <c r="E184" i="3"/>
  <c r="D184" i="3" s="1"/>
  <c r="E185" i="3"/>
  <c r="D185" i="3" s="1"/>
  <c r="E186" i="3"/>
  <c r="D186" i="3" s="1"/>
  <c r="E175" i="3"/>
  <c r="D175" i="3" s="1"/>
  <c r="D174" i="3" s="1"/>
  <c r="E163" i="3"/>
  <c r="D163" i="3" s="1"/>
  <c r="E164" i="3"/>
  <c r="D164" i="3" s="1"/>
  <c r="E165" i="3"/>
  <c r="D165" i="3" s="1"/>
  <c r="E166" i="3"/>
  <c r="D166" i="3" s="1"/>
  <c r="E167" i="3"/>
  <c r="D167" i="3" s="1"/>
  <c r="E168" i="3"/>
  <c r="D168" i="3" s="1"/>
  <c r="E169" i="3"/>
  <c r="D169" i="3" s="1"/>
  <c r="E170" i="3"/>
  <c r="D170" i="3" s="1"/>
  <c r="E171" i="3"/>
  <c r="D171" i="3" s="1"/>
  <c r="E172" i="3"/>
  <c r="D172" i="3" s="1"/>
  <c r="E173" i="3"/>
  <c r="D173" i="3" s="1"/>
  <c r="E162" i="3"/>
  <c r="D162" i="3" s="1"/>
  <c r="D161" i="3" s="1"/>
  <c r="E150" i="3"/>
  <c r="D150" i="3" s="1"/>
  <c r="E151" i="3"/>
  <c r="D151" i="3" s="1"/>
  <c r="E152" i="3"/>
  <c r="D152" i="3" s="1"/>
  <c r="E153" i="3"/>
  <c r="D153" i="3" s="1"/>
  <c r="E154" i="3"/>
  <c r="D154" i="3" s="1"/>
  <c r="E155" i="3"/>
  <c r="D155" i="3" s="1"/>
  <c r="E156" i="3"/>
  <c r="D156" i="3" s="1"/>
  <c r="E157" i="3"/>
  <c r="D157" i="3" s="1"/>
  <c r="E158" i="3"/>
  <c r="D158" i="3" s="1"/>
  <c r="E159" i="3"/>
  <c r="D159" i="3" s="1"/>
  <c r="E160" i="3"/>
  <c r="D160" i="3" s="1"/>
  <c r="E149" i="3"/>
  <c r="D149" i="3" s="1"/>
  <c r="D148" i="3" s="1"/>
  <c r="E137" i="3"/>
  <c r="D137" i="3" s="1"/>
  <c r="E138" i="3"/>
  <c r="D138" i="3" s="1"/>
  <c r="E139" i="3"/>
  <c r="D139" i="3" s="1"/>
  <c r="E140" i="3"/>
  <c r="D140" i="3" s="1"/>
  <c r="E141" i="3"/>
  <c r="D141" i="3" s="1"/>
  <c r="E142" i="3"/>
  <c r="D142" i="3" s="1"/>
  <c r="E143" i="3"/>
  <c r="D143" i="3" s="1"/>
  <c r="E144" i="3"/>
  <c r="D144" i="3" s="1"/>
  <c r="E145" i="3"/>
  <c r="D145" i="3" s="1"/>
  <c r="E146" i="3"/>
  <c r="D146" i="3" s="1"/>
  <c r="E147" i="3"/>
  <c r="D147" i="3" s="1"/>
  <c r="E136" i="3"/>
  <c r="D136" i="3" s="1"/>
  <c r="D135" i="3" s="1"/>
  <c r="E124" i="3"/>
  <c r="D124" i="3" s="1"/>
  <c r="E125" i="3"/>
  <c r="D125" i="3" s="1"/>
  <c r="E126" i="3"/>
  <c r="D126" i="3" s="1"/>
  <c r="E127" i="3"/>
  <c r="D127" i="3" s="1"/>
  <c r="E128" i="3"/>
  <c r="D128" i="3" s="1"/>
  <c r="E129" i="3"/>
  <c r="D129" i="3" s="1"/>
  <c r="E130" i="3"/>
  <c r="D130" i="3" s="1"/>
  <c r="E131" i="3"/>
  <c r="D131" i="3" s="1"/>
  <c r="E132" i="3"/>
  <c r="D132" i="3" s="1"/>
  <c r="E133" i="3"/>
  <c r="D133" i="3" s="1"/>
  <c r="E134" i="3"/>
  <c r="D134" i="3" s="1"/>
  <c r="E123" i="3"/>
  <c r="D123" i="3" s="1"/>
  <c r="D122" i="3" s="1"/>
  <c r="E111" i="3"/>
  <c r="D111" i="3" s="1"/>
  <c r="E112" i="3"/>
  <c r="D112" i="3" s="1"/>
  <c r="E113" i="3"/>
  <c r="D113" i="3" s="1"/>
  <c r="E114" i="3"/>
  <c r="D114" i="3" s="1"/>
  <c r="E115" i="3"/>
  <c r="D115" i="3" s="1"/>
  <c r="E116" i="3"/>
  <c r="D116" i="3" s="1"/>
  <c r="E117" i="3"/>
  <c r="D117" i="3" s="1"/>
  <c r="E118" i="3"/>
  <c r="D118" i="3" s="1"/>
  <c r="E119" i="3"/>
  <c r="D119" i="3" s="1"/>
  <c r="E120" i="3"/>
  <c r="D120" i="3" s="1"/>
  <c r="E121" i="3"/>
  <c r="D121" i="3" s="1"/>
  <c r="E110" i="3"/>
  <c r="D110" i="3" s="1"/>
  <c r="D109" i="3" s="1"/>
  <c r="E98" i="3"/>
  <c r="D98" i="3" s="1"/>
  <c r="E99" i="3"/>
  <c r="D99" i="3" s="1"/>
  <c r="E100" i="3"/>
  <c r="D100" i="3" s="1"/>
  <c r="E101" i="3"/>
  <c r="D101" i="3" s="1"/>
  <c r="E102" i="3"/>
  <c r="D102" i="3" s="1"/>
  <c r="E103" i="3"/>
  <c r="D103" i="3" s="1"/>
  <c r="E104" i="3"/>
  <c r="D104" i="3" s="1"/>
  <c r="E105" i="3"/>
  <c r="D105" i="3" s="1"/>
  <c r="E106" i="3"/>
  <c r="D106" i="3" s="1"/>
  <c r="E107" i="3"/>
  <c r="D107" i="3" s="1"/>
  <c r="E108" i="3"/>
  <c r="D108" i="3" s="1"/>
  <c r="E97" i="3"/>
  <c r="D97" i="3" s="1"/>
  <c r="D96" i="3" s="1"/>
  <c r="E85" i="3"/>
  <c r="D85" i="3" s="1"/>
  <c r="E86" i="3"/>
  <c r="D86" i="3" s="1"/>
  <c r="E87" i="3"/>
  <c r="D87" i="3" s="1"/>
  <c r="E88" i="3"/>
  <c r="D88" i="3" s="1"/>
  <c r="E89" i="3"/>
  <c r="D89" i="3" s="1"/>
  <c r="E90" i="3"/>
  <c r="D90" i="3" s="1"/>
  <c r="E91" i="3"/>
  <c r="D91" i="3" s="1"/>
  <c r="E92" i="3"/>
  <c r="D92" i="3" s="1"/>
  <c r="E93" i="3"/>
  <c r="D93" i="3" s="1"/>
  <c r="E94" i="3"/>
  <c r="D94" i="3" s="1"/>
  <c r="E95" i="3"/>
  <c r="D95" i="3" s="1"/>
  <c r="E84" i="3"/>
  <c r="D84" i="3" s="1"/>
  <c r="D83" i="3" s="1"/>
  <c r="E72" i="3"/>
  <c r="D72" i="3" s="1"/>
  <c r="E73" i="3"/>
  <c r="D73" i="3" s="1"/>
  <c r="E74" i="3"/>
  <c r="D74" i="3" s="1"/>
  <c r="E75" i="3"/>
  <c r="D75" i="3" s="1"/>
  <c r="E76" i="3"/>
  <c r="D76" i="3" s="1"/>
  <c r="E77" i="3"/>
  <c r="D77" i="3" s="1"/>
  <c r="E78" i="3"/>
  <c r="D78" i="3" s="1"/>
  <c r="E79" i="3"/>
  <c r="D79" i="3" s="1"/>
  <c r="E80" i="3"/>
  <c r="D80" i="3" s="1"/>
  <c r="E81" i="3"/>
  <c r="D81" i="3" s="1"/>
  <c r="E82" i="3"/>
  <c r="D82" i="3" s="1"/>
  <c r="E71" i="3"/>
  <c r="D71" i="3" s="1"/>
  <c r="D70" i="3" s="1"/>
  <c r="E59" i="3"/>
  <c r="D59" i="3" s="1"/>
  <c r="E60" i="3"/>
  <c r="D60" i="3" s="1"/>
  <c r="E61" i="3"/>
  <c r="D61" i="3" s="1"/>
  <c r="E62" i="3"/>
  <c r="D62" i="3" s="1"/>
  <c r="E63" i="3"/>
  <c r="D63" i="3" s="1"/>
  <c r="E64" i="3"/>
  <c r="D64" i="3" s="1"/>
  <c r="E65" i="3"/>
  <c r="D65" i="3" s="1"/>
  <c r="E66" i="3"/>
  <c r="D66" i="3" s="1"/>
  <c r="E67" i="3"/>
  <c r="D67" i="3" s="1"/>
  <c r="E68" i="3"/>
  <c r="D68" i="3" s="1"/>
  <c r="E69" i="3"/>
  <c r="D69" i="3" s="1"/>
  <c r="E58" i="3"/>
  <c r="D58" i="3" s="1"/>
  <c r="D57" i="3" s="1"/>
  <c r="E46" i="3"/>
  <c r="D46" i="3" s="1"/>
  <c r="E47" i="3"/>
  <c r="D47" i="3" s="1"/>
  <c r="E48" i="3"/>
  <c r="D48" i="3" s="1"/>
  <c r="E49" i="3"/>
  <c r="D49" i="3" s="1"/>
  <c r="E50" i="3"/>
  <c r="D50" i="3" s="1"/>
  <c r="E51" i="3"/>
  <c r="D51" i="3" s="1"/>
  <c r="E52" i="3"/>
  <c r="D52" i="3" s="1"/>
  <c r="E53" i="3"/>
  <c r="D53" i="3" s="1"/>
  <c r="E54" i="3"/>
  <c r="D54" i="3" s="1"/>
  <c r="E55" i="3"/>
  <c r="D55" i="3" s="1"/>
  <c r="E56" i="3"/>
  <c r="D56" i="3" s="1"/>
  <c r="E45" i="3"/>
  <c r="D45" i="3" s="1"/>
  <c r="D44" i="3" s="1"/>
  <c r="E33" i="3"/>
  <c r="D33" i="3" s="1"/>
  <c r="E34" i="3"/>
  <c r="D34" i="3" s="1"/>
  <c r="E35" i="3"/>
  <c r="D35" i="3" s="1"/>
  <c r="E36" i="3"/>
  <c r="D36" i="3" s="1"/>
  <c r="E37" i="3"/>
  <c r="D37" i="3" s="1"/>
  <c r="E38" i="3"/>
  <c r="D38" i="3" s="1"/>
  <c r="E39" i="3"/>
  <c r="D39" i="3" s="1"/>
  <c r="E40" i="3"/>
  <c r="D40" i="3" s="1"/>
  <c r="E41" i="3"/>
  <c r="D41" i="3" s="1"/>
  <c r="E42" i="3"/>
  <c r="D42" i="3" s="1"/>
  <c r="E43" i="3"/>
  <c r="D43" i="3" s="1"/>
  <c r="E32" i="3"/>
  <c r="D32" i="3" s="1"/>
  <c r="D31" i="3" s="1"/>
  <c r="E19" i="3"/>
  <c r="D19" i="3" s="1"/>
  <c r="D18" i="3" s="1"/>
  <c r="E20" i="3"/>
  <c r="D20" i="3" s="1"/>
  <c r="E21" i="3"/>
  <c r="D21" i="3" s="1"/>
  <c r="E22" i="3"/>
  <c r="D22" i="3" s="1"/>
  <c r="E23" i="3"/>
  <c r="D23" i="3" s="1"/>
  <c r="E24" i="3"/>
  <c r="D24" i="3" s="1"/>
  <c r="E25" i="3"/>
  <c r="D25" i="3" s="1"/>
  <c r="E26" i="3"/>
  <c r="D26" i="3" s="1"/>
  <c r="E27" i="3"/>
  <c r="D27" i="3" s="1"/>
  <c r="E28" i="3"/>
  <c r="D28" i="3" s="1"/>
  <c r="E29" i="3"/>
  <c r="D29" i="3" s="1"/>
  <c r="E30" i="3"/>
  <c r="D30" i="3" s="1"/>
  <c r="BA302" i="7"/>
  <c r="BA301" i="7"/>
  <c r="BA300" i="7"/>
  <c r="BA299" i="7"/>
  <c r="BA298" i="7"/>
  <c r="BA297" i="7"/>
  <c r="BA296" i="7"/>
  <c r="BA295" i="7"/>
  <c r="BA294" i="7"/>
  <c r="BA293" i="7"/>
  <c r="BA292" i="7"/>
  <c r="BA291" i="7"/>
  <c r="BA290" i="7"/>
  <c r="BA289" i="7"/>
  <c r="BA288" i="7"/>
  <c r="BA287" i="7"/>
  <c r="BA286" i="7"/>
  <c r="BA285" i="7"/>
  <c r="BA284" i="7"/>
  <c r="AF301" i="7"/>
  <c r="AF300" i="7"/>
  <c r="AF299" i="7"/>
  <c r="AF298" i="7"/>
  <c r="AF297" i="7"/>
  <c r="AF296" i="7"/>
  <c r="AF295" i="7"/>
  <c r="AC301" i="7"/>
  <c r="Z301" i="7"/>
  <c r="Z300" i="7"/>
  <c r="Z299" i="7"/>
  <c r="Z298" i="7"/>
  <c r="Z297" i="7"/>
  <c r="Z296" i="7"/>
  <c r="Z295" i="7"/>
  <c r="W301" i="7"/>
  <c r="W300" i="7"/>
  <c r="W299" i="7"/>
  <c r="W298" i="7"/>
  <c r="W297" i="7"/>
  <c r="W296" i="7"/>
  <c r="W295" i="7"/>
  <c r="AF294" i="7"/>
  <c r="AF293" i="7"/>
  <c r="AF292" i="7"/>
  <c r="AF291" i="7"/>
  <c r="AF290" i="7"/>
  <c r="AF289" i="7"/>
  <c r="AF288" i="7"/>
  <c r="AF287" i="7"/>
  <c r="AF286" i="7"/>
  <c r="AF285" i="7"/>
  <c r="AF284" i="7"/>
  <c r="AF283" i="7"/>
  <c r="Z294" i="7"/>
  <c r="Z293" i="7"/>
  <c r="Z292" i="7"/>
  <c r="Z291" i="7"/>
  <c r="Z290" i="7"/>
  <c r="Z289" i="7"/>
  <c r="Z288" i="7"/>
  <c r="Z287" i="7"/>
  <c r="Z286" i="7"/>
  <c r="Z285" i="7"/>
  <c r="Z284" i="7"/>
  <c r="Z283" i="7"/>
  <c r="W294" i="7"/>
  <c r="W293" i="7"/>
  <c r="W292" i="7"/>
  <c r="W291" i="7"/>
  <c r="W290" i="7"/>
  <c r="W289" i="7"/>
  <c r="W288" i="7"/>
  <c r="W287" i="7"/>
  <c r="W286" i="7"/>
  <c r="W285" i="7"/>
  <c r="W284" i="7"/>
  <c r="W283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E294" i="7"/>
  <c r="E293" i="7"/>
  <c r="E292" i="7"/>
  <c r="E291" i="7"/>
  <c r="E290" i="7"/>
  <c r="E289" i="7"/>
  <c r="E288" i="7"/>
  <c r="E287" i="7"/>
  <c r="E286" i="7"/>
  <c r="E285" i="7"/>
  <c r="E284" i="7"/>
  <c r="E283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7" i="7"/>
  <c r="FW4" i="7"/>
  <c r="FV4" i="7"/>
  <c r="FU4" i="7"/>
  <c r="FT4" i="7"/>
  <c r="FS4" i="7"/>
  <c r="FR4" i="7"/>
  <c r="FQ4" i="7"/>
  <c r="FP4" i="7"/>
  <c r="FO4" i="7"/>
  <c r="FN4" i="7"/>
  <c r="FM4" i="7"/>
  <c r="FL4" i="7"/>
  <c r="FK4" i="7"/>
  <c r="FJ4" i="7"/>
  <c r="FI4" i="7"/>
  <c r="EY4" i="7"/>
  <c r="EX4" i="7"/>
  <c r="EW4" i="7"/>
  <c r="ES4" i="7"/>
  <c r="ER4" i="7"/>
  <c r="EQ4" i="7"/>
  <c r="EM4" i="7"/>
  <c r="EL4" i="7"/>
  <c r="EK4" i="7"/>
  <c r="EG4" i="7"/>
  <c r="EF4" i="7"/>
  <c r="EE4" i="7"/>
  <c r="EA4" i="7"/>
  <c r="DZ4" i="7"/>
  <c r="DY4" i="7"/>
  <c r="DR4" i="7"/>
  <c r="DQ4" i="7"/>
  <c r="DP4" i="7"/>
  <c r="DO4" i="7"/>
  <c r="DN4" i="7"/>
  <c r="DM4" i="7"/>
  <c r="DI4" i="7"/>
  <c r="DH4" i="7"/>
  <c r="DG4" i="7"/>
  <c r="DC4" i="7"/>
  <c r="DB4" i="7"/>
  <c r="DA4" i="7"/>
  <c r="CW4" i="7"/>
  <c r="CV4" i="7"/>
  <c r="CU4" i="7"/>
  <c r="CQ4" i="7"/>
  <c r="CP4" i="7"/>
  <c r="CO4" i="7"/>
  <c r="CK4" i="7"/>
  <c r="CJ4" i="7"/>
  <c r="CI4" i="7"/>
  <c r="CH4" i="7"/>
  <c r="CG4" i="7"/>
  <c r="CF4" i="7"/>
  <c r="CB4" i="7"/>
  <c r="CA4" i="7"/>
  <c r="BZ4" i="7"/>
  <c r="BS4" i="7"/>
  <c r="BR4" i="7"/>
  <c r="BQ4" i="7"/>
  <c r="BM4" i="7"/>
  <c r="BL4" i="7"/>
  <c r="BK4" i="7"/>
  <c r="BG4" i="7"/>
  <c r="BF4" i="7"/>
  <c r="BE4" i="7"/>
  <c r="BD4" i="7"/>
  <c r="BC4" i="7"/>
  <c r="BB4" i="7"/>
  <c r="BA4" i="7"/>
  <c r="AZ4" i="7"/>
  <c r="AY4" i="7"/>
  <c r="C8" i="3"/>
  <c r="B358" i="7" l="1"/>
  <c r="B359" i="7"/>
  <c r="B368" i="7"/>
  <c r="B373" i="7"/>
  <c r="B372" i="7"/>
  <c r="B379" i="7"/>
  <c r="B348" i="7"/>
  <c r="B340" i="7"/>
  <c r="B344" i="7"/>
  <c r="B349" i="7"/>
  <c r="B363" i="7"/>
  <c r="B364" i="7"/>
  <c r="B384" i="7"/>
  <c r="B385" i="7"/>
  <c r="B387" i="7"/>
  <c r="B391" i="7"/>
  <c r="B399" i="7"/>
  <c r="B353" i="7"/>
  <c r="B375" i="7"/>
  <c r="B347" i="7"/>
  <c r="B352" i="7"/>
  <c r="B361" i="7"/>
  <c r="B374" i="7"/>
  <c r="B376" i="7"/>
  <c r="B378" i="7"/>
  <c r="B401" i="7"/>
  <c r="B339" i="7"/>
  <c r="B342" i="7"/>
  <c r="B345" i="7"/>
  <c r="B350" i="7"/>
  <c r="B356" i="7"/>
  <c r="B365" i="7"/>
  <c r="B383" i="7"/>
  <c r="B386" i="7"/>
  <c r="B390" i="7"/>
  <c r="B394" i="7"/>
  <c r="B396" i="7"/>
  <c r="B398" i="7"/>
  <c r="E487" i="7"/>
  <c r="B367" i="7"/>
  <c r="B354" i="7"/>
  <c r="B380" i="7"/>
  <c r="B346" i="7"/>
  <c r="B360" i="7"/>
  <c r="B377" i="7"/>
  <c r="B402" i="7"/>
  <c r="B362" i="7"/>
  <c r="B400" i="7"/>
  <c r="B341" i="7"/>
  <c r="B343" i="7"/>
  <c r="B351" i="7"/>
  <c r="B357" i="7"/>
  <c r="B366" i="7"/>
  <c r="B382" i="7"/>
  <c r="B388" i="7"/>
  <c r="B393" i="7"/>
  <c r="B395" i="7"/>
  <c r="B397" i="7"/>
  <c r="H488" i="7"/>
  <c r="AF487" i="7"/>
  <c r="AI488" i="7"/>
  <c r="AC487" i="7"/>
  <c r="BA487" i="7"/>
  <c r="AF488" i="7"/>
  <c r="E488" i="7"/>
  <c r="BA488" i="7"/>
  <c r="Z487" i="7"/>
  <c r="AC488" i="7"/>
  <c r="AI487" i="7"/>
  <c r="Z488" i="7"/>
  <c r="BD480" i="7"/>
  <c r="E11" i="3"/>
  <c r="H480" i="7"/>
  <c r="Z481" i="7"/>
  <c r="AF481" i="7"/>
  <c r="BA482" i="7"/>
  <c r="DR483" i="7"/>
  <c r="DR484" i="7"/>
  <c r="FK483" i="7"/>
  <c r="BA483" i="7"/>
  <c r="BA484" i="7"/>
  <c r="W484" i="7"/>
  <c r="E484" i="7"/>
  <c r="H484" i="7"/>
  <c r="W485" i="7"/>
  <c r="AF485" i="7"/>
  <c r="E485" i="7"/>
  <c r="DR485" i="7"/>
  <c r="AI484" i="7"/>
  <c r="AC486" i="7"/>
  <c r="FK484" i="7"/>
  <c r="E489" i="7"/>
  <c r="FK489" i="7"/>
  <c r="AI485" i="7"/>
  <c r="AC481" i="7"/>
  <c r="AC480" i="7"/>
  <c r="Z482" i="7"/>
  <c r="AF484" i="7"/>
  <c r="DR486" i="7"/>
  <c r="AF486" i="7"/>
  <c r="FK486" i="7"/>
  <c r="AC489" i="7"/>
  <c r="BA481" i="7"/>
  <c r="E481" i="7"/>
  <c r="FK481" i="7"/>
  <c r="DR481" i="7"/>
  <c r="DR482" i="7"/>
  <c r="FK482" i="7"/>
  <c r="BA485" i="7"/>
  <c r="H485" i="7"/>
  <c r="E486" i="7"/>
  <c r="H482" i="7"/>
  <c r="AF482" i="7"/>
  <c r="AC485" i="7"/>
  <c r="H486" i="7"/>
  <c r="DR489" i="7"/>
  <c r="E480" i="7"/>
  <c r="W480" i="7"/>
  <c r="Z480" i="7"/>
  <c r="AF480" i="7"/>
  <c r="W481" i="7"/>
  <c r="H481" i="7"/>
  <c r="E482" i="7"/>
  <c r="W482" i="7"/>
  <c r="AC482" i="7"/>
  <c r="AC484" i="7"/>
  <c r="BA480" i="7"/>
  <c r="Z484" i="7"/>
  <c r="Z485" i="7"/>
  <c r="FK485" i="7"/>
  <c r="AI482" i="7"/>
  <c r="AI481" i="7"/>
  <c r="AI480" i="7"/>
  <c r="Z486" i="7"/>
  <c r="W486" i="7"/>
  <c r="AI486" i="7"/>
  <c r="BA486" i="7"/>
  <c r="BA489" i="7"/>
  <c r="AI489" i="7"/>
  <c r="AF489" i="7"/>
  <c r="Z489" i="7"/>
  <c r="W489" i="7"/>
  <c r="H489" i="7"/>
  <c r="K528" i="3" l="1"/>
  <c r="I528" i="3"/>
  <c r="G528" i="3"/>
  <c r="K527" i="3"/>
  <c r="I527" i="3"/>
  <c r="G527" i="3"/>
  <c r="G526" i="3"/>
  <c r="K526" i="3"/>
  <c r="I526" i="3"/>
  <c r="I524" i="3"/>
  <c r="K524" i="3"/>
  <c r="G524" i="3"/>
  <c r="K523" i="3"/>
  <c r="G523" i="3"/>
  <c r="I523" i="3"/>
  <c r="K522" i="3"/>
  <c r="I522" i="3"/>
  <c r="G522" i="3"/>
  <c r="K521" i="3"/>
  <c r="I521" i="3"/>
  <c r="G521" i="3"/>
  <c r="K520" i="3"/>
  <c r="G520" i="3"/>
  <c r="I520" i="3"/>
  <c r="K519" i="3"/>
  <c r="G519" i="3"/>
  <c r="I519" i="3"/>
  <c r="I518" i="3"/>
  <c r="G518" i="3"/>
  <c r="K518" i="3"/>
  <c r="I517" i="3"/>
  <c r="K517" i="3"/>
  <c r="G517" i="3"/>
  <c r="I516" i="3"/>
  <c r="K516" i="3"/>
  <c r="G516" i="3"/>
  <c r="K515" i="3"/>
  <c r="K513" i="3"/>
  <c r="G511" i="3"/>
  <c r="K514" i="3"/>
  <c r="I513" i="3"/>
  <c r="I511" i="3"/>
  <c r="G513" i="3"/>
  <c r="I515" i="3"/>
  <c r="K511" i="3"/>
  <c r="G510" i="3"/>
  <c r="G514" i="3"/>
  <c r="G515" i="3"/>
  <c r="K510" i="3"/>
  <c r="K509" i="3"/>
  <c r="I514" i="3"/>
  <c r="I510" i="3"/>
  <c r="I508" i="3"/>
  <c r="K508" i="3"/>
  <c r="I509" i="3"/>
  <c r="G509" i="3"/>
  <c r="G508" i="3"/>
  <c r="K507" i="3"/>
  <c r="I507" i="3"/>
  <c r="G507" i="3"/>
  <c r="K506" i="3"/>
  <c r="K505" i="3"/>
  <c r="G506" i="3"/>
  <c r="G505" i="3"/>
  <c r="I506" i="3"/>
  <c r="I505" i="3"/>
  <c r="I504" i="3"/>
  <c r="G504" i="3"/>
  <c r="K504" i="3"/>
  <c r="K503" i="3"/>
  <c r="G503" i="3"/>
  <c r="I503" i="3"/>
  <c r="I502" i="3"/>
  <c r="G502" i="3"/>
  <c r="K502" i="3"/>
  <c r="K501" i="3"/>
  <c r="I501" i="3"/>
  <c r="G501" i="3"/>
  <c r="I500" i="3"/>
  <c r="G500" i="3"/>
  <c r="K500" i="3"/>
  <c r="K329" i="3"/>
  <c r="K321" i="3"/>
  <c r="K312" i="3"/>
  <c r="K303" i="3"/>
  <c r="K295" i="3"/>
  <c r="K286" i="3"/>
  <c r="K277" i="3"/>
  <c r="K269" i="3"/>
  <c r="K260" i="3"/>
  <c r="K251" i="3"/>
  <c r="K243" i="3"/>
  <c r="K234" i="3"/>
  <c r="K225" i="3"/>
  <c r="K217" i="3"/>
  <c r="K208" i="3"/>
  <c r="K199" i="3"/>
  <c r="K191" i="3"/>
  <c r="K182" i="3"/>
  <c r="K173" i="3"/>
  <c r="K165" i="3"/>
  <c r="K156" i="3"/>
  <c r="K147" i="3"/>
  <c r="K139" i="3"/>
  <c r="K130" i="3"/>
  <c r="K121" i="3"/>
  <c r="K113" i="3"/>
  <c r="K104" i="3"/>
  <c r="K95" i="3"/>
  <c r="K87" i="3"/>
  <c r="K78" i="3"/>
  <c r="K69" i="3"/>
  <c r="K61" i="3"/>
  <c r="K52" i="3"/>
  <c r="K43" i="3"/>
  <c r="K35" i="3"/>
  <c r="K26" i="3"/>
  <c r="I327" i="3"/>
  <c r="I319" i="3"/>
  <c r="I310" i="3"/>
  <c r="I301" i="3"/>
  <c r="I293" i="3"/>
  <c r="I284" i="3"/>
  <c r="I275" i="3"/>
  <c r="I267" i="3"/>
  <c r="I258" i="3"/>
  <c r="I249" i="3"/>
  <c r="I241" i="3"/>
  <c r="I232" i="3"/>
  <c r="I223" i="3"/>
  <c r="I215" i="3"/>
  <c r="I206" i="3"/>
  <c r="I197" i="3"/>
  <c r="I189" i="3"/>
  <c r="I180" i="3"/>
  <c r="I171" i="3"/>
  <c r="I163" i="3"/>
  <c r="I154" i="3"/>
  <c r="I145" i="3"/>
  <c r="I137" i="3"/>
  <c r="I128" i="3"/>
  <c r="I119" i="3"/>
  <c r="I111" i="3"/>
  <c r="I102" i="3"/>
  <c r="I93" i="3"/>
  <c r="I85" i="3"/>
  <c r="I76" i="3"/>
  <c r="I67" i="3"/>
  <c r="I59" i="3"/>
  <c r="I50" i="3"/>
  <c r="I41" i="3"/>
  <c r="I33" i="3"/>
  <c r="I24" i="3"/>
  <c r="G326" i="3"/>
  <c r="G318" i="3"/>
  <c r="G309" i="3"/>
  <c r="G300" i="3"/>
  <c r="G292" i="3"/>
  <c r="G283" i="3"/>
  <c r="G274" i="3"/>
  <c r="G266" i="3"/>
  <c r="G257" i="3"/>
  <c r="G248" i="3"/>
  <c r="G240" i="3"/>
  <c r="G231" i="3"/>
  <c r="G222" i="3"/>
  <c r="K328" i="3"/>
  <c r="K320" i="3"/>
  <c r="K311" i="3"/>
  <c r="K302" i="3"/>
  <c r="K294" i="3"/>
  <c r="K285" i="3"/>
  <c r="K276" i="3"/>
  <c r="K268" i="3"/>
  <c r="K259" i="3"/>
  <c r="K250" i="3"/>
  <c r="K242" i="3"/>
  <c r="K233" i="3"/>
  <c r="K224" i="3"/>
  <c r="K216" i="3"/>
  <c r="K207" i="3"/>
  <c r="K198" i="3"/>
  <c r="K190" i="3"/>
  <c r="K181" i="3"/>
  <c r="K172" i="3"/>
  <c r="K164" i="3"/>
  <c r="K155" i="3"/>
  <c r="K146" i="3"/>
  <c r="K138" i="3"/>
  <c r="K129" i="3"/>
  <c r="K120" i="3"/>
  <c r="K112" i="3"/>
  <c r="K103" i="3"/>
  <c r="K94" i="3"/>
  <c r="K86" i="3"/>
  <c r="K77" i="3"/>
  <c r="K68" i="3"/>
  <c r="K60" i="3"/>
  <c r="K51" i="3"/>
  <c r="K42" i="3"/>
  <c r="K34" i="3"/>
  <c r="K25" i="3"/>
  <c r="I326" i="3"/>
  <c r="I318" i="3"/>
  <c r="I309" i="3"/>
  <c r="I300" i="3"/>
  <c r="I292" i="3"/>
  <c r="I283" i="3"/>
  <c r="I274" i="3"/>
  <c r="I266" i="3"/>
  <c r="I257" i="3"/>
  <c r="I248" i="3"/>
  <c r="I240" i="3"/>
  <c r="I231" i="3"/>
  <c r="I222" i="3"/>
  <c r="I214" i="3"/>
  <c r="I205" i="3"/>
  <c r="I196" i="3"/>
  <c r="I188" i="3"/>
  <c r="I179" i="3"/>
  <c r="I170" i="3"/>
  <c r="I162" i="3"/>
  <c r="I153" i="3"/>
  <c r="I144" i="3"/>
  <c r="I136" i="3"/>
  <c r="I127" i="3"/>
  <c r="I118" i="3"/>
  <c r="I110" i="3"/>
  <c r="I101" i="3"/>
  <c r="I92" i="3"/>
  <c r="I84" i="3"/>
  <c r="I75" i="3"/>
  <c r="I66" i="3"/>
  <c r="I58" i="3"/>
  <c r="I49" i="3"/>
  <c r="I40" i="3"/>
  <c r="I32" i="3"/>
  <c r="I23" i="3"/>
  <c r="G325" i="3"/>
  <c r="G316" i="3"/>
  <c r="G308" i="3"/>
  <c r="G299" i="3"/>
  <c r="G290" i="3"/>
  <c r="G282" i="3"/>
  <c r="G273" i="3"/>
  <c r="G264" i="3"/>
  <c r="G256" i="3"/>
  <c r="G247" i="3"/>
  <c r="G238" i="3"/>
  <c r="G230" i="3"/>
  <c r="G221" i="3"/>
  <c r="K327" i="3"/>
  <c r="K319" i="3"/>
  <c r="K310" i="3"/>
  <c r="K301" i="3"/>
  <c r="K293" i="3"/>
  <c r="K284" i="3"/>
  <c r="K275" i="3"/>
  <c r="K267" i="3"/>
  <c r="K258" i="3"/>
  <c r="K249" i="3"/>
  <c r="K241" i="3"/>
  <c r="K232" i="3"/>
  <c r="K223" i="3"/>
  <c r="K215" i="3"/>
  <c r="K206" i="3"/>
  <c r="K197" i="3"/>
  <c r="K189" i="3"/>
  <c r="K180" i="3"/>
  <c r="K171" i="3"/>
  <c r="K163" i="3"/>
  <c r="K154" i="3"/>
  <c r="K145" i="3"/>
  <c r="K137" i="3"/>
  <c r="K128" i="3"/>
  <c r="K119" i="3"/>
  <c r="K111" i="3"/>
  <c r="K102" i="3"/>
  <c r="K93" i="3"/>
  <c r="K85" i="3"/>
  <c r="K76" i="3"/>
  <c r="K67" i="3"/>
  <c r="K59" i="3"/>
  <c r="K50" i="3"/>
  <c r="K41" i="3"/>
  <c r="K33" i="3"/>
  <c r="K24" i="3"/>
  <c r="I325" i="3"/>
  <c r="I316" i="3"/>
  <c r="I308" i="3"/>
  <c r="I299" i="3"/>
  <c r="I290" i="3"/>
  <c r="I282" i="3"/>
  <c r="I273" i="3"/>
  <c r="I264" i="3"/>
  <c r="I256" i="3"/>
  <c r="I247" i="3"/>
  <c r="I238" i="3"/>
  <c r="I230" i="3"/>
  <c r="I221" i="3"/>
  <c r="I212" i="3"/>
  <c r="I204" i="3"/>
  <c r="I195" i="3"/>
  <c r="I186" i="3"/>
  <c r="I178" i="3"/>
  <c r="I169" i="3"/>
  <c r="I160" i="3"/>
  <c r="I152" i="3"/>
  <c r="I143" i="3"/>
  <c r="I134" i="3"/>
  <c r="I126" i="3"/>
  <c r="I117" i="3"/>
  <c r="I108" i="3"/>
  <c r="I100" i="3"/>
  <c r="I91" i="3"/>
  <c r="I82" i="3"/>
  <c r="I74" i="3"/>
  <c r="I65" i="3"/>
  <c r="I56" i="3"/>
  <c r="I48" i="3"/>
  <c r="I39" i="3"/>
  <c r="I30" i="3"/>
  <c r="I22" i="3"/>
  <c r="G324" i="3"/>
  <c r="G315" i="3"/>
  <c r="G307" i="3"/>
  <c r="G298" i="3"/>
  <c r="G289" i="3"/>
  <c r="G281" i="3"/>
  <c r="G272" i="3"/>
  <c r="G263" i="3"/>
  <c r="G255" i="3"/>
  <c r="G246" i="3"/>
  <c r="G237" i="3"/>
  <c r="G229" i="3"/>
  <c r="G220" i="3"/>
  <c r="K326" i="3"/>
  <c r="K314" i="3"/>
  <c r="K299" i="3"/>
  <c r="K287" i="3"/>
  <c r="K272" i="3"/>
  <c r="K257" i="3"/>
  <c r="K245" i="3"/>
  <c r="K230" i="3"/>
  <c r="K218" i="3"/>
  <c r="K203" i="3"/>
  <c r="K188" i="3"/>
  <c r="K176" i="3"/>
  <c r="K160" i="3"/>
  <c r="K149" i="3"/>
  <c r="K133" i="3"/>
  <c r="K118" i="3"/>
  <c r="K106" i="3"/>
  <c r="K91" i="3"/>
  <c r="K79" i="3"/>
  <c r="K64" i="3"/>
  <c r="K49" i="3"/>
  <c r="K37" i="3"/>
  <c r="K22" i="3"/>
  <c r="I320" i="3"/>
  <c r="I305" i="3"/>
  <c r="I289" i="3"/>
  <c r="I277" i="3"/>
  <c r="I262" i="3"/>
  <c r="I250" i="3"/>
  <c r="I235" i="3"/>
  <c r="I220" i="3"/>
  <c r="I208" i="3"/>
  <c r="I193" i="3"/>
  <c r="I181" i="3"/>
  <c r="I166" i="3"/>
  <c r="I151" i="3"/>
  <c r="I139" i="3"/>
  <c r="I124" i="3"/>
  <c r="I112" i="3"/>
  <c r="I97" i="3"/>
  <c r="I81" i="3"/>
  <c r="I69" i="3"/>
  <c r="I54" i="3"/>
  <c r="I42" i="3"/>
  <c r="I27" i="3"/>
  <c r="G323" i="3"/>
  <c r="G311" i="3"/>
  <c r="G296" i="3"/>
  <c r="G284" i="3"/>
  <c r="G269" i="3"/>
  <c r="G254" i="3"/>
  <c r="G242" i="3"/>
  <c r="G227" i="3"/>
  <c r="G215" i="3"/>
  <c r="G206" i="3"/>
  <c r="G197" i="3"/>
  <c r="G189" i="3"/>
  <c r="G180" i="3"/>
  <c r="G171" i="3"/>
  <c r="G163" i="3"/>
  <c r="G154" i="3"/>
  <c r="G145" i="3"/>
  <c r="G137" i="3"/>
  <c r="G128" i="3"/>
  <c r="G119" i="3"/>
  <c r="G111" i="3"/>
  <c r="G102" i="3"/>
  <c r="G93" i="3"/>
  <c r="G85" i="3"/>
  <c r="G76" i="3"/>
  <c r="G67" i="3"/>
  <c r="G59" i="3"/>
  <c r="G50" i="3"/>
  <c r="G41" i="3"/>
  <c r="G33" i="3"/>
  <c r="G24" i="3"/>
  <c r="K20" i="3"/>
  <c r="G253" i="3"/>
  <c r="G205" i="3"/>
  <c r="G188" i="3"/>
  <c r="G170" i="3"/>
  <c r="G153" i="3"/>
  <c r="G136" i="3"/>
  <c r="G118" i="3"/>
  <c r="G110" i="3"/>
  <c r="G92" i="3"/>
  <c r="G75" i="3"/>
  <c r="G58" i="3"/>
  <c r="G49" i="3"/>
  <c r="G32" i="3"/>
  <c r="G23" i="3"/>
  <c r="G74" i="3"/>
  <c r="G65" i="3"/>
  <c r="G39" i="3"/>
  <c r="K323" i="3"/>
  <c r="K266" i="3"/>
  <c r="K254" i="3"/>
  <c r="K227" i="3"/>
  <c r="K184" i="3"/>
  <c r="K157" i="3"/>
  <c r="K115" i="3"/>
  <c r="K73" i="3"/>
  <c r="K30" i="3"/>
  <c r="I313" i="3"/>
  <c r="I286" i="3"/>
  <c r="I244" i="3"/>
  <c r="I217" i="3"/>
  <c r="I175" i="3"/>
  <c r="I132" i="3"/>
  <c r="I105" i="3"/>
  <c r="K325" i="3"/>
  <c r="K313" i="3"/>
  <c r="K298" i="3"/>
  <c r="K283" i="3"/>
  <c r="K271" i="3"/>
  <c r="K256" i="3"/>
  <c r="K244" i="3"/>
  <c r="K229" i="3"/>
  <c r="K214" i="3"/>
  <c r="K202" i="3"/>
  <c r="K186" i="3"/>
  <c r="K175" i="3"/>
  <c r="K159" i="3"/>
  <c r="K144" i="3"/>
  <c r="K132" i="3"/>
  <c r="K117" i="3"/>
  <c r="K105" i="3"/>
  <c r="K90" i="3"/>
  <c r="K75" i="3"/>
  <c r="K63" i="3"/>
  <c r="K48" i="3"/>
  <c r="K36" i="3"/>
  <c r="K21" i="3"/>
  <c r="I315" i="3"/>
  <c r="I303" i="3"/>
  <c r="I288" i="3"/>
  <c r="I276" i="3"/>
  <c r="I261" i="3"/>
  <c r="I246" i="3"/>
  <c r="I234" i="3"/>
  <c r="I219" i="3"/>
  <c r="I207" i="3"/>
  <c r="I192" i="3"/>
  <c r="I177" i="3"/>
  <c r="I165" i="3"/>
  <c r="I150" i="3"/>
  <c r="I138" i="3"/>
  <c r="I123" i="3"/>
  <c r="I107" i="3"/>
  <c r="I95" i="3"/>
  <c r="I80" i="3"/>
  <c r="I68" i="3"/>
  <c r="I53" i="3"/>
  <c r="I38" i="3"/>
  <c r="I26" i="3"/>
  <c r="G322" i="3"/>
  <c r="G310" i="3"/>
  <c r="G295" i="3"/>
  <c r="G280" i="3"/>
  <c r="G268" i="3"/>
  <c r="G241" i="3"/>
  <c r="G225" i="3"/>
  <c r="G214" i="3"/>
  <c r="G196" i="3"/>
  <c r="G179" i="3"/>
  <c r="G162" i="3"/>
  <c r="G144" i="3"/>
  <c r="G127" i="3"/>
  <c r="G101" i="3"/>
  <c r="G84" i="3"/>
  <c r="G66" i="3"/>
  <c r="G40" i="3"/>
  <c r="G48" i="3"/>
  <c r="G22" i="3"/>
  <c r="K296" i="3"/>
  <c r="K196" i="3"/>
  <c r="K142" i="3"/>
  <c r="K100" i="3"/>
  <c r="K58" i="3"/>
  <c r="I298" i="3"/>
  <c r="I259" i="3"/>
  <c r="I202" i="3"/>
  <c r="I147" i="3"/>
  <c r="I90" i="3"/>
  <c r="K324" i="3"/>
  <c r="K309" i="3"/>
  <c r="K297" i="3"/>
  <c r="K282" i="3"/>
  <c r="K270" i="3"/>
  <c r="K255" i="3"/>
  <c r="K240" i="3"/>
  <c r="K228" i="3"/>
  <c r="K212" i="3"/>
  <c r="K201" i="3"/>
  <c r="K185" i="3"/>
  <c r="K170" i="3"/>
  <c r="K158" i="3"/>
  <c r="K143" i="3"/>
  <c r="K131" i="3"/>
  <c r="K116" i="3"/>
  <c r="K101" i="3"/>
  <c r="K89" i="3"/>
  <c r="K74" i="3"/>
  <c r="K62" i="3"/>
  <c r="K47" i="3"/>
  <c r="K32" i="3"/>
  <c r="I329" i="3"/>
  <c r="I314" i="3"/>
  <c r="I302" i="3"/>
  <c r="I287" i="3"/>
  <c r="I272" i="3"/>
  <c r="I260" i="3"/>
  <c r="I245" i="3"/>
  <c r="I233" i="3"/>
  <c r="I218" i="3"/>
  <c r="I203" i="3"/>
  <c r="I191" i="3"/>
  <c r="I176" i="3"/>
  <c r="I164" i="3"/>
  <c r="I149" i="3"/>
  <c r="I133" i="3"/>
  <c r="I121" i="3"/>
  <c r="I106" i="3"/>
  <c r="I94" i="3"/>
  <c r="I79" i="3"/>
  <c r="I64" i="3"/>
  <c r="I52" i="3"/>
  <c r="I37" i="3"/>
  <c r="I25" i="3"/>
  <c r="G321" i="3"/>
  <c r="G306" i="3"/>
  <c r="G294" i="3"/>
  <c r="G279" i="3"/>
  <c r="G267" i="3"/>
  <c r="G251" i="3"/>
  <c r="G236" i="3"/>
  <c r="G224" i="3"/>
  <c r="G212" i="3"/>
  <c r="G204" i="3"/>
  <c r="G195" i="3"/>
  <c r="G186" i="3"/>
  <c r="G178" i="3"/>
  <c r="G169" i="3"/>
  <c r="G160" i="3"/>
  <c r="G152" i="3"/>
  <c r="G143" i="3"/>
  <c r="G134" i="3"/>
  <c r="G126" i="3"/>
  <c r="G117" i="3"/>
  <c r="G108" i="3"/>
  <c r="G100" i="3"/>
  <c r="G91" i="3"/>
  <c r="G82" i="3"/>
  <c r="G56" i="3"/>
  <c r="G30" i="3"/>
  <c r="K308" i="3"/>
  <c r="K281" i="3"/>
  <c r="K238" i="3"/>
  <c r="K211" i="3"/>
  <c r="K169" i="3"/>
  <c r="K127" i="3"/>
  <c r="K88" i="3"/>
  <c r="K46" i="3"/>
  <c r="I328" i="3"/>
  <c r="I271" i="3"/>
  <c r="I229" i="3"/>
  <c r="I190" i="3"/>
  <c r="I159" i="3"/>
  <c r="I120" i="3"/>
  <c r="K322" i="3"/>
  <c r="K292" i="3"/>
  <c r="K264" i="3"/>
  <c r="K237" i="3"/>
  <c r="K210" i="3"/>
  <c r="K183" i="3"/>
  <c r="K153" i="3"/>
  <c r="K126" i="3"/>
  <c r="K99" i="3"/>
  <c r="K72" i="3"/>
  <c r="K45" i="3"/>
  <c r="I324" i="3"/>
  <c r="I297" i="3"/>
  <c r="I270" i="3"/>
  <c r="I243" i="3"/>
  <c r="I216" i="3"/>
  <c r="I185" i="3"/>
  <c r="I158" i="3"/>
  <c r="I131" i="3"/>
  <c r="I104" i="3"/>
  <c r="I78" i="3"/>
  <c r="I60" i="3"/>
  <c r="I35" i="3"/>
  <c r="G327" i="3"/>
  <c r="G302" i="3"/>
  <c r="G277" i="3"/>
  <c r="G259" i="3"/>
  <c r="G234" i="3"/>
  <c r="G216" i="3"/>
  <c r="G201" i="3"/>
  <c r="G185" i="3"/>
  <c r="G173" i="3"/>
  <c r="G158" i="3"/>
  <c r="G146" i="3"/>
  <c r="G131" i="3"/>
  <c r="G116" i="3"/>
  <c r="G104" i="3"/>
  <c r="G89" i="3"/>
  <c r="G77" i="3"/>
  <c r="G62" i="3"/>
  <c r="G47" i="3"/>
  <c r="G35" i="3"/>
  <c r="G20" i="3"/>
  <c r="G320" i="3"/>
  <c r="G276" i="3"/>
  <c r="G233" i="3"/>
  <c r="G211" i="3"/>
  <c r="G199" i="3"/>
  <c r="G172" i="3"/>
  <c r="G157" i="3"/>
  <c r="G142" i="3"/>
  <c r="G115" i="3"/>
  <c r="G103" i="3"/>
  <c r="G73" i="3"/>
  <c r="G61" i="3"/>
  <c r="G34" i="3"/>
  <c r="G99" i="3"/>
  <c r="G60" i="3"/>
  <c r="I19" i="3"/>
  <c r="K261" i="3"/>
  <c r="K231" i="3"/>
  <c r="K177" i="3"/>
  <c r="K150" i="3"/>
  <c r="K92" i="3"/>
  <c r="I294" i="3"/>
  <c r="I209" i="3"/>
  <c r="I98" i="3"/>
  <c r="I28" i="3"/>
  <c r="G293" i="3"/>
  <c r="G228" i="3"/>
  <c r="G182" i="3"/>
  <c r="G140" i="3"/>
  <c r="G98" i="3"/>
  <c r="G71" i="3"/>
  <c r="G28" i="3"/>
  <c r="K280" i="3"/>
  <c r="K195" i="3"/>
  <c r="K168" i="3"/>
  <c r="K84" i="3"/>
  <c r="K56" i="3"/>
  <c r="K29" i="3"/>
  <c r="I255" i="3"/>
  <c r="I173" i="3"/>
  <c r="I89" i="3"/>
  <c r="I46" i="3"/>
  <c r="G288" i="3"/>
  <c r="G223" i="3"/>
  <c r="G166" i="3"/>
  <c r="G139" i="3"/>
  <c r="G97" i="3"/>
  <c r="G69" i="3"/>
  <c r="G42" i="3"/>
  <c r="K279" i="3"/>
  <c r="K194" i="3"/>
  <c r="K110" i="3"/>
  <c r="K28" i="3"/>
  <c r="I254" i="3"/>
  <c r="I172" i="3"/>
  <c r="I88" i="3"/>
  <c r="I45" i="3"/>
  <c r="G287" i="3"/>
  <c r="G219" i="3"/>
  <c r="G177" i="3"/>
  <c r="G150" i="3"/>
  <c r="G107" i="3"/>
  <c r="G68" i="3"/>
  <c r="G26" i="3"/>
  <c r="K305" i="3"/>
  <c r="K220" i="3"/>
  <c r="K166" i="3"/>
  <c r="K108" i="3"/>
  <c r="I307" i="3"/>
  <c r="I198" i="3"/>
  <c r="I141" i="3"/>
  <c r="I43" i="3"/>
  <c r="G286" i="3"/>
  <c r="G218" i="3"/>
  <c r="G176" i="3"/>
  <c r="G121" i="3"/>
  <c r="G64" i="3"/>
  <c r="G25" i="3"/>
  <c r="K273" i="3"/>
  <c r="K134" i="3"/>
  <c r="K53" i="3"/>
  <c r="K318" i="3"/>
  <c r="K290" i="3"/>
  <c r="K263" i="3"/>
  <c r="K236" i="3"/>
  <c r="K209" i="3"/>
  <c r="K179" i="3"/>
  <c r="K152" i="3"/>
  <c r="K125" i="3"/>
  <c r="K98" i="3"/>
  <c r="K71" i="3"/>
  <c r="K40" i="3"/>
  <c r="I323" i="3"/>
  <c r="I296" i="3"/>
  <c r="I269" i="3"/>
  <c r="I242" i="3"/>
  <c r="I211" i="3"/>
  <c r="I184" i="3"/>
  <c r="I157" i="3"/>
  <c r="I130" i="3"/>
  <c r="I103" i="3"/>
  <c r="I77" i="3"/>
  <c r="I55" i="3"/>
  <c r="I34" i="3"/>
  <c r="G301" i="3"/>
  <c r="G258" i="3"/>
  <c r="G184" i="3"/>
  <c r="G130" i="3"/>
  <c r="G88" i="3"/>
  <c r="G46" i="3"/>
  <c r="K19" i="3"/>
  <c r="G72" i="3"/>
  <c r="G29" i="3"/>
  <c r="K288" i="3"/>
  <c r="K65" i="3"/>
  <c r="I263" i="3"/>
  <c r="I182" i="3"/>
  <c r="I125" i="3"/>
  <c r="I72" i="3"/>
  <c r="G271" i="3"/>
  <c r="G194" i="3"/>
  <c r="G155" i="3"/>
  <c r="G113" i="3"/>
  <c r="G55" i="3"/>
  <c r="G19" i="3"/>
  <c r="K253" i="3"/>
  <c r="K141" i="3"/>
  <c r="I312" i="3"/>
  <c r="I228" i="3"/>
  <c r="I146" i="3"/>
  <c r="I71" i="3"/>
  <c r="G313" i="3"/>
  <c r="G245" i="3"/>
  <c r="G193" i="3"/>
  <c r="G151" i="3"/>
  <c r="G112" i="3"/>
  <c r="G54" i="3"/>
  <c r="K306" i="3"/>
  <c r="K167" i="3"/>
  <c r="K55" i="3"/>
  <c r="I281" i="3"/>
  <c r="I199" i="3"/>
  <c r="I115" i="3"/>
  <c r="I20" i="3"/>
  <c r="G262" i="3"/>
  <c r="G207" i="3"/>
  <c r="G138" i="3"/>
  <c r="G95" i="3"/>
  <c r="G53" i="3"/>
  <c r="K274" i="3"/>
  <c r="K136" i="3"/>
  <c r="K27" i="3"/>
  <c r="I253" i="3"/>
  <c r="I168" i="3"/>
  <c r="I87" i="3"/>
  <c r="G329" i="3"/>
  <c r="G261" i="3"/>
  <c r="G191" i="3"/>
  <c r="G149" i="3"/>
  <c r="G94" i="3"/>
  <c r="G52" i="3"/>
  <c r="K300" i="3"/>
  <c r="K219" i="3"/>
  <c r="K192" i="3"/>
  <c r="K162" i="3"/>
  <c r="K80" i="3"/>
  <c r="K316" i="3"/>
  <c r="K289" i="3"/>
  <c r="K262" i="3"/>
  <c r="K235" i="3"/>
  <c r="K205" i="3"/>
  <c r="K178" i="3"/>
  <c r="K151" i="3"/>
  <c r="K124" i="3"/>
  <c r="K97" i="3"/>
  <c r="K66" i="3"/>
  <c r="K39" i="3"/>
  <c r="I322" i="3"/>
  <c r="I295" i="3"/>
  <c r="I268" i="3"/>
  <c r="I237" i="3"/>
  <c r="I210" i="3"/>
  <c r="I183" i="3"/>
  <c r="I156" i="3"/>
  <c r="I129" i="3"/>
  <c r="I99" i="3"/>
  <c r="I73" i="3"/>
  <c r="I51" i="3"/>
  <c r="I29" i="3"/>
  <c r="G319" i="3"/>
  <c r="G297" i="3"/>
  <c r="G275" i="3"/>
  <c r="G250" i="3"/>
  <c r="G232" i="3"/>
  <c r="G210" i="3"/>
  <c r="G198" i="3"/>
  <c r="G183" i="3"/>
  <c r="G168" i="3"/>
  <c r="G156" i="3"/>
  <c r="G141" i="3"/>
  <c r="G129" i="3"/>
  <c r="G114" i="3"/>
  <c r="G87" i="3"/>
  <c r="G45" i="3"/>
  <c r="K315" i="3"/>
  <c r="K204" i="3"/>
  <c r="K123" i="3"/>
  <c r="K38" i="3"/>
  <c r="I321" i="3"/>
  <c r="I236" i="3"/>
  <c r="I155" i="3"/>
  <c r="I47" i="3"/>
  <c r="G314" i="3"/>
  <c r="G249" i="3"/>
  <c r="G209" i="3"/>
  <c r="G167" i="3"/>
  <c r="G125" i="3"/>
  <c r="G86" i="3"/>
  <c r="G43" i="3"/>
  <c r="K307" i="3"/>
  <c r="K222" i="3"/>
  <c r="K114" i="3"/>
  <c r="I285" i="3"/>
  <c r="I201" i="3"/>
  <c r="I116" i="3"/>
  <c r="I21" i="3"/>
  <c r="G270" i="3"/>
  <c r="G208" i="3"/>
  <c r="G181" i="3"/>
  <c r="G124" i="3"/>
  <c r="G81" i="3"/>
  <c r="G27" i="3"/>
  <c r="K248" i="3"/>
  <c r="K221" i="3"/>
  <c r="K140" i="3"/>
  <c r="K82" i="3"/>
  <c r="I311" i="3"/>
  <c r="I227" i="3"/>
  <c r="I142" i="3"/>
  <c r="I63" i="3"/>
  <c r="G312" i="3"/>
  <c r="G244" i="3"/>
  <c r="G192" i="3"/>
  <c r="G165" i="3"/>
  <c r="G123" i="3"/>
  <c r="G80" i="3"/>
  <c r="G38" i="3"/>
  <c r="K247" i="3"/>
  <c r="K193" i="3"/>
  <c r="K81" i="3"/>
  <c r="K54" i="3"/>
  <c r="I280" i="3"/>
  <c r="I225" i="3"/>
  <c r="I114" i="3"/>
  <c r="I62" i="3"/>
  <c r="G305" i="3"/>
  <c r="G243" i="3"/>
  <c r="G203" i="3"/>
  <c r="G164" i="3"/>
  <c r="G133" i="3"/>
  <c r="G106" i="3"/>
  <c r="G79" i="3"/>
  <c r="G37" i="3"/>
  <c r="K246" i="3"/>
  <c r="K107" i="3"/>
  <c r="K23" i="3"/>
  <c r="I306" i="3"/>
  <c r="I86" i="3"/>
  <c r="G217" i="3"/>
  <c r="G105" i="3"/>
  <c r="I279" i="3"/>
  <c r="I61" i="3"/>
  <c r="G202" i="3"/>
  <c r="G90" i="3"/>
  <c r="I251" i="3"/>
  <c r="I36" i="3"/>
  <c r="G190" i="3"/>
  <c r="G78" i="3"/>
  <c r="I224" i="3"/>
  <c r="G63" i="3"/>
  <c r="G303" i="3"/>
  <c r="I167" i="3"/>
  <c r="G36" i="3"/>
  <c r="G132" i="3"/>
  <c r="G235" i="3"/>
  <c r="G175" i="3"/>
  <c r="G159" i="3"/>
  <c r="G285" i="3"/>
  <c r="G260" i="3"/>
  <c r="I113" i="3"/>
  <c r="G328" i="3"/>
  <c r="I194" i="3"/>
  <c r="G51" i="3"/>
  <c r="G147" i="3"/>
  <c r="I140" i="3"/>
  <c r="G21" i="3"/>
  <c r="G120" i="3"/>
  <c r="K498" i="3"/>
  <c r="G498" i="3"/>
  <c r="I498" i="3"/>
  <c r="K496" i="3"/>
  <c r="I495" i="3"/>
  <c r="G494" i="3"/>
  <c r="K492" i="3"/>
  <c r="I491" i="3"/>
  <c r="G490" i="3"/>
  <c r="K488" i="3"/>
  <c r="I487" i="3"/>
  <c r="G485" i="3"/>
  <c r="K483" i="3"/>
  <c r="I482" i="3"/>
  <c r="G481" i="3"/>
  <c r="K479" i="3"/>
  <c r="I478" i="3"/>
  <c r="G477" i="3"/>
  <c r="K475" i="3"/>
  <c r="I474" i="3"/>
  <c r="G472" i="3"/>
  <c r="K470" i="3"/>
  <c r="I469" i="3"/>
  <c r="G468" i="3"/>
  <c r="K466" i="3"/>
  <c r="I465" i="3"/>
  <c r="G464" i="3"/>
  <c r="K462" i="3"/>
  <c r="I461" i="3"/>
  <c r="G459" i="3"/>
  <c r="K457" i="3"/>
  <c r="I456" i="3"/>
  <c r="G455" i="3"/>
  <c r="K453" i="3"/>
  <c r="I452" i="3"/>
  <c r="G451" i="3"/>
  <c r="K449" i="3"/>
  <c r="I448" i="3"/>
  <c r="G446" i="3"/>
  <c r="K444" i="3"/>
  <c r="I443" i="3"/>
  <c r="G442" i="3"/>
  <c r="K440" i="3"/>
  <c r="I439" i="3"/>
  <c r="G438" i="3"/>
  <c r="I435" i="3"/>
  <c r="G433" i="3"/>
  <c r="K431" i="3"/>
  <c r="I430" i="3"/>
  <c r="G429" i="3"/>
  <c r="K427" i="3"/>
  <c r="I426" i="3"/>
  <c r="G425" i="3"/>
  <c r="I422" i="3"/>
  <c r="K418" i="3"/>
  <c r="G416" i="3"/>
  <c r="G412" i="3"/>
  <c r="K405" i="3"/>
  <c r="I400" i="3"/>
  <c r="K392" i="3"/>
  <c r="I387" i="3"/>
  <c r="G381" i="3"/>
  <c r="K375" i="3"/>
  <c r="I370" i="3"/>
  <c r="K362" i="3"/>
  <c r="G355" i="3"/>
  <c r="I348" i="3"/>
  <c r="K340" i="3"/>
  <c r="G334" i="3"/>
  <c r="K456" i="3"/>
  <c r="G437" i="3"/>
  <c r="K430" i="3"/>
  <c r="K426" i="3"/>
  <c r="G424" i="3"/>
  <c r="G419" i="3"/>
  <c r="I416" i="3"/>
  <c r="I412" i="3"/>
  <c r="I407" i="3"/>
  <c r="K404" i="3"/>
  <c r="G402" i="3"/>
  <c r="G398" i="3"/>
  <c r="I394" i="3"/>
  <c r="I390" i="3"/>
  <c r="K387" i="3"/>
  <c r="K383" i="3"/>
  <c r="G380" i="3"/>
  <c r="G376" i="3"/>
  <c r="I373" i="3"/>
  <c r="I368" i="3"/>
  <c r="K365" i="3"/>
  <c r="K361" i="3"/>
  <c r="G359" i="3"/>
  <c r="G354" i="3"/>
  <c r="I351" i="3"/>
  <c r="K348" i="3"/>
  <c r="K344" i="3"/>
  <c r="G341" i="3"/>
  <c r="I338" i="3"/>
  <c r="I334" i="3"/>
  <c r="K331" i="3"/>
  <c r="I441" i="3"/>
  <c r="K425" i="3"/>
  <c r="G423" i="3"/>
  <c r="I419" i="3"/>
  <c r="K416" i="3"/>
  <c r="G414" i="3"/>
  <c r="I411" i="3"/>
  <c r="I406" i="3"/>
  <c r="K403" i="3"/>
  <c r="G401" i="3"/>
  <c r="G397" i="3"/>
  <c r="I393" i="3"/>
  <c r="G392" i="3"/>
  <c r="G388" i="3"/>
  <c r="I385" i="3"/>
  <c r="I380" i="3"/>
  <c r="I376" i="3"/>
  <c r="I372" i="3"/>
  <c r="K368" i="3"/>
  <c r="K364" i="3"/>
  <c r="G362" i="3"/>
  <c r="G358" i="3"/>
  <c r="I354" i="3"/>
  <c r="I350" i="3"/>
  <c r="K347" i="3"/>
  <c r="K342" i="3"/>
  <c r="G340" i="3"/>
  <c r="G336" i="3"/>
  <c r="I333" i="3"/>
  <c r="E16" i="3"/>
  <c r="G497" i="3"/>
  <c r="K495" i="3"/>
  <c r="I494" i="3"/>
  <c r="G493" i="3"/>
  <c r="K491" i="3"/>
  <c r="I490" i="3"/>
  <c r="G489" i="3"/>
  <c r="K487" i="3"/>
  <c r="I485" i="3"/>
  <c r="G484" i="3"/>
  <c r="K482" i="3"/>
  <c r="I481" i="3"/>
  <c r="G480" i="3"/>
  <c r="K478" i="3"/>
  <c r="I477" i="3"/>
  <c r="G476" i="3"/>
  <c r="K474" i="3"/>
  <c r="I472" i="3"/>
  <c r="G471" i="3"/>
  <c r="K469" i="3"/>
  <c r="I468" i="3"/>
  <c r="G467" i="3"/>
  <c r="I464" i="3"/>
  <c r="G463" i="3"/>
  <c r="K461" i="3"/>
  <c r="I459" i="3"/>
  <c r="G458" i="3"/>
  <c r="I455" i="3"/>
  <c r="G454" i="3"/>
  <c r="K452" i="3"/>
  <c r="I451" i="3"/>
  <c r="G450" i="3"/>
  <c r="K448" i="3"/>
  <c r="I446" i="3"/>
  <c r="K443" i="3"/>
  <c r="I442" i="3"/>
  <c r="K439" i="3"/>
  <c r="I433" i="3"/>
  <c r="I429" i="3"/>
  <c r="K422" i="3"/>
  <c r="G415" i="3"/>
  <c r="K409" i="3"/>
  <c r="K400" i="3"/>
  <c r="K391" i="3"/>
  <c r="G385" i="3"/>
  <c r="I377" i="3"/>
  <c r="K370" i="3"/>
  <c r="G363" i="3"/>
  <c r="I355" i="3"/>
  <c r="G346" i="3"/>
  <c r="K335" i="3"/>
  <c r="G436" i="3"/>
  <c r="G418" i="3"/>
  <c r="K412" i="3"/>
  <c r="G410" i="3"/>
  <c r="G405" i="3"/>
  <c r="I402" i="3"/>
  <c r="I398" i="3"/>
  <c r="K394" i="3"/>
  <c r="K390" i="3"/>
  <c r="K386" i="3"/>
  <c r="G384" i="3"/>
  <c r="G379" i="3"/>
  <c r="K377" i="3"/>
  <c r="K373" i="3"/>
  <c r="G371" i="3"/>
  <c r="G366" i="3"/>
  <c r="I363" i="3"/>
  <c r="I359" i="3"/>
  <c r="K355" i="3"/>
  <c r="K351" i="3"/>
  <c r="G349" i="3"/>
  <c r="G345" i="3"/>
  <c r="I341" i="3"/>
  <c r="K338" i="3"/>
  <c r="K334" i="3"/>
  <c r="G332" i="3"/>
  <c r="I497" i="3"/>
  <c r="G496" i="3"/>
  <c r="K494" i="3"/>
  <c r="I493" i="3"/>
  <c r="G492" i="3"/>
  <c r="K490" i="3"/>
  <c r="I489" i="3"/>
  <c r="G488" i="3"/>
  <c r="K485" i="3"/>
  <c r="I484" i="3"/>
  <c r="G483" i="3"/>
  <c r="K481" i="3"/>
  <c r="I480" i="3"/>
  <c r="G479" i="3"/>
  <c r="K477" i="3"/>
  <c r="I476" i="3"/>
  <c r="G475" i="3"/>
  <c r="K472" i="3"/>
  <c r="I471" i="3"/>
  <c r="G470" i="3"/>
  <c r="K468" i="3"/>
  <c r="I467" i="3"/>
  <c r="G466" i="3"/>
  <c r="K464" i="3"/>
  <c r="I463" i="3"/>
  <c r="G462" i="3"/>
  <c r="K459" i="3"/>
  <c r="I458" i="3"/>
  <c r="G457" i="3"/>
  <c r="K455" i="3"/>
  <c r="I454" i="3"/>
  <c r="G453" i="3"/>
  <c r="K451" i="3"/>
  <c r="I450" i="3"/>
  <c r="G449" i="3"/>
  <c r="K446" i="3"/>
  <c r="I445" i="3"/>
  <c r="G444" i="3"/>
  <c r="K442" i="3"/>
  <c r="G440" i="3"/>
  <c r="K438" i="3"/>
  <c r="I437" i="3"/>
  <c r="K433" i="3"/>
  <c r="I432" i="3"/>
  <c r="G431" i="3"/>
  <c r="K429" i="3"/>
  <c r="I428" i="3"/>
  <c r="G427" i="3"/>
  <c r="I424" i="3"/>
  <c r="K420" i="3"/>
  <c r="I415" i="3"/>
  <c r="K407" i="3"/>
  <c r="K399" i="3"/>
  <c r="I389" i="3"/>
  <c r="K381" i="3"/>
  <c r="G375" i="3"/>
  <c r="I367" i="3"/>
  <c r="K360" i="3"/>
  <c r="G353" i="3"/>
  <c r="I346" i="3"/>
  <c r="I337" i="3"/>
  <c r="K497" i="3"/>
  <c r="I496" i="3"/>
  <c r="G495" i="3"/>
  <c r="K493" i="3"/>
  <c r="I492" i="3"/>
  <c r="G491" i="3"/>
  <c r="K489" i="3"/>
  <c r="I488" i="3"/>
  <c r="G487" i="3"/>
  <c r="K484" i="3"/>
  <c r="I483" i="3"/>
  <c r="G482" i="3"/>
  <c r="K480" i="3"/>
  <c r="I479" i="3"/>
  <c r="G478" i="3"/>
  <c r="K476" i="3"/>
  <c r="I475" i="3"/>
  <c r="G474" i="3"/>
  <c r="K471" i="3"/>
  <c r="I470" i="3"/>
  <c r="G469" i="3"/>
  <c r="K467" i="3"/>
  <c r="I466" i="3"/>
  <c r="G465" i="3"/>
  <c r="K463" i="3"/>
  <c r="I462" i="3"/>
  <c r="G461" i="3"/>
  <c r="K458" i="3"/>
  <c r="I457" i="3"/>
  <c r="G456" i="3"/>
  <c r="K454" i="3"/>
  <c r="I453" i="3"/>
  <c r="G452" i="3"/>
  <c r="K450" i="3"/>
  <c r="I449" i="3"/>
  <c r="G448" i="3"/>
  <c r="K445" i="3"/>
  <c r="I444" i="3"/>
  <c r="G443" i="3"/>
  <c r="K441" i="3"/>
  <c r="I440" i="3"/>
  <c r="G439" i="3"/>
  <c r="K437" i="3"/>
  <c r="I436" i="3"/>
  <c r="G435" i="3"/>
  <c r="K432" i="3"/>
  <c r="I431" i="3"/>
  <c r="G430" i="3"/>
  <c r="K428" i="3"/>
  <c r="I427" i="3"/>
  <c r="G426" i="3"/>
  <c r="K424" i="3"/>
  <c r="I423" i="3"/>
  <c r="G422" i="3"/>
  <c r="K419" i="3"/>
  <c r="I418" i="3"/>
  <c r="G417" i="3"/>
  <c r="K415" i="3"/>
  <c r="I414" i="3"/>
  <c r="G413" i="3"/>
  <c r="K411" i="3"/>
  <c r="I410" i="3"/>
  <c r="G409" i="3"/>
  <c r="K406" i="3"/>
  <c r="I405" i="3"/>
  <c r="G404" i="3"/>
  <c r="K402" i="3"/>
  <c r="I401" i="3"/>
  <c r="G400" i="3"/>
  <c r="K398" i="3"/>
  <c r="I397" i="3"/>
  <c r="G396" i="3"/>
  <c r="K393" i="3"/>
  <c r="I392" i="3"/>
  <c r="G391" i="3"/>
  <c r="K389" i="3"/>
  <c r="I388" i="3"/>
  <c r="G387" i="3"/>
  <c r="K385" i="3"/>
  <c r="I384" i="3"/>
  <c r="G383" i="3"/>
  <c r="K380" i="3"/>
  <c r="I379" i="3"/>
  <c r="G378" i="3"/>
  <c r="K376" i="3"/>
  <c r="I375" i="3"/>
  <c r="G374" i="3"/>
  <c r="K372" i="3"/>
  <c r="I371" i="3"/>
  <c r="G370" i="3"/>
  <c r="K367" i="3"/>
  <c r="I366" i="3"/>
  <c r="G365" i="3"/>
  <c r="K363" i="3"/>
  <c r="I362" i="3"/>
  <c r="G361" i="3"/>
  <c r="K359" i="3"/>
  <c r="I358" i="3"/>
  <c r="G357" i="3"/>
  <c r="K354" i="3"/>
  <c r="I353" i="3"/>
  <c r="G352" i="3"/>
  <c r="K350" i="3"/>
  <c r="I349" i="3"/>
  <c r="G348" i="3"/>
  <c r="K346" i="3"/>
  <c r="I345" i="3"/>
  <c r="G344" i="3"/>
  <c r="K341" i="3"/>
  <c r="I340" i="3"/>
  <c r="G339" i="3"/>
  <c r="K337" i="3"/>
  <c r="I336" i="3"/>
  <c r="G335" i="3"/>
  <c r="K333" i="3"/>
  <c r="I332" i="3"/>
  <c r="G331" i="3"/>
  <c r="K436" i="3"/>
  <c r="K423" i="3"/>
  <c r="G420" i="3"/>
  <c r="I417" i="3"/>
  <c r="K414" i="3"/>
  <c r="I413" i="3"/>
  <c r="K410" i="3"/>
  <c r="I409" i="3"/>
  <c r="G407" i="3"/>
  <c r="I404" i="3"/>
  <c r="G403" i="3"/>
  <c r="K401" i="3"/>
  <c r="G399" i="3"/>
  <c r="K397" i="3"/>
  <c r="I396" i="3"/>
  <c r="G394" i="3"/>
  <c r="I391" i="3"/>
  <c r="G390" i="3"/>
  <c r="K388" i="3"/>
  <c r="G386" i="3"/>
  <c r="K384" i="3"/>
  <c r="I383" i="3"/>
  <c r="K379" i="3"/>
  <c r="I378" i="3"/>
  <c r="G377" i="3"/>
  <c r="I374" i="3"/>
  <c r="G373" i="3"/>
  <c r="K371" i="3"/>
  <c r="G368" i="3"/>
  <c r="K366" i="3"/>
  <c r="I365" i="3"/>
  <c r="G364" i="3"/>
  <c r="I361" i="3"/>
  <c r="G360" i="3"/>
  <c r="K358" i="3"/>
  <c r="I357" i="3"/>
  <c r="K353" i="3"/>
  <c r="I352" i="3"/>
  <c r="G351" i="3"/>
  <c r="K349" i="3"/>
  <c r="G347" i="3"/>
  <c r="K345" i="3"/>
  <c r="I344" i="3"/>
  <c r="G342" i="3"/>
  <c r="I339" i="3"/>
  <c r="G338" i="3"/>
  <c r="K336" i="3"/>
  <c r="I335" i="3"/>
  <c r="K332" i="3"/>
  <c r="I331" i="3"/>
  <c r="K465" i="3"/>
  <c r="G445" i="3"/>
  <c r="G441" i="3"/>
  <c r="I438" i="3"/>
  <c r="K435" i="3"/>
  <c r="G432" i="3"/>
  <c r="G428" i="3"/>
  <c r="I425" i="3"/>
  <c r="I420" i="3"/>
  <c r="K417" i="3"/>
  <c r="K413" i="3"/>
  <c r="G411" i="3"/>
  <c r="G406" i="3"/>
  <c r="I403" i="3"/>
  <c r="I399" i="3"/>
  <c r="K396" i="3"/>
  <c r="G393" i="3"/>
  <c r="G389" i="3"/>
  <c r="I386" i="3"/>
  <c r="I381" i="3"/>
  <c r="K378" i="3"/>
  <c r="K374" i="3"/>
  <c r="G372" i="3"/>
  <c r="G367" i="3"/>
  <c r="I364" i="3"/>
  <c r="I360" i="3"/>
  <c r="K357" i="3"/>
  <c r="K352" i="3"/>
  <c r="G350" i="3"/>
  <c r="I347" i="3"/>
  <c r="I342" i="3"/>
  <c r="K339" i="3"/>
  <c r="G337" i="3"/>
  <c r="G333" i="3"/>
</calcChain>
</file>

<file path=xl/sharedStrings.xml><?xml version="1.0" encoding="utf-8"?>
<sst xmlns="http://schemas.openxmlformats.org/spreadsheetml/2006/main" count="12185" uniqueCount="215">
  <si>
    <t>BEBIDAS</t>
  </si>
  <si>
    <t>TABACOS</t>
  </si>
  <si>
    <t>Rubros</t>
  </si>
  <si>
    <t>Seleccione Rubro</t>
  </si>
  <si>
    <t>Bebidas Base Jugos</t>
  </si>
  <si>
    <t>Agua Mineral y sodas</t>
  </si>
  <si>
    <t>Maltas</t>
  </si>
  <si>
    <t>Bebidas Cola y otros refrescos</t>
  </si>
  <si>
    <t>Nacionales</t>
  </si>
  <si>
    <t>Importados</t>
  </si>
  <si>
    <t>Total</t>
  </si>
  <si>
    <t>LUBRICANTES Y GRASAS LUBRICANTES</t>
  </si>
  <si>
    <t>bienes</t>
  </si>
  <si>
    <t>numeral</t>
  </si>
  <si>
    <t>Amargos y aperitivos sin alcohol</t>
  </si>
  <si>
    <t>Whisky</t>
  </si>
  <si>
    <t>Cerveza</t>
  </si>
  <si>
    <t>Champagne</t>
  </si>
  <si>
    <t>Vermouth</t>
  </si>
  <si>
    <t>Grappas Cañas y Amargas</t>
  </si>
  <si>
    <t>Demás Bienes Num. 1</t>
  </si>
  <si>
    <t>Demás Bienes Num. 4</t>
  </si>
  <si>
    <t>nombre del rango</t>
  </si>
  <si>
    <t>bebidas</t>
  </si>
  <si>
    <t>lubricantes</t>
  </si>
  <si>
    <t>tabacos</t>
  </si>
  <si>
    <t>cruces posibles</t>
  </si>
  <si>
    <t>Seleccione Sub - rubro</t>
  </si>
  <si>
    <t>seleccione</t>
  </si>
  <si>
    <t>Mes</t>
  </si>
  <si>
    <t>vehículos</t>
  </si>
  <si>
    <t>VEHÍCULOS</t>
  </si>
  <si>
    <t>Categoría</t>
  </si>
  <si>
    <t>Descripción</t>
  </si>
  <si>
    <t>A1</t>
  </si>
  <si>
    <t>A2</t>
  </si>
  <si>
    <t>A3</t>
  </si>
  <si>
    <t>A4</t>
  </si>
  <si>
    <t>A5</t>
  </si>
  <si>
    <t>A6</t>
  </si>
  <si>
    <t>B1</t>
  </si>
  <si>
    <t>B2</t>
  </si>
  <si>
    <t>C</t>
  </si>
  <si>
    <t>D</t>
  </si>
  <si>
    <t>E</t>
  </si>
  <si>
    <t>Locomotoras, automotores para vías férreas y tranvías.</t>
  </si>
  <si>
    <t>F</t>
  </si>
  <si>
    <t>F1</t>
  </si>
  <si>
    <t>F2</t>
  </si>
  <si>
    <t>F3</t>
  </si>
  <si>
    <t>F4</t>
  </si>
  <si>
    <t>F5</t>
  </si>
  <si>
    <t>G</t>
  </si>
  <si>
    <t>G1</t>
  </si>
  <si>
    <t>G2</t>
  </si>
  <si>
    <t>H</t>
  </si>
  <si>
    <t>I</t>
  </si>
  <si>
    <t>nombre para lista desplegable</t>
  </si>
  <si>
    <t>Camiones y tracto camiones (Cat. A1)</t>
  </si>
  <si>
    <t>Vehiculos de transporte de carga y pasajeros no comprendidos en A1 y A6 (Cat. A2)</t>
  </si>
  <si>
    <t>Triciclos motorizados con tara mayor a 250 kg (Cat. A6)</t>
  </si>
  <si>
    <t>Furgones de tara superior a 1.850 kg (Cat. B1)</t>
  </si>
  <si>
    <t>Furgones de tara hasta 1.850 kg (Cat. B2)</t>
  </si>
  <si>
    <t>Ómnibus y microómnibus (Cat. C)</t>
  </si>
  <si>
    <t>Maquinaria diseñada especialmente para ser utilizada en actividades industriales, construcción y obras viales o agropecuarias, autoeelvadores, buques con desplazamiento superior a una tonelada y aeronaves. Estas actividades deberán estar comprendidas en el IRAE. No se incluyen los vehículos utilizados con fines deportivos.</t>
  </si>
  <si>
    <t>Maquinaria industrial, de construcción, vial, agropecuaria (Cat. D)</t>
  </si>
  <si>
    <t>Locomotoras, automotores para vías férreas (Cat. E)</t>
  </si>
  <si>
    <t>Automóviles con cilindrada de hasta 1.000 cc (Cat. F1)</t>
  </si>
  <si>
    <t>Automóviles con cilindrada de más de 1.000 cc y hasta 1.500 cc (Cat. F2)</t>
  </si>
  <si>
    <t>Automóviles con cilindrada de más de 1.500 cc y hasta 2.000 cc (Cat. F3)</t>
  </si>
  <si>
    <t>Automóviles con cilindrada de más de 2.000 cc y hasta 3.000 cc (Cat. F4)</t>
  </si>
  <si>
    <t>Motocicletas y similares con cilindarada de hasta 125 cc (Cat. G1)</t>
  </si>
  <si>
    <t>Motocicletas y similares con cilindarada de más de 125 cc (Cat. G2)</t>
  </si>
  <si>
    <t>Sillas para discapacitados (Cat. H)</t>
  </si>
  <si>
    <t>Restantes automotores (Cat. I)</t>
  </si>
  <si>
    <t>-</t>
  </si>
  <si>
    <t>Tabacos</t>
  </si>
  <si>
    <t>Cigarrillos</t>
  </si>
  <si>
    <t>DESCRIPCIÓN DE NUMERALES</t>
  </si>
  <si>
    <t>SELECCIONE RUBRO</t>
  </si>
  <si>
    <t>nombre de la serie</t>
  </si>
  <si>
    <t>sub-rubro</t>
  </si>
  <si>
    <t>fecha inicio serie</t>
  </si>
  <si>
    <t>RUBRO</t>
  </si>
  <si>
    <t>SUB-RUBRO</t>
  </si>
  <si>
    <t>unidades</t>
  </si>
  <si>
    <t>UNIDADES FÍSICAS DECLARADAS PARA LA DETERMINACIÓN DEL IMESI</t>
  </si>
  <si>
    <t>Volver a Series</t>
  </si>
  <si>
    <t>Cantidades expresadas en litros</t>
  </si>
  <si>
    <t xml:space="preserve">Cantidades expresadas en unidades </t>
  </si>
  <si>
    <t>Cantidades expresadas en cajilla de 20 unidades o equivalente</t>
  </si>
  <si>
    <t xml:space="preserve">Año </t>
  </si>
  <si>
    <t>Numeral 7</t>
  </si>
  <si>
    <t>Numeral 4</t>
  </si>
  <si>
    <t>Numeral 5</t>
  </si>
  <si>
    <t>Numeral 6</t>
  </si>
  <si>
    <t>Numeral 1</t>
  </si>
  <si>
    <t>Numeral 16</t>
  </si>
  <si>
    <t>Numeral 12</t>
  </si>
  <si>
    <t>Numeral 9</t>
  </si>
  <si>
    <t>Numeral 11</t>
  </si>
  <si>
    <t>Lubricantes</t>
  </si>
  <si>
    <t>Grasas lubricantes</t>
  </si>
  <si>
    <t>enero 1987 hasta el último dato disponible</t>
  </si>
  <si>
    <t>enero 1987 hasta el último dato disponible (la serie de importados inicia en enero 1997)</t>
  </si>
  <si>
    <t>VEHÍCULOS 2010</t>
  </si>
  <si>
    <t>vehículos2010</t>
  </si>
  <si>
    <t>Vehiculos de transporte de carga y pasajeros de doble cabina con motor hasta 1.600 cc (Cat. A3)</t>
  </si>
  <si>
    <t>Vehiculos de transporte de carga y pasajeros de doble cabina con motor de más de 1.600 cc y hasta 3.500 cc (Cat. A4)</t>
  </si>
  <si>
    <t>Vehiculos de transporte de carga y pasajeros de doble cabina con motor de más de 3.500 cc (Cat. A5)</t>
  </si>
  <si>
    <t>Chasis para camiones y tractores para remolque peso superior a 4.000 kg - Cat. A 2010</t>
  </si>
  <si>
    <t>Ómnibus urbanos, suburbanos y carreteros - Cat B 2010</t>
  </si>
  <si>
    <t>Ómnibus urbanos y suburbanos - Cat. B1 2010</t>
  </si>
  <si>
    <t>Ómnibus carreteros - Cat. B2 2010</t>
  </si>
  <si>
    <t>Automóviles de pasajeros hasta 1.000 c.c. - Cat. C 2010</t>
  </si>
  <si>
    <t>Automóviles de pasajeros de más de 1.000 c.c. - Cat. D 2010</t>
  </si>
  <si>
    <t>Automóviles de pasajeros de más de 1.000 c.c. y hasta 1.600 c.c. - Cat. D1 2010</t>
  </si>
  <si>
    <t>Automóviles de pasajeros de más de 1.600 c.c. y hasta 2.000 c.c. - Cat. D2 2010</t>
  </si>
  <si>
    <t>Automóviles de pasajeros de más de 2.000 c.c. - Cat. D3 2010</t>
  </si>
  <si>
    <t>Vehículos de carga, pick-ups o furgones con peso menor a 4.000 kg. - Cat. E 2010</t>
  </si>
  <si>
    <t>Motocicletas y similares - Cat. F 2010 (incluye cat. F1 y F2)</t>
  </si>
  <si>
    <t>Motocicletas y similares con cilindarada de hasta 125 cc - Cat. F1 2010</t>
  </si>
  <si>
    <t>Motocicletas y similares con cilindarada de más de 125 cc - Cat. F2 2010</t>
  </si>
  <si>
    <t>Motonetas con plataforma horizontal que une las partes delantera y trasera - Cat. F3 2010</t>
  </si>
  <si>
    <t>Tractores para uso agrícola y obras viales - Cat G 2010</t>
  </si>
  <si>
    <t>Vehículos con tracción en las cuatro ruedas de peso menor a 2.000 kg - Cat H 2010</t>
  </si>
  <si>
    <t xml:space="preserve">Restantes automotores no incluidos en los apartados anteriores - Cat J 2010 </t>
  </si>
  <si>
    <t>Otros vehículos no incluidos en los literales precedentes destinados a actividades gravadas por IRIC, IRA IMEBA - Cat I 2010</t>
  </si>
  <si>
    <t>GRASAS Y LUBRICANTES</t>
  </si>
  <si>
    <t>VEHICULOS</t>
  </si>
  <si>
    <t>enero 2011 hasta el último dato disponible</t>
  </si>
  <si>
    <t>Las series publicadas corresponden a las unidades fisicas declaradas mensualmente por los contribuyentes de IMESI para la determinación del impuesto. Estas declaraciones estan sujetas a reliquidación, por lo tanto, las cantidades publicadas pueden sufrir cambios.</t>
  </si>
  <si>
    <t>La clasificación se basa en  la estructura de los bienes gravados por IMESI que surge del Art.1 del Título 11 del Texto Ordenado 1996.</t>
  </si>
  <si>
    <t>Para los casos donde se cuenta con información sobre el origen de los bienes, se muestran series para bienes nacionales e importados. Para el resto de los casos la información se muestra agregada en la serie de datos total.</t>
  </si>
  <si>
    <t>NOTAS</t>
  </si>
  <si>
    <t>Ver Notas</t>
  </si>
  <si>
    <t>enero 1987 hasta el último dato disponible (sólo serie total)</t>
  </si>
  <si>
    <t>marzo 2003 hasta el último dato disponible (a partir de enero 2010 se discrimina por origen)</t>
  </si>
  <si>
    <t>diciembre 1998 hasta el último dato disponible (a partir de enero 2010 se discrimina por origen)</t>
  </si>
  <si>
    <t>enero 1987 hasta el último dato disponible (a partir de enero 2010 se discrimina por origen)</t>
  </si>
  <si>
    <t>enero 2010 hasta el último dato disponible (sólo serie total)</t>
  </si>
  <si>
    <t>Respecto a las unidades declaradas para el caso de los cigarrillos estos se encuentran expresados en cajillas de 20 unidades, cuando la presentación comercial es menor a 20 cigarrillos se realiza la conversión de las  unidades de forma de expresar paquetes de 20.</t>
  </si>
  <si>
    <t>Cantidades expresadas en kilogramos</t>
  </si>
  <si>
    <t>Cigarrillos free shop</t>
  </si>
  <si>
    <t>Total bebidas</t>
  </si>
  <si>
    <t>Cantidades expresadas en paquete de 45 gramos o su equivalente</t>
  </si>
  <si>
    <t>Respecto a las unidades declaradas para el caso de los tabacos estos se encuentran expresados en paquetes de 45 gramos.</t>
  </si>
  <si>
    <t>Energizantes</t>
  </si>
  <si>
    <t>Cerveza sin alcoholNacionales</t>
  </si>
  <si>
    <t>Cerveza sin alcoholImportados</t>
  </si>
  <si>
    <t>Cerveza sin alcoholTotal</t>
  </si>
  <si>
    <t>enero 2022 hasta el último dato disponible (sólo serie total)</t>
  </si>
  <si>
    <t>enero 2022 hasta el último dato disponible</t>
  </si>
  <si>
    <t>EnergizantesNacionales</t>
  </si>
  <si>
    <t>EnergizantesImportados</t>
  </si>
  <si>
    <t>EnergizantesTotal</t>
  </si>
  <si>
    <t>Cerveza sin alcohol</t>
  </si>
  <si>
    <t>Vermouth, vinos finos, licorosos, espumantes, especiales y champagne (Ver Art.1 del Tít 11 TO 1996)</t>
  </si>
  <si>
    <t>Bebidas alcohólicas, incluso caña y grapa (Ver Art.1 del Tít 11 TO 1996)</t>
  </si>
  <si>
    <t>Cerveza (Ver Art.1 del Tít 11 TO 1996)</t>
  </si>
  <si>
    <t>Bebidas sin alcohol con un 10% como mínimo de jugo de frutas, o 5% si se trata de limón; aguas minerales y sodas (Ver Art.1 del Tít 11 TO 1996)</t>
  </si>
  <si>
    <t>Tabacos, cigarros y cigarrillos (Ver Art.1 del Tít 11 TO 1996)</t>
  </si>
  <si>
    <t>Lubricantes y grasas lubricantes (Ver Art.1 del Tít 11 TO 1996)</t>
  </si>
  <si>
    <t>Amargos sin alcohol o aperitivos no alcohólicos (Ver Art.1 del Tít 11 TO 1996)</t>
  </si>
  <si>
    <t xml:space="preserve">Otras bebidas sin alcohol no comprendidas en los numerales 6 ni 16 (Ver Art.1 del Tít 11 TO 1996) </t>
  </si>
  <si>
    <t>Camiones y tracto camiones no eléctricos (Cat. A1)</t>
  </si>
  <si>
    <t>Camiones y tracto camiones eléctricos (Cat. A1-E)</t>
  </si>
  <si>
    <t>Vehiculos de transporte de carga y pasajeros no eléctricos no comprendidos en A1 y A6 (Cat. A2)</t>
  </si>
  <si>
    <t>Vehiculos de transporte de carga y pasajeros eléctricos no comprendidos en A1 y A6 (Cat. A2-E)</t>
  </si>
  <si>
    <t>Vehiculos de transporte de carga y pasajeros con motor hasta 1.600 cc no eléctricos (Cat. A3)</t>
  </si>
  <si>
    <t>Vehiculos de transporte de carga y pasajeros con motor hasta 1.600 cc eléctricos (Cat. A3-E)</t>
  </si>
  <si>
    <t>Vehiculos de transporte de carga y pasajeros con motor de más de 1.600 cc y hasta 3.500 cc no eléctricos (Cat. A4)</t>
  </si>
  <si>
    <t>Vehiculos de transporte de carga y pasajeros con motor de más de 3.500 cc no eléctricos (Cat. A5)</t>
  </si>
  <si>
    <t>Triciclos motorizados con tara mayor a 250 kg no eléctricos (Cat. A6)</t>
  </si>
  <si>
    <t>Triciclos motorizados con tara mayor a 250 kg eléctricos (Cat. A6-E)</t>
  </si>
  <si>
    <t>Furgones de tara superior a 1.850 kg no eléctricos (Cat. B1)</t>
  </si>
  <si>
    <t>Furgones de tara superior a 1.850 kg eléctricos (Cat. B1-E)</t>
  </si>
  <si>
    <t>Furgones de tara hasta 1.850 kg no eléctricos (Cat. B2)</t>
  </si>
  <si>
    <t>Furgones de tara hasta 1.850 kg eléctricos (Cat. B2-E)</t>
  </si>
  <si>
    <t>Ómnibus y microómnibus no eléctricos (Cat. C)</t>
  </si>
  <si>
    <t>Ómnibus y microómnibus eléctricos (Cat. C-E)</t>
  </si>
  <si>
    <t>Maquinaria industrial, de construcción, vial, agropecuaria no eléctrica (Cat. D)</t>
  </si>
  <si>
    <t>Automóviles con cilindrada de hasta 1.000 cc híbridos (Cat. F1-H)</t>
  </si>
  <si>
    <t xml:space="preserve">Automóviles de pasajeros y sus derivados no eléctricos, no híbridos (Cat. F) </t>
  </si>
  <si>
    <t>Automóviles con cilindrada de hasta 1.000 cc no híbridos (Cat. F1)</t>
  </si>
  <si>
    <t xml:space="preserve">Automóviles de pasajeros y sus derivados eléctricos (Cat. F-E) </t>
  </si>
  <si>
    <t>Automóviles con cilindrada de más de 1.000 cc y hasta 1.500 cc no híbridos (Cat. F2)</t>
  </si>
  <si>
    <t>Automóviles con cilindrada de más de 1.000 cc y hasta 1.500 cc híbridos (Cat. F2-H)</t>
  </si>
  <si>
    <t>Automóviles con cilindrada de más de 1.500 cc y hasta 2.000 cc no híbridos (Cat. F3)</t>
  </si>
  <si>
    <t>Automóviles con cilindrada de más de 1.500 cc y hasta 2.000 cc híbridos (Cat. F3-H)</t>
  </si>
  <si>
    <t>Automóviles con cilindrada de más de 3.000 cc no híbridos (Cat. F6)</t>
  </si>
  <si>
    <t>Automóviles con cilindrada de más de 3.000 cc híbridos (Cat. F6-H)</t>
  </si>
  <si>
    <t>Automóviles con cilindrada de más de 2.000 cc y hasta 2.500 cc no híbridos (Cat. F4)</t>
  </si>
  <si>
    <t>Automóviles con cilindrada de más de 2.000 cc y hasta 2.500 cc híbridos (Cat. F4-H)</t>
  </si>
  <si>
    <t>Automóviles con cilindrada de más de 2.500 cc y hasta 3.000 cc no híbridos (Cat. F5)</t>
  </si>
  <si>
    <t>Automóviles con cilindrada de más de 2.500 cc y hasta 3.000 cc híbridos (Cat. F5-H)</t>
  </si>
  <si>
    <t>Motocicletas y similares eléctricos (Cat. G-E)</t>
  </si>
  <si>
    <t>Motocicletas y similares con cilindarada de hasta 125 cc no híbridos (Cat. G1)</t>
  </si>
  <si>
    <t>Motocicletas y similares con cilindarada de más de 125 cc no híbridos (Cat. G2)</t>
  </si>
  <si>
    <t>Sillas para discapacitados eléctricas (Cat. H-E)</t>
  </si>
  <si>
    <t>Restantes automotores no eléctricos, no híbridos (Cat. I)</t>
  </si>
  <si>
    <t>Restantes automotores eléctricos (Cat. I-E)</t>
  </si>
  <si>
    <t>Automóviles de pasajeros y sus derivados Cat. F</t>
  </si>
  <si>
    <t>Automóviles con cilindrada de más de  2.500 y hasta 3.000 cc (Cat. F5)</t>
  </si>
  <si>
    <t>F6</t>
  </si>
  <si>
    <t>Automóviles con cilindrada de más de 3.000 cc (Cat. F6)</t>
  </si>
  <si>
    <t>Automóviles con cilindrada de más de 3.000 cc (Cat. F6-H)</t>
  </si>
  <si>
    <t>Motocicletas y similares Cat. G</t>
  </si>
  <si>
    <t xml:space="preserve">Automóviles de pasajeros y sus derivados híbridos (Cat. F-H) </t>
  </si>
  <si>
    <t>Vehículos automotores, motos, motonetas, bicimotos y toda clase de automotores (Ver Art.1 del Tít 11 TO 1996, Dec 331/2010 y Dec 390/2021)</t>
  </si>
  <si>
    <t>Los datos de vehículos automotores se clasifican según las categorías definidas vigentes desde enero de 2011 (modificación dada por el artículo 1º del Decreto 331/2010 y por el artículo 1º del Decreto 390/021).</t>
  </si>
  <si>
    <t>El total por categoría para vehículos automotores se obtiene sumando las clasificaciones correspondientes a: no eléctricos, eléctricos e híbridos (según corresponda).</t>
  </si>
  <si>
    <t>Vehiculos de transporte de carga y pasajeros con motor hasta 1.600 cc híbridos (Cat. A3-H)</t>
  </si>
  <si>
    <t>Vehiculos de transporte de carga y pasajeros con motor de más de 1.600 cc y hasta 3.500 cc híbridos (Cat. A4-H)</t>
  </si>
  <si>
    <t>Maquinaria industrial, de construcción, vial, agropecuaria eléctrica (Cat. D-E)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</si>
</sst>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* #,##0.00_);_(* \(#,##0.00\);_(* \-??_);_(@_)"/>
    <numFmt numFmtId="166" formatCode="_-* #,##0\ _€_-;\-* #,##0\ _€_-;_-* &quot;-&quot;??\ _€_-;_-@_-"/>
    <numFmt numFmtId="167" formatCode="mmm"/>
    <numFmt numFmtId="168" formatCode="_ * #,##0_ ;_ * \-#,##0_ ;_ * &quot;-&quot;??_ ;_ @_ "/>
  </numFmts>
  <fonts count="49" x14ac:knownFonts="1"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0"/>
      <name val="Arial"/>
      <family val="2"/>
    </font>
    <font>
      <sz val="10"/>
      <name val="Verdana"/>
      <family val="2"/>
    </font>
    <font>
      <b/>
      <sz val="9"/>
      <color indexed="54"/>
      <name val="Verdana"/>
      <family val="2"/>
    </font>
    <font>
      <b/>
      <sz val="8"/>
      <color indexed="54"/>
      <name val="Verdana"/>
      <family val="2"/>
    </font>
    <font>
      <sz val="10"/>
      <color indexed="62"/>
      <name val="Verdana"/>
      <family val="2"/>
    </font>
    <font>
      <sz val="8"/>
      <color indexed="62"/>
      <name val="Verdana"/>
      <family val="2"/>
    </font>
    <font>
      <sz val="8"/>
      <color indexed="54"/>
      <name val="Verdana"/>
      <family val="2"/>
    </font>
    <font>
      <u/>
      <sz val="8"/>
      <color indexed="12"/>
      <name val="Verdana"/>
      <family val="2"/>
    </font>
    <font>
      <u/>
      <sz val="10"/>
      <color indexed="12"/>
      <name val="Arial"/>
      <family val="2"/>
    </font>
    <font>
      <b/>
      <sz val="8"/>
      <color indexed="9"/>
      <name val="Verdana"/>
      <family val="2"/>
    </font>
    <font>
      <sz val="10"/>
      <color indexed="54"/>
      <name val="Verdana"/>
      <family val="2"/>
    </font>
    <font>
      <sz val="9"/>
      <color indexed="54"/>
      <name val="Verdana"/>
      <family val="2"/>
    </font>
    <font>
      <sz val="7"/>
      <color indexed="54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indexed="9"/>
      <name val="Verdana"/>
      <family val="2"/>
    </font>
    <font>
      <b/>
      <u/>
      <sz val="10"/>
      <color indexed="54"/>
      <name val="Verdana"/>
      <family val="2"/>
    </font>
    <font>
      <b/>
      <sz val="8"/>
      <color indexed="10"/>
      <name val="Verdana"/>
      <family val="2"/>
    </font>
    <font>
      <b/>
      <sz val="8"/>
      <color indexed="8"/>
      <name val="Verdana"/>
      <family val="2"/>
    </font>
    <font>
      <sz val="8"/>
      <color indexed="9"/>
      <name val="Verdana"/>
      <family val="2"/>
    </font>
    <font>
      <b/>
      <sz val="11"/>
      <color indexed="54"/>
      <name val="Verdana"/>
      <family val="2"/>
    </font>
    <font>
      <sz val="9"/>
      <name val="Arial"/>
      <family val="2"/>
    </font>
    <font>
      <sz val="10"/>
      <name val="Arial"/>
      <family val="2"/>
    </font>
    <font>
      <sz val="10"/>
      <color indexed="54"/>
      <name val="Arial"/>
      <family val="2"/>
    </font>
    <font>
      <u/>
      <sz val="10"/>
      <color indexed="54"/>
      <name val="Arial"/>
      <family val="2"/>
    </font>
    <font>
      <b/>
      <sz val="10"/>
      <color indexed="54"/>
      <name val="Arial"/>
      <family val="2"/>
    </font>
    <font>
      <sz val="10"/>
      <color theme="0"/>
      <name val="Verdana"/>
      <family val="2"/>
    </font>
    <font>
      <sz val="10"/>
      <color theme="1"/>
      <name val="Tahoma"/>
      <family val="2"/>
    </font>
    <font>
      <sz val="10"/>
      <color theme="0" tint="-0.34998626667073579"/>
      <name val="Arial"/>
      <family val="2"/>
    </font>
    <font>
      <sz val="10"/>
      <color rgb="FF66669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4"/>
      </left>
      <right/>
      <top style="thick">
        <color indexed="54"/>
      </top>
      <bottom style="thick">
        <color indexed="54"/>
      </bottom>
      <diagonal/>
    </border>
    <border>
      <left/>
      <right/>
      <top style="thick">
        <color indexed="54"/>
      </top>
      <bottom style="thick">
        <color indexed="54"/>
      </bottom>
      <diagonal/>
    </border>
    <border>
      <left/>
      <right style="thick">
        <color indexed="54"/>
      </right>
      <top style="thick">
        <color indexed="54"/>
      </top>
      <bottom style="thick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thin">
        <color indexed="54"/>
      </left>
      <right/>
      <top style="thin">
        <color indexed="54"/>
      </top>
      <bottom style="thin">
        <color indexed="54"/>
      </bottom>
      <diagonal/>
    </border>
    <border>
      <left/>
      <right/>
      <top style="thin">
        <color indexed="54"/>
      </top>
      <bottom style="thin">
        <color indexed="54"/>
      </bottom>
      <diagonal/>
    </border>
    <border>
      <left/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 style="thick">
        <color indexed="54"/>
      </right>
      <top/>
      <bottom/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7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26" fillId="0" borderId="0" applyNumberFormat="0" applyFill="0" applyBorder="0" applyAlignment="0" applyProtection="0"/>
    <xf numFmtId="0" fontId="10" fillId="3" borderId="0" applyNumberFormat="0" applyBorder="0" applyAlignment="0" applyProtection="0"/>
    <xf numFmtId="164" fontId="1" fillId="0" borderId="0" applyFill="0" applyBorder="0" applyAlignment="0" applyProtection="0"/>
    <xf numFmtId="165" fontId="32" fillId="0" borderId="0" applyFill="0" applyBorder="0" applyAlignment="0" applyProtection="0"/>
    <xf numFmtId="0" fontId="11" fillId="0" borderId="0"/>
    <xf numFmtId="0" fontId="32" fillId="22" borderId="4" applyNumberFormat="0" applyAlignment="0" applyProtection="0"/>
    <xf numFmtId="9" fontId="32" fillId="0" borderId="0" applyFill="0" applyBorder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46" fillId="0" borderId="0"/>
  </cellStyleXfs>
  <cellXfs count="145">
    <xf numFmtId="0" fontId="0" fillId="0" borderId="0" xfId="0"/>
    <xf numFmtId="0" fontId="0" fillId="23" borderId="0" xfId="0" applyFill="1"/>
    <xf numFmtId="0" fontId="0" fillId="0" borderId="0" xfId="0" applyFill="1"/>
    <xf numFmtId="0" fontId="0" fillId="0" borderId="9" xfId="0" applyBorder="1"/>
    <xf numFmtId="0" fontId="18" fillId="0" borderId="0" xfId="0" applyFont="1"/>
    <xf numFmtId="0" fontId="18" fillId="0" borderId="9" xfId="0" applyFont="1" applyBorder="1" applyAlignment="1">
      <alignment horizontal="center"/>
    </xf>
    <xf numFmtId="0" fontId="0" fillId="0" borderId="0" xfId="0" applyBorder="1"/>
    <xf numFmtId="0" fontId="32" fillId="0" borderId="0" xfId="0" applyFont="1"/>
    <xf numFmtId="0" fontId="32" fillId="0" borderId="0" xfId="0" applyFont="1" applyBorder="1"/>
    <xf numFmtId="0" fontId="32" fillId="0" borderId="0" xfId="0" applyFont="1" applyFill="1" applyBorder="1"/>
    <xf numFmtId="0" fontId="3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24" borderId="0" xfId="0" applyFill="1"/>
    <xf numFmtId="0" fontId="42" fillId="0" borderId="0" xfId="0" applyFont="1"/>
    <xf numFmtId="0" fontId="42" fillId="0" borderId="0" xfId="0" applyFont="1" applyFill="1"/>
    <xf numFmtId="0" fontId="43" fillId="0" borderId="0" xfId="31" applyNumberFormat="1" applyFont="1" applyFill="1" applyBorder="1" applyAlignment="1" applyProtection="1"/>
    <xf numFmtId="0" fontId="43" fillId="0" borderId="0" xfId="31" applyNumberFormat="1" applyFont="1" applyFill="1" applyBorder="1" applyAlignment="1" applyProtection="1">
      <protection locked="0" hidden="1"/>
    </xf>
    <xf numFmtId="0" fontId="0" fillId="0" borderId="0" xfId="0" applyProtection="1">
      <protection locked="0" hidden="1"/>
    </xf>
    <xf numFmtId="0" fontId="0" fillId="26" borderId="0" xfId="0" applyFill="1" applyProtection="1">
      <protection locked="0" hidden="1"/>
    </xf>
    <xf numFmtId="0" fontId="0" fillId="25" borderId="0" xfId="0" applyFill="1" applyProtection="1">
      <protection locked="0" hidden="1"/>
    </xf>
    <xf numFmtId="0" fontId="0" fillId="24" borderId="0" xfId="0" applyFill="1" applyProtection="1">
      <protection locked="0" hidden="1"/>
    </xf>
    <xf numFmtId="0" fontId="0" fillId="27" borderId="0" xfId="0" applyFill="1" applyProtection="1">
      <protection locked="0" hidden="1"/>
    </xf>
    <xf numFmtId="0" fontId="0" fillId="0" borderId="0" xfId="0" applyFill="1" applyProtection="1"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1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31" fillId="0" borderId="0" xfId="0" applyFont="1" applyFill="1" applyProtection="1">
      <protection locked="0" hidden="1"/>
    </xf>
    <xf numFmtId="17" fontId="40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1" fillId="0" borderId="0" xfId="0" applyFont="1" applyFill="1" applyProtection="1">
      <protection locked="0" hidden="1"/>
    </xf>
    <xf numFmtId="17" fontId="0" fillId="0" borderId="0" xfId="0" applyNumberFormat="1" applyProtection="1">
      <protection locked="0" hidden="1"/>
    </xf>
    <xf numFmtId="3" fontId="0" fillId="0" borderId="0" xfId="0" applyNumberFormat="1" applyProtection="1">
      <protection locked="0" hidden="1"/>
    </xf>
    <xf numFmtId="166" fontId="1" fillId="0" borderId="0" xfId="33" applyNumberFormat="1" applyProtection="1">
      <protection locked="0" hidden="1"/>
    </xf>
    <xf numFmtId="3" fontId="0" fillId="0" borderId="0" xfId="0" applyNumberFormat="1" applyAlignment="1" applyProtection="1">
      <alignment horizontal="right"/>
      <protection locked="0" hidden="1"/>
    </xf>
    <xf numFmtId="166" fontId="1" fillId="0" borderId="0" xfId="33" applyNumberFormat="1" applyFill="1" applyProtection="1">
      <protection locked="0" hidden="1"/>
    </xf>
    <xf numFmtId="3" fontId="0" fillId="0" borderId="0" xfId="0" applyNumberFormat="1" applyAlignment="1" applyProtection="1">
      <alignment horizontal="center"/>
      <protection locked="0" hidden="1"/>
    </xf>
    <xf numFmtId="166" fontId="1" fillId="0" borderId="0" xfId="33" applyNumberFormat="1" applyAlignment="1" applyProtection="1">
      <alignment horizontal="center"/>
      <protection locked="0" hidden="1"/>
    </xf>
    <xf numFmtId="166" fontId="0" fillId="0" borderId="0" xfId="0" applyNumberFormat="1" applyBorder="1" applyProtection="1">
      <protection locked="0" hidden="1"/>
    </xf>
    <xf numFmtId="166" fontId="0" fillId="0" borderId="0" xfId="0" applyNumberFormat="1" applyProtection="1">
      <protection locked="0" hidden="1"/>
    </xf>
    <xf numFmtId="166" fontId="0" fillId="0" borderId="10" xfId="0" applyNumberFormat="1" applyBorder="1" applyProtection="1">
      <protection locked="0" hidden="1"/>
    </xf>
    <xf numFmtId="166" fontId="1" fillId="0" borderId="0" xfId="33" applyNumberFormat="1" applyBorder="1" applyProtection="1">
      <protection locked="0" hidden="1"/>
    </xf>
    <xf numFmtId="3" fontId="0" fillId="0" borderId="0" xfId="0" applyNumberFormat="1" applyBorder="1" applyAlignment="1" applyProtection="1">
      <alignment horizontal="right"/>
      <protection locked="0" hidden="1"/>
    </xf>
    <xf numFmtId="3" fontId="0" fillId="0" borderId="0" xfId="0" applyNumberFormat="1" applyAlignment="1" applyProtection="1">
      <protection locked="0" hidden="1"/>
    </xf>
    <xf numFmtId="17" fontId="0" fillId="0" borderId="0" xfId="0" applyNumberFormat="1" applyFill="1" applyProtection="1">
      <protection locked="0" hidden="1"/>
    </xf>
    <xf numFmtId="3" fontId="0" fillId="0" borderId="0" xfId="0" applyNumberFormat="1" applyFill="1" applyAlignment="1" applyProtection="1">
      <alignment horizontal="right"/>
      <protection locked="0" hidden="1"/>
    </xf>
    <xf numFmtId="3" fontId="0" fillId="0" borderId="0" xfId="0" applyNumberFormat="1" applyFill="1" applyProtection="1">
      <protection locked="0" hidden="1"/>
    </xf>
    <xf numFmtId="3" fontId="0" fillId="0" borderId="0" xfId="0" applyNumberFormat="1" applyFill="1" applyAlignment="1" applyProtection="1">
      <protection locked="0" hidden="1"/>
    </xf>
    <xf numFmtId="166" fontId="0" fillId="0" borderId="0" xfId="0" applyNumberFormat="1" applyFill="1" applyBorder="1" applyProtection="1">
      <protection locked="0" hidden="1"/>
    </xf>
    <xf numFmtId="166" fontId="0" fillId="0" borderId="0" xfId="0" applyNumberFormat="1" applyFill="1" applyProtection="1">
      <protection locked="0" hidden="1"/>
    </xf>
    <xf numFmtId="3" fontId="0" fillId="0" borderId="0" xfId="0" applyNumberFormat="1" applyBorder="1" applyAlignment="1" applyProtection="1">
      <protection locked="0" hidden="1"/>
    </xf>
    <xf numFmtId="168" fontId="0" fillId="0" borderId="0" xfId="0" applyNumberFormat="1" applyBorder="1" applyProtection="1">
      <protection locked="0" hidden="1"/>
    </xf>
    <xf numFmtId="168" fontId="0" fillId="0" borderId="0" xfId="0" applyNumberFormat="1" applyProtection="1">
      <protection locked="0" hidden="1"/>
    </xf>
    <xf numFmtId="168" fontId="0" fillId="29" borderId="0" xfId="0" applyNumberFormat="1" applyFill="1" applyProtection="1">
      <protection locked="0" hidden="1"/>
    </xf>
    <xf numFmtId="0" fontId="19" fillId="0" borderId="0" xfId="0" applyFont="1" applyProtection="1">
      <protection locked="0" hidden="1"/>
    </xf>
    <xf numFmtId="0" fontId="19" fillId="0" borderId="0" xfId="0" applyFont="1" applyFill="1" applyProtection="1">
      <protection locked="0" hidden="1"/>
    </xf>
    <xf numFmtId="0" fontId="19" fillId="23" borderId="0" xfId="0" applyFont="1" applyFill="1" applyProtection="1">
      <protection locked="0" hidden="1"/>
    </xf>
    <xf numFmtId="0" fontId="20" fillId="0" borderId="0" xfId="0" applyFont="1" applyBorder="1" applyAlignment="1" applyProtection="1">
      <alignment vertical="center" wrapText="1"/>
      <protection locked="0" hidden="1"/>
    </xf>
    <xf numFmtId="0" fontId="19" fillId="0" borderId="0" xfId="0" applyFont="1" applyFill="1" applyBorder="1" applyProtection="1">
      <protection locked="0" hidden="1"/>
    </xf>
    <xf numFmtId="0" fontId="34" fillId="0" borderId="0" xfId="0" applyFont="1" applyBorder="1" applyAlignment="1" applyProtection="1">
      <alignment horizontal="center" vertical="center" wrapText="1"/>
      <protection locked="0" hidden="1"/>
    </xf>
    <xf numFmtId="0" fontId="19" fillId="0" borderId="0" xfId="0" applyFont="1" applyBorder="1" applyProtection="1">
      <protection locked="0" hidden="1"/>
    </xf>
    <xf numFmtId="0" fontId="21" fillId="0" borderId="0" xfId="0" applyFont="1" applyBorder="1" applyAlignment="1" applyProtection="1">
      <alignment vertical="center" wrapText="1"/>
      <protection locked="0" hidden="1"/>
    </xf>
    <xf numFmtId="0" fontId="20" fillId="0" borderId="0" xfId="0" applyFont="1" applyBorder="1" applyAlignment="1" applyProtection="1">
      <alignment horizontal="center" vertical="center" wrapText="1"/>
      <protection locked="0" hidden="1"/>
    </xf>
    <xf numFmtId="0" fontId="21" fillId="0" borderId="0" xfId="0" applyFont="1" applyBorder="1" applyAlignment="1" applyProtection="1">
      <alignment horizontal="center" vertical="center" wrapText="1"/>
      <protection locked="0" hidden="1"/>
    </xf>
    <xf numFmtId="0" fontId="22" fillId="0" borderId="0" xfId="0" applyFont="1" applyProtection="1">
      <protection locked="0" hidden="1"/>
    </xf>
    <xf numFmtId="3" fontId="21" fillId="0" borderId="0" xfId="0" applyNumberFormat="1" applyFont="1" applyBorder="1" applyAlignment="1" applyProtection="1">
      <alignment vertical="center" wrapText="1"/>
      <protection locked="0" hidden="1"/>
    </xf>
    <xf numFmtId="0" fontId="22" fillId="0" borderId="0" xfId="0" applyFont="1" applyFill="1" applyProtection="1">
      <protection locked="0" hidden="1"/>
    </xf>
    <xf numFmtId="0" fontId="26" fillId="0" borderId="0" xfId="31" applyNumberFormat="1" applyFill="1" applyBorder="1" applyAlignment="1" applyProtection="1">
      <alignment horizontal="left"/>
      <protection locked="0" hidden="1"/>
    </xf>
    <xf numFmtId="0" fontId="23" fillId="0" borderId="0" xfId="0" applyFont="1" applyProtection="1">
      <protection locked="0" hidden="1"/>
    </xf>
    <xf numFmtId="0" fontId="25" fillId="0" borderId="0" xfId="31" applyNumberFormat="1" applyFont="1" applyFill="1" applyBorder="1" applyAlignment="1" applyProtection="1">
      <alignment horizontal="left"/>
      <protection locked="0" hidden="1"/>
    </xf>
    <xf numFmtId="0" fontId="27" fillId="23" borderId="0" xfId="0" applyFont="1" applyFill="1" applyBorder="1" applyAlignment="1" applyProtection="1">
      <alignment horizontal="center" vertical="center" wrapText="1"/>
      <protection locked="0" hidden="1"/>
    </xf>
    <xf numFmtId="0" fontId="27" fillId="0" borderId="0" xfId="0" applyFont="1" applyFill="1" applyBorder="1" applyAlignment="1" applyProtection="1">
      <alignment horizontal="center" vertical="center" wrapText="1"/>
      <protection locked="0" hidden="1"/>
    </xf>
    <xf numFmtId="0" fontId="37" fillId="28" borderId="0" xfId="0" applyFont="1" applyFill="1" applyAlignment="1" applyProtection="1">
      <alignment horizontal="left"/>
      <protection locked="0" hidden="1"/>
    </xf>
    <xf numFmtId="17" fontId="27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vertical="justify" justifyLastLine="1"/>
      <protection locked="0" hidden="1"/>
    </xf>
    <xf numFmtId="0" fontId="38" fillId="0" borderId="0" xfId="0" applyNumberFormat="1" applyFont="1" applyProtection="1">
      <protection locked="0" hidden="1"/>
    </xf>
    <xf numFmtId="167" fontId="24" fillId="0" borderId="0" xfId="0" applyNumberFormat="1" applyFont="1" applyAlignment="1" applyProtection="1">
      <alignment horizontal="right" vertical="top" wrapText="1"/>
      <protection locked="0" hidden="1"/>
    </xf>
    <xf numFmtId="3" fontId="24" fillId="0" borderId="0" xfId="0" applyNumberFormat="1" applyFont="1" applyBorder="1" applyAlignment="1" applyProtection="1">
      <alignment horizontal="right" indent="1"/>
      <protection locked="0" hidden="1"/>
    </xf>
    <xf numFmtId="3" fontId="19" fillId="0" borderId="0" xfId="0" applyNumberFormat="1" applyFont="1" applyProtection="1">
      <protection locked="0" hidden="1"/>
    </xf>
    <xf numFmtId="0" fontId="28" fillId="0" borderId="0" xfId="0" applyFont="1" applyProtection="1">
      <protection locked="0" hidden="1"/>
    </xf>
    <xf numFmtId="3" fontId="29" fillId="0" borderId="0" xfId="0" applyNumberFormat="1" applyFont="1" applyBorder="1" applyAlignment="1" applyProtection="1">
      <alignment horizontal="right" indent="1"/>
      <protection locked="0" hidden="1"/>
    </xf>
    <xf numFmtId="2" fontId="29" fillId="0" borderId="0" xfId="0" applyNumberFormat="1" applyFont="1" applyFill="1" applyBorder="1" applyAlignment="1" applyProtection="1">
      <alignment horizontal="right" indent="1"/>
      <protection locked="0" hidden="1"/>
    </xf>
    <xf numFmtId="0" fontId="30" fillId="0" borderId="0" xfId="0" applyFont="1" applyBorder="1" applyAlignment="1" applyProtection="1">
      <protection locked="0" hidden="1"/>
    </xf>
    <xf numFmtId="2" fontId="29" fillId="0" borderId="0" xfId="0" applyNumberFormat="1" applyFont="1" applyBorder="1" applyAlignment="1" applyProtection="1">
      <alignment horizontal="right" indent="1"/>
      <protection locked="0" hidden="1"/>
    </xf>
    <xf numFmtId="0" fontId="45" fillId="0" borderId="0" xfId="0" applyFont="1" applyProtection="1">
      <protection locked="0" hidden="1"/>
    </xf>
    <xf numFmtId="168" fontId="0" fillId="0" borderId="0" xfId="0" applyNumberFormat="1" applyFill="1" applyBorder="1" applyProtection="1">
      <protection locked="0" hidden="1"/>
    </xf>
    <xf numFmtId="168" fontId="0" fillId="0" borderId="0" xfId="0" applyNumberFormat="1" applyFill="1" applyProtection="1">
      <protection locked="0" hidden="1"/>
    </xf>
    <xf numFmtId="0" fontId="0" fillId="30" borderId="0" xfId="0" applyFill="1" applyProtection="1">
      <protection locked="0" hidden="1"/>
    </xf>
    <xf numFmtId="3" fontId="24" fillId="0" borderId="0" xfId="0" applyNumberFormat="1" applyFont="1" applyFill="1" applyBorder="1" applyAlignment="1" applyProtection="1">
      <alignment horizontal="right" indent="1"/>
      <protection locked="0" hidden="1"/>
    </xf>
    <xf numFmtId="166" fontId="1" fillId="0" borderId="0" xfId="33" applyNumberFormat="1" applyFill="1"/>
    <xf numFmtId="166" fontId="1" fillId="0" borderId="0" xfId="33" applyNumberFormat="1" applyFill="1" applyBorder="1" applyProtection="1">
      <protection locked="0" hidden="1"/>
    </xf>
    <xf numFmtId="166" fontId="1" fillId="0" borderId="0" xfId="33" applyNumberFormat="1" applyFill="1" applyAlignment="1" applyProtection="1">
      <alignment horizontal="right"/>
      <protection locked="0" hidden="1"/>
    </xf>
    <xf numFmtId="0" fontId="35" fillId="0" borderId="0" xfId="0" applyFont="1" applyAlignment="1" applyProtection="1"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0" fillId="0" borderId="11" xfId="0" applyNumberFormat="1" applyFill="1" applyBorder="1" applyProtection="1">
      <protection locked="0" hidden="1"/>
    </xf>
    <xf numFmtId="3" fontId="0" fillId="0" borderId="11" xfId="0" applyNumberFormat="1" applyFill="1" applyBorder="1" applyProtection="1">
      <protection locked="0" hidden="1"/>
    </xf>
    <xf numFmtId="3" fontId="0" fillId="0" borderId="11" xfId="0" applyNumberFormat="1" applyFill="1" applyBorder="1" applyAlignment="1" applyProtection="1">
      <alignment horizontal="right"/>
      <protection locked="0" hidden="1"/>
    </xf>
    <xf numFmtId="166" fontId="1" fillId="0" borderId="11" xfId="33" applyNumberFormat="1" applyFill="1" applyBorder="1" applyProtection="1">
      <protection locked="0" hidden="1"/>
    </xf>
    <xf numFmtId="168" fontId="0" fillId="0" borderId="11" xfId="0" applyNumberFormat="1" applyFill="1" applyBorder="1" applyProtection="1">
      <protection locked="0" hidden="1"/>
    </xf>
    <xf numFmtId="0" fontId="0" fillId="0" borderId="11" xfId="0" applyFill="1" applyBorder="1" applyProtection="1">
      <protection locked="0" hidden="1"/>
    </xf>
    <xf numFmtId="3" fontId="0" fillId="0" borderId="0" xfId="0" applyNumberFormat="1" applyFill="1" applyAlignment="1">
      <alignment horizontal="center"/>
    </xf>
    <xf numFmtId="3" fontId="0" fillId="0" borderId="11" xfId="0" applyNumberFormat="1" applyFill="1" applyBorder="1" applyAlignment="1">
      <alignment horizontal="center"/>
    </xf>
    <xf numFmtId="3" fontId="0" fillId="0" borderId="0" xfId="0" applyNumberFormat="1" applyFill="1" applyBorder="1" applyProtection="1">
      <protection locked="0" hidden="1"/>
    </xf>
    <xf numFmtId="0" fontId="0" fillId="31" borderId="9" xfId="0" applyFill="1" applyBorder="1"/>
    <xf numFmtId="0" fontId="0" fillId="31" borderId="0" xfId="0" applyFill="1"/>
    <xf numFmtId="0" fontId="0" fillId="32" borderId="0" xfId="0" applyFill="1"/>
    <xf numFmtId="17" fontId="33" fillId="0" borderId="0" xfId="0" applyNumberFormat="1" applyFont="1" applyFill="1" applyBorder="1" applyAlignment="1" applyProtection="1">
      <alignment vertical="center" wrapText="1"/>
      <protection locked="0" hidden="1"/>
    </xf>
    <xf numFmtId="0" fontId="47" fillId="0" borderId="0" xfId="0" applyFont="1" applyProtection="1">
      <protection locked="0" hidden="1"/>
    </xf>
    <xf numFmtId="3" fontId="47" fillId="0" borderId="0" xfId="0" applyNumberFormat="1" applyFont="1" applyProtection="1">
      <protection locked="0" hidden="1"/>
    </xf>
    <xf numFmtId="0" fontId="47" fillId="0" borderId="0" xfId="0" applyFont="1" applyFill="1" applyProtection="1">
      <protection locked="0" hidden="1"/>
    </xf>
    <xf numFmtId="168" fontId="47" fillId="0" borderId="0" xfId="0" applyNumberFormat="1" applyFont="1" applyProtection="1">
      <protection locked="0" hidden="1"/>
    </xf>
    <xf numFmtId="0" fontId="18" fillId="0" borderId="0" xfId="0" applyFont="1" applyFill="1"/>
    <xf numFmtId="0" fontId="18" fillId="0" borderId="0" xfId="0" applyFont="1" applyFill="1" applyBorder="1" applyAlignment="1">
      <alignment horizontal="center"/>
    </xf>
    <xf numFmtId="0" fontId="0" fillId="0" borderId="0" xfId="0" applyFill="1" applyBorder="1"/>
    <xf numFmtId="166" fontId="1" fillId="29" borderId="0" xfId="33" applyNumberFormat="1" applyFill="1" applyProtection="1">
      <protection locked="0" hidden="1"/>
    </xf>
    <xf numFmtId="166" fontId="1" fillId="0" borderId="0" xfId="33" applyNumberFormat="1" applyAlignment="1" applyProtection="1">
      <alignment horizontal="right"/>
      <protection locked="0" hidden="1"/>
    </xf>
    <xf numFmtId="166" fontId="1" fillId="0" borderId="0" xfId="33" applyNumberFormat="1" applyBorder="1" applyAlignment="1" applyProtection="1">
      <alignment horizontal="right"/>
      <protection locked="0" hidden="1"/>
    </xf>
    <xf numFmtId="166" fontId="1" fillId="29" borderId="0" xfId="33" applyNumberFormat="1" applyFill="1" applyAlignment="1" applyProtection="1">
      <alignment horizontal="right"/>
      <protection locked="0" hidden="1"/>
    </xf>
    <xf numFmtId="166" fontId="1" fillId="0" borderId="0" xfId="33" applyNumberFormat="1" applyFill="1" applyBorder="1" applyAlignment="1" applyProtection="1">
      <alignment horizontal="right"/>
      <protection locked="0" hidden="1"/>
    </xf>
    <xf numFmtId="166" fontId="1" fillId="0" borderId="11" xfId="33" applyNumberFormat="1" applyFill="1" applyBorder="1" applyAlignment="1" applyProtection="1">
      <alignment horizontal="right"/>
      <protection locked="0" hidden="1"/>
    </xf>
    <xf numFmtId="166" fontId="1" fillId="29" borderId="11" xfId="33" applyNumberFormat="1" applyFill="1" applyBorder="1" applyAlignment="1" applyProtection="1">
      <alignment horizontal="right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66" fontId="0" fillId="0" borderId="11" xfId="0" applyNumberFormat="1" applyFill="1" applyBorder="1" applyProtection="1">
      <protection locked="0" hidden="1"/>
    </xf>
    <xf numFmtId="0" fontId="18" fillId="24" borderId="12" xfId="0" applyFont="1" applyFill="1" applyBorder="1" applyAlignment="1">
      <alignment horizontal="center"/>
    </xf>
    <xf numFmtId="0" fontId="18" fillId="24" borderId="13" xfId="0" applyFont="1" applyFill="1" applyBorder="1" applyAlignment="1">
      <alignment horizontal="center"/>
    </xf>
    <xf numFmtId="0" fontId="18" fillId="24" borderId="14" xfId="0" applyFont="1" applyFill="1" applyBorder="1" applyAlignment="1">
      <alignment horizontal="center"/>
    </xf>
    <xf numFmtId="17" fontId="40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/>
      <protection locked="0" hidden="1"/>
    </xf>
    <xf numFmtId="2" fontId="24" fillId="0" borderId="0" xfId="0" applyNumberFormat="1" applyFont="1" applyBorder="1" applyAlignment="1" applyProtection="1">
      <alignment horizontal="center" vertical="top"/>
      <protection locked="0" hidden="1"/>
    </xf>
    <xf numFmtId="0" fontId="39" fillId="0" borderId="15" xfId="0" applyFont="1" applyBorder="1" applyAlignment="1" applyProtection="1">
      <alignment horizontal="center" vertical="center" wrapText="1"/>
      <protection locked="0" hidden="1"/>
    </xf>
    <xf numFmtId="0" fontId="39" fillId="0" borderId="16" xfId="0" applyFont="1" applyBorder="1" applyAlignment="1" applyProtection="1">
      <alignment horizontal="center" vertical="center" wrapText="1"/>
      <protection locked="0" hidden="1"/>
    </xf>
    <xf numFmtId="0" fontId="39" fillId="0" borderId="17" xfId="0" applyFont="1" applyBorder="1" applyAlignment="1" applyProtection="1">
      <alignment horizontal="center" vertical="center" wrapText="1"/>
      <protection locked="0" hidden="1"/>
    </xf>
    <xf numFmtId="0" fontId="21" fillId="0" borderId="18" xfId="0" applyFont="1" applyBorder="1" applyAlignment="1" applyProtection="1">
      <alignment horizontal="center" vertical="center" wrapText="1"/>
      <protection locked="0" hidden="1"/>
    </xf>
    <xf numFmtId="0" fontId="21" fillId="0" borderId="19" xfId="0" applyFont="1" applyBorder="1" applyAlignment="1" applyProtection="1">
      <alignment horizontal="center" vertical="center" wrapText="1"/>
      <protection locked="0" hidden="1"/>
    </xf>
    <xf numFmtId="0" fontId="21" fillId="0" borderId="20" xfId="0" applyFont="1" applyBorder="1" applyAlignment="1" applyProtection="1">
      <alignment horizontal="center" vertical="center" wrapText="1"/>
      <protection locked="0" hidden="1"/>
    </xf>
    <xf numFmtId="0" fontId="24" fillId="0" borderId="21" xfId="0" applyFont="1" applyBorder="1" applyAlignment="1" applyProtection="1">
      <alignment horizontal="center" vertical="center" wrapText="1"/>
      <protection locked="0" hidden="1"/>
    </xf>
    <xf numFmtId="0" fontId="24" fillId="0" borderId="22" xfId="0" applyFont="1" applyBorder="1" applyAlignment="1" applyProtection="1">
      <alignment horizontal="center" vertical="center" wrapText="1"/>
      <protection locked="0" hidden="1"/>
    </xf>
    <xf numFmtId="0" fontId="24" fillId="0" borderId="23" xfId="0" applyFont="1" applyBorder="1" applyAlignment="1" applyProtection="1">
      <alignment horizontal="center" vertical="center" wrapText="1"/>
      <protection locked="0" hidden="1"/>
    </xf>
    <xf numFmtId="0" fontId="20" fillId="0" borderId="0" xfId="0" applyFont="1" applyBorder="1" applyAlignment="1" applyProtection="1">
      <alignment horizontal="right" vertical="center" wrapText="1" indent="3"/>
      <protection locked="0" hidden="1"/>
    </xf>
    <xf numFmtId="0" fontId="20" fillId="0" borderId="24" xfId="0" applyFont="1" applyBorder="1" applyAlignment="1" applyProtection="1">
      <alignment horizontal="right" vertical="center" wrapText="1" indent="3"/>
      <protection locked="0" hidden="1"/>
    </xf>
    <xf numFmtId="2" fontId="36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4" fillId="0" borderId="0" xfId="0" applyFont="1" applyFill="1" applyAlignment="1" applyProtection="1">
      <alignment horizontal="center" vertical="center" wrapText="1"/>
      <protection locked="0" hidden="1"/>
    </xf>
    <xf numFmtId="0" fontId="42" fillId="0" borderId="0" xfId="0" applyFont="1" applyAlignment="1">
      <alignment horizontal="justify" vertical="center" wrapText="1"/>
    </xf>
    <xf numFmtId="0" fontId="44" fillId="0" borderId="0" xfId="0" applyFont="1" applyAlignment="1">
      <alignment horizontal="center"/>
    </xf>
    <xf numFmtId="0" fontId="48" fillId="0" borderId="0" xfId="0" applyFont="1" applyAlignment="1">
      <alignment horizontal="justify" vertical="center" wrapText="1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2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31" builtinId="8"/>
    <cellStyle name="Incorrecto" xfId="32" builtinId="27" customBuiltin="1"/>
    <cellStyle name="Millares" xfId="33" builtinId="3"/>
    <cellStyle name="Millares 2" xfId="34"/>
    <cellStyle name="Normal" xfId="0" builtinId="0"/>
    <cellStyle name="Normal 2" xfId="35"/>
    <cellStyle name="Normal 3" xfId="45"/>
    <cellStyle name="Notas" xfId="36" builtinId="10" customBuiltin="1"/>
    <cellStyle name="Porcentual 2" xfId="37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3" builtinId="17" customBuiltin="1"/>
    <cellStyle name="Título 3" xfId="44" builtinId="18" customBuiltin="1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10"/>
      </font>
    </dxf>
    <dxf>
      <font>
        <condense val="0"/>
        <extend val="0"/>
        <color indexed="10"/>
        <name val="❱讼肾䳮▕澬鿄ꉾﮚ㵽驢圲簸춐伝갲誡_xd9d7_㈱﬍ോ㻔ꄚϴ퍨_xffff__xffff_"/>
        <scheme val="none"/>
      </font>
    </dxf>
    <dxf>
      <font>
        <condense val="0"/>
        <extend val="0"/>
        <color indexed="10"/>
      </font>
    </dxf>
    <dxf>
      <font>
        <condense val="0"/>
        <extend val="0"/>
        <color indexed="9"/>
        <name val=" ¾¢_x0015_¤V³ýþ-yíÌ_x0007__x0002__x0003_Ô§ÞáöÒÅå]&amp;_x0007_"/>
        <scheme val="none"/>
      </font>
    </dxf>
    <dxf>
      <font>
        <condense val="0"/>
        <extend val="0"/>
        <color indexed="9"/>
        <name val="_x001c_c÷ª7eâÄÁ;q_x0001_ß_x0005_^&gt;D1[ôïèêCü"/>
        <scheme val="none"/>
      </font>
    </dxf>
    <dxf>
      <fill>
        <patternFill patternType="solid">
          <fgColor indexed="52"/>
          <bgColor indexed="53"/>
        </patternFill>
      </fill>
    </dxf>
    <dxf>
      <font>
        <condense val="0"/>
        <extend val="0"/>
        <color indexed="9"/>
        <name val="踌㗜䞩ὁ쵥奅㴸䘖慁䥀倂햟䟭樫芲垯Ꝯ뭏㶺뒬ꨫ蠜Ⱕ냫紣器_xdce3__xffff__xffff__x0000_"/>
        <scheme val="none"/>
      </font>
    </dxf>
    <dxf>
      <font>
        <condense val="0"/>
        <extend val="0"/>
        <color indexed="9"/>
        <name val="ðÍ¼_x000c_d§¥ëÈñÊK_x0004__x0016_9`i×¹[P·[ý0_x000d_;Ü"/>
        <scheme val="none"/>
      </font>
    </dxf>
    <dxf>
      <fill>
        <patternFill>
          <bgColor indexed="44"/>
        </patternFill>
      </fill>
    </dxf>
  </dxfs>
  <tableStyles count="0" defaultTableStyle="TableStyleMedium9" defaultPivotStyle="PivotStyleLight16"/>
  <colors>
    <mruColors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390525</xdr:colOff>
      <xdr:row>1</xdr:row>
      <xdr:rowOff>19050</xdr:rowOff>
    </xdr:from>
    <xdr:to>
      <xdr:col>9</xdr:col>
      <xdr:colOff>228601</xdr:colOff>
      <xdr:row>4</xdr:row>
      <xdr:rowOff>28575</xdr:rowOff>
    </xdr:to>
    <xdr:pic>
      <xdr:nvPicPr>
        <xdr:cNvPr id="4" name="0 Imagen" descr="Logo 2025 MEF-DGI_final-01.pn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9525" y="180975"/>
          <a:ext cx="2085976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T257"/>
  <sheetViews>
    <sheetView topLeftCell="J1" zoomScaleNormal="100" workbookViewId="0">
      <selection activeCell="J1" sqref="J1:M1"/>
    </sheetView>
  </sheetViews>
  <sheetFormatPr baseColWidth="10" defaultRowHeight="12.75" x14ac:dyDescent="0.2"/>
  <cols>
    <col min="1" max="1" width="36.7109375" bestFit="1" customWidth="1"/>
    <col min="2" max="2" width="17.42578125" customWidth="1"/>
    <col min="3" max="3" width="27.42578125" bestFit="1" customWidth="1"/>
    <col min="4" max="4" width="36.7109375" customWidth="1"/>
    <col min="5" max="5" width="20" customWidth="1"/>
    <col min="6" max="6" width="98" customWidth="1"/>
    <col min="7" max="7" width="98" bestFit="1" customWidth="1"/>
    <col min="8" max="8" width="11.5703125" customWidth="1"/>
    <col min="9" max="9" width="2.28515625" customWidth="1"/>
    <col min="10" max="10" width="36.7109375" bestFit="1" customWidth="1"/>
    <col min="11" max="11" width="74.28515625" customWidth="1"/>
    <col min="12" max="12" width="107.85546875" customWidth="1"/>
    <col min="13" max="13" width="98" bestFit="1" customWidth="1"/>
    <col min="14" max="14" width="3.5703125" style="2" customWidth="1"/>
    <col min="15" max="15" width="28.5703125" bestFit="1" customWidth="1"/>
    <col min="16" max="16" width="121.85546875" bestFit="1" customWidth="1"/>
    <col min="17" max="17" width="2.28515625" customWidth="1"/>
    <col min="19" max="19" width="100.5703125" bestFit="1" customWidth="1"/>
    <col min="20" max="20" width="100.7109375" customWidth="1"/>
  </cols>
  <sheetData>
    <row r="1" spans="1:20" x14ac:dyDescent="0.2">
      <c r="A1" s="4" t="s">
        <v>2</v>
      </c>
      <c r="C1" s="4" t="s">
        <v>0</v>
      </c>
      <c r="D1" s="4" t="s">
        <v>11</v>
      </c>
      <c r="E1" s="4" t="s">
        <v>1</v>
      </c>
      <c r="F1" s="109" t="s">
        <v>31</v>
      </c>
      <c r="G1" s="5" t="s">
        <v>12</v>
      </c>
      <c r="H1" s="5" t="s">
        <v>13</v>
      </c>
      <c r="J1" s="122" t="s">
        <v>26</v>
      </c>
      <c r="K1" s="123"/>
      <c r="L1" s="123"/>
      <c r="M1" s="124"/>
      <c r="N1" s="110"/>
      <c r="O1" s="12" t="s">
        <v>78</v>
      </c>
      <c r="P1" s="12"/>
      <c r="R1" s="12" t="s">
        <v>32</v>
      </c>
      <c r="S1" s="12" t="s">
        <v>57</v>
      </c>
      <c r="T1" s="12" t="s">
        <v>33</v>
      </c>
    </row>
    <row r="2" spans="1:20" x14ac:dyDescent="0.2">
      <c r="A2" t="s">
        <v>79</v>
      </c>
      <c r="C2" t="s">
        <v>27</v>
      </c>
      <c r="D2" t="s">
        <v>27</v>
      </c>
      <c r="E2" t="s">
        <v>27</v>
      </c>
      <c r="F2" s="2" t="s">
        <v>27</v>
      </c>
      <c r="G2" s="10" t="s">
        <v>27</v>
      </c>
      <c r="H2">
        <v>0</v>
      </c>
      <c r="J2" s="3" t="s">
        <v>0</v>
      </c>
      <c r="K2" s="3" t="s">
        <v>5</v>
      </c>
      <c r="L2" s="3" t="str">
        <f>+CONCATENATE(J2,K2)</f>
        <v>BEBIDASAgua Mineral y sodas</v>
      </c>
      <c r="M2" s="3" t="s">
        <v>5</v>
      </c>
      <c r="N2" s="111"/>
      <c r="O2" t="s">
        <v>96</v>
      </c>
      <c r="P2" t="s">
        <v>157</v>
      </c>
      <c r="R2" t="s">
        <v>34</v>
      </c>
      <c r="S2" t="s">
        <v>58</v>
      </c>
      <c r="T2" t="s">
        <v>165</v>
      </c>
    </row>
    <row r="3" spans="1:20" x14ac:dyDescent="0.2">
      <c r="A3" t="s">
        <v>0</v>
      </c>
      <c r="C3" t="s">
        <v>5</v>
      </c>
      <c r="D3" t="s">
        <v>101</v>
      </c>
      <c r="E3" t="s">
        <v>77</v>
      </c>
      <c r="F3" s="2" t="s">
        <v>165</v>
      </c>
      <c r="G3" t="s">
        <v>15</v>
      </c>
      <c r="H3" t="s">
        <v>93</v>
      </c>
      <c r="J3" s="3" t="s">
        <v>0</v>
      </c>
      <c r="K3" s="3" t="s">
        <v>14</v>
      </c>
      <c r="L3" s="3" t="str">
        <f t="shared" ref="L3:L22" si="0">+CONCATENATE(J3,K3)</f>
        <v>BEBIDASAmargos y aperitivos sin alcohol</v>
      </c>
      <c r="M3" s="3" t="s">
        <v>14</v>
      </c>
      <c r="N3" s="111"/>
      <c r="O3" t="s">
        <v>93</v>
      </c>
      <c r="P3" t="s">
        <v>158</v>
      </c>
      <c r="R3" t="s">
        <v>34</v>
      </c>
      <c r="S3" t="s">
        <v>58</v>
      </c>
      <c r="T3" t="s">
        <v>166</v>
      </c>
    </row>
    <row r="4" spans="1:20" x14ac:dyDescent="0.2">
      <c r="A4" t="s">
        <v>11</v>
      </c>
      <c r="C4" t="s">
        <v>14</v>
      </c>
      <c r="D4" t="s">
        <v>102</v>
      </c>
      <c r="E4" t="s">
        <v>76</v>
      </c>
      <c r="F4" s="2" t="s">
        <v>166</v>
      </c>
      <c r="G4" t="s">
        <v>16</v>
      </c>
      <c r="H4" t="s">
        <v>94</v>
      </c>
      <c r="J4" s="3" t="s">
        <v>0</v>
      </c>
      <c r="K4" s="3" t="s">
        <v>4</v>
      </c>
      <c r="L4" s="3" t="str">
        <f t="shared" si="0"/>
        <v>BEBIDASBebidas Base Jugos</v>
      </c>
      <c r="M4" s="3" t="s">
        <v>4</v>
      </c>
      <c r="N4" s="111"/>
      <c r="O4" t="s">
        <v>94</v>
      </c>
      <c r="P4" t="s">
        <v>159</v>
      </c>
      <c r="R4" t="s">
        <v>35</v>
      </c>
      <c r="S4" t="s">
        <v>59</v>
      </c>
      <c r="T4" t="s">
        <v>167</v>
      </c>
    </row>
    <row r="5" spans="1:20" x14ac:dyDescent="0.2">
      <c r="A5" t="s">
        <v>1</v>
      </c>
      <c r="C5" t="s">
        <v>4</v>
      </c>
      <c r="F5" s="2" t="s">
        <v>167</v>
      </c>
      <c r="G5" t="s">
        <v>4</v>
      </c>
      <c r="H5" t="s">
        <v>95</v>
      </c>
      <c r="J5" s="3" t="s">
        <v>0</v>
      </c>
      <c r="K5" s="3" t="s">
        <v>7</v>
      </c>
      <c r="L5" s="3" t="str">
        <f t="shared" si="0"/>
        <v>BEBIDASBebidas Cola y otros refrescos</v>
      </c>
      <c r="M5" s="3" t="s">
        <v>7</v>
      </c>
      <c r="N5" s="111"/>
      <c r="O5" t="s">
        <v>95</v>
      </c>
      <c r="P5" t="s">
        <v>160</v>
      </c>
      <c r="R5" t="s">
        <v>35</v>
      </c>
      <c r="S5" t="s">
        <v>59</v>
      </c>
      <c r="T5" t="s">
        <v>168</v>
      </c>
    </row>
    <row r="6" spans="1:20" x14ac:dyDescent="0.2">
      <c r="A6" t="s">
        <v>31</v>
      </c>
      <c r="C6" t="s">
        <v>7</v>
      </c>
      <c r="F6" s="2" t="s">
        <v>168</v>
      </c>
      <c r="G6" t="s">
        <v>7</v>
      </c>
      <c r="H6" t="s">
        <v>92</v>
      </c>
      <c r="J6" s="3" t="s">
        <v>0</v>
      </c>
      <c r="K6" s="3" t="s">
        <v>16</v>
      </c>
      <c r="L6" s="3" t="str">
        <f t="shared" si="0"/>
        <v>BEBIDASCerveza</v>
      </c>
      <c r="M6" s="3" t="s">
        <v>16</v>
      </c>
      <c r="N6" s="111"/>
      <c r="O6" t="s">
        <v>92</v>
      </c>
      <c r="P6" t="s">
        <v>164</v>
      </c>
      <c r="R6" t="s">
        <v>36</v>
      </c>
      <c r="S6" t="s">
        <v>107</v>
      </c>
      <c r="T6" t="s">
        <v>169</v>
      </c>
    </row>
    <row r="7" spans="1:20" x14ac:dyDescent="0.2">
      <c r="C7" t="s">
        <v>16</v>
      </c>
      <c r="F7" s="2" t="s">
        <v>169</v>
      </c>
      <c r="G7" t="s">
        <v>5</v>
      </c>
      <c r="H7" t="s">
        <v>95</v>
      </c>
      <c r="J7" s="3" t="s">
        <v>0</v>
      </c>
      <c r="K7" s="3" t="s">
        <v>156</v>
      </c>
      <c r="L7" s="3" t="str">
        <f t="shared" si="0"/>
        <v>BEBIDASCerveza sin alcohol</v>
      </c>
      <c r="M7" s="3" t="s">
        <v>156</v>
      </c>
      <c r="N7" s="111"/>
      <c r="O7" t="s">
        <v>99</v>
      </c>
      <c r="P7" t="s">
        <v>161</v>
      </c>
      <c r="R7" t="s">
        <v>36</v>
      </c>
      <c r="S7" t="s">
        <v>107</v>
      </c>
      <c r="T7" t="s">
        <v>170</v>
      </c>
    </row>
    <row r="8" spans="1:20" x14ac:dyDescent="0.2">
      <c r="C8" t="s">
        <v>156</v>
      </c>
      <c r="F8" s="2" t="s">
        <v>170</v>
      </c>
      <c r="G8" t="s">
        <v>6</v>
      </c>
      <c r="H8" t="s">
        <v>92</v>
      </c>
      <c r="J8" s="3" t="s">
        <v>0</v>
      </c>
      <c r="K8" s="3" t="s">
        <v>17</v>
      </c>
      <c r="L8" s="3" t="str">
        <f t="shared" si="0"/>
        <v>BEBIDASChampagne</v>
      </c>
      <c r="M8" s="3" t="s">
        <v>17</v>
      </c>
      <c r="N8" s="111"/>
      <c r="O8" t="s">
        <v>100</v>
      </c>
      <c r="P8" t="s">
        <v>209</v>
      </c>
      <c r="R8" t="s">
        <v>36</v>
      </c>
      <c r="S8" t="s">
        <v>107</v>
      </c>
      <c r="T8" t="s">
        <v>212</v>
      </c>
    </row>
    <row r="9" spans="1:20" x14ac:dyDescent="0.2">
      <c r="C9" t="s">
        <v>17</v>
      </c>
      <c r="F9" s="2" t="s">
        <v>212</v>
      </c>
      <c r="G9" t="s">
        <v>17</v>
      </c>
      <c r="H9" t="s">
        <v>96</v>
      </c>
      <c r="J9" s="3" t="s">
        <v>0</v>
      </c>
      <c r="K9" s="3" t="s">
        <v>20</v>
      </c>
      <c r="L9" s="3" t="str">
        <f t="shared" si="0"/>
        <v>BEBIDASDemás Bienes Num. 1</v>
      </c>
      <c r="M9" s="3" t="s">
        <v>20</v>
      </c>
      <c r="N9" s="111"/>
      <c r="O9" t="s">
        <v>98</v>
      </c>
      <c r="P9" t="s">
        <v>162</v>
      </c>
      <c r="R9" t="s">
        <v>37</v>
      </c>
      <c r="S9" t="s">
        <v>108</v>
      </c>
      <c r="T9" t="s">
        <v>171</v>
      </c>
    </row>
    <row r="10" spans="1:20" x14ac:dyDescent="0.2">
      <c r="A10" t="s">
        <v>3</v>
      </c>
      <c r="C10" t="s">
        <v>20</v>
      </c>
      <c r="F10" s="2" t="s">
        <v>171</v>
      </c>
      <c r="G10" t="s">
        <v>18</v>
      </c>
      <c r="H10" t="s">
        <v>96</v>
      </c>
      <c r="J10" s="3" t="s">
        <v>0</v>
      </c>
      <c r="K10" s="3" t="s">
        <v>21</v>
      </c>
      <c r="L10" s="3" t="str">
        <f t="shared" si="0"/>
        <v>BEBIDASDemás Bienes Num. 4</v>
      </c>
      <c r="M10" s="3" t="s">
        <v>21</v>
      </c>
      <c r="N10" s="111"/>
      <c r="O10" t="s">
        <v>97</v>
      </c>
      <c r="P10" t="s">
        <v>163</v>
      </c>
      <c r="R10" t="s">
        <v>37</v>
      </c>
      <c r="S10" t="s">
        <v>108</v>
      </c>
      <c r="T10" t="s">
        <v>213</v>
      </c>
    </row>
    <row r="11" spans="1:20" x14ac:dyDescent="0.2">
      <c r="A11" t="s">
        <v>27</v>
      </c>
      <c r="C11" t="s">
        <v>21</v>
      </c>
      <c r="F11" s="2" t="s">
        <v>213</v>
      </c>
      <c r="G11" t="s">
        <v>19</v>
      </c>
      <c r="H11" t="s">
        <v>93</v>
      </c>
      <c r="J11" s="3" t="s">
        <v>0</v>
      </c>
      <c r="K11" s="3" t="s">
        <v>147</v>
      </c>
      <c r="L11" s="3" t="str">
        <f t="shared" si="0"/>
        <v>BEBIDASEnergizantes</v>
      </c>
      <c r="M11" s="3" t="s">
        <v>147</v>
      </c>
      <c r="N11" s="111"/>
      <c r="O11" s="11"/>
      <c r="R11" t="s">
        <v>38</v>
      </c>
      <c r="S11" t="s">
        <v>109</v>
      </c>
      <c r="T11" t="s">
        <v>172</v>
      </c>
    </row>
    <row r="12" spans="1:20" x14ac:dyDescent="0.2">
      <c r="C12" t="s">
        <v>147</v>
      </c>
      <c r="F12" s="2" t="s">
        <v>172</v>
      </c>
      <c r="G12" t="s">
        <v>20</v>
      </c>
      <c r="H12" t="s">
        <v>96</v>
      </c>
      <c r="J12" s="3" t="s">
        <v>0</v>
      </c>
      <c r="K12" s="3" t="s">
        <v>19</v>
      </c>
      <c r="L12" s="3" t="str">
        <f t="shared" si="0"/>
        <v>BEBIDASGrappas Cañas y Amargas</v>
      </c>
      <c r="M12" s="3" t="s">
        <v>19</v>
      </c>
      <c r="N12" s="111"/>
      <c r="O12" s="11"/>
      <c r="R12" t="s">
        <v>39</v>
      </c>
      <c r="S12" t="s">
        <v>60</v>
      </c>
      <c r="T12" t="s">
        <v>173</v>
      </c>
    </row>
    <row r="13" spans="1:20" x14ac:dyDescent="0.2">
      <c r="C13" t="s">
        <v>19</v>
      </c>
      <c r="F13" s="2" t="s">
        <v>173</v>
      </c>
      <c r="G13" t="s">
        <v>21</v>
      </c>
      <c r="H13" t="s">
        <v>93</v>
      </c>
      <c r="J13" s="3" t="s">
        <v>0</v>
      </c>
      <c r="K13" s="3" t="s">
        <v>6</v>
      </c>
      <c r="L13" s="3" t="str">
        <f t="shared" si="0"/>
        <v>BEBIDASMaltas</v>
      </c>
      <c r="M13" s="3" t="s">
        <v>6</v>
      </c>
      <c r="N13" s="111"/>
      <c r="O13" s="11"/>
      <c r="R13" t="s">
        <v>39</v>
      </c>
      <c r="S13" t="s">
        <v>60</v>
      </c>
      <c r="T13" t="s">
        <v>174</v>
      </c>
    </row>
    <row r="14" spans="1:20" x14ac:dyDescent="0.2">
      <c r="C14" t="s">
        <v>6</v>
      </c>
      <c r="F14" s="2" t="s">
        <v>174</v>
      </c>
      <c r="G14" t="s">
        <v>14</v>
      </c>
      <c r="H14" t="s">
        <v>97</v>
      </c>
      <c r="J14" s="3" t="s">
        <v>0</v>
      </c>
      <c r="K14" s="3" t="s">
        <v>18</v>
      </c>
      <c r="L14" s="3" t="str">
        <f t="shared" si="0"/>
        <v>BEBIDASVermouth</v>
      </c>
      <c r="M14" s="3" t="s">
        <v>18</v>
      </c>
      <c r="N14" s="111"/>
      <c r="O14" s="11"/>
      <c r="R14" t="s">
        <v>40</v>
      </c>
      <c r="S14" t="s">
        <v>61</v>
      </c>
      <c r="T14" t="s">
        <v>175</v>
      </c>
    </row>
    <row r="15" spans="1:20" x14ac:dyDescent="0.2">
      <c r="C15" t="s">
        <v>18</v>
      </c>
      <c r="F15" s="2" t="s">
        <v>175</v>
      </c>
      <c r="G15" t="s">
        <v>156</v>
      </c>
      <c r="H15" t="s">
        <v>94</v>
      </c>
      <c r="J15" s="3" t="s">
        <v>0</v>
      </c>
      <c r="K15" s="3" t="s">
        <v>15</v>
      </c>
      <c r="L15" s="3" t="str">
        <f t="shared" si="0"/>
        <v>BEBIDASWhisky</v>
      </c>
      <c r="M15" s="3" t="s">
        <v>15</v>
      </c>
      <c r="N15" s="111"/>
      <c r="O15" s="11"/>
      <c r="R15" t="s">
        <v>40</v>
      </c>
      <c r="S15" t="s">
        <v>61</v>
      </c>
      <c r="T15" t="s">
        <v>176</v>
      </c>
    </row>
    <row r="16" spans="1:20" x14ac:dyDescent="0.2">
      <c r="C16" t="s">
        <v>15</v>
      </c>
      <c r="F16" s="2" t="s">
        <v>176</v>
      </c>
      <c r="G16" t="s">
        <v>147</v>
      </c>
      <c r="H16" t="s">
        <v>92</v>
      </c>
      <c r="J16" s="3" t="s">
        <v>0</v>
      </c>
      <c r="K16" s="3" t="s">
        <v>101</v>
      </c>
      <c r="L16" s="3" t="str">
        <f t="shared" si="0"/>
        <v>BEBIDASLubricantes</v>
      </c>
      <c r="M16" s="3"/>
      <c r="N16" s="111"/>
      <c r="O16" s="11"/>
      <c r="R16" t="s">
        <v>41</v>
      </c>
      <c r="S16" t="s">
        <v>62</v>
      </c>
      <c r="T16" t="s">
        <v>177</v>
      </c>
    </row>
    <row r="17" spans="1:20" x14ac:dyDescent="0.2">
      <c r="F17" s="2" t="s">
        <v>177</v>
      </c>
      <c r="G17" t="s">
        <v>101</v>
      </c>
      <c r="H17" t="s">
        <v>98</v>
      </c>
      <c r="J17" s="3" t="s">
        <v>0</v>
      </c>
      <c r="K17" s="3" t="s">
        <v>102</v>
      </c>
      <c r="L17" s="3" t="str">
        <f t="shared" si="0"/>
        <v>BEBIDASGrasas lubricantes</v>
      </c>
      <c r="M17" s="3"/>
      <c r="N17" s="111"/>
      <c r="O17" s="11"/>
      <c r="R17" t="s">
        <v>41</v>
      </c>
      <c r="S17" t="s">
        <v>62</v>
      </c>
      <c r="T17" t="s">
        <v>178</v>
      </c>
    </row>
    <row r="18" spans="1:20" ht="13.15" customHeight="1" x14ac:dyDescent="0.2">
      <c r="A18" s="4" t="s">
        <v>2</v>
      </c>
      <c r="B18" s="4" t="s">
        <v>22</v>
      </c>
      <c r="C18" s="104"/>
      <c r="D18" s="104"/>
      <c r="E18" s="104"/>
      <c r="F18" s="2" t="s">
        <v>178</v>
      </c>
      <c r="G18" t="s">
        <v>102</v>
      </c>
      <c r="H18" t="s">
        <v>98</v>
      </c>
      <c r="J18" s="3" t="s">
        <v>0</v>
      </c>
      <c r="K18" s="3" t="s">
        <v>77</v>
      </c>
      <c r="L18" s="3" t="str">
        <f t="shared" si="0"/>
        <v>BEBIDASCigarrillos</v>
      </c>
      <c r="M18" s="3"/>
      <c r="N18" s="111"/>
      <c r="O18" s="11"/>
      <c r="R18" t="s">
        <v>42</v>
      </c>
      <c r="S18" t="s">
        <v>63</v>
      </c>
      <c r="T18" t="s">
        <v>179</v>
      </c>
    </row>
    <row r="19" spans="1:20" x14ac:dyDescent="0.2">
      <c r="A19" s="7" t="s">
        <v>0</v>
      </c>
      <c r="B19" s="8" t="s">
        <v>23</v>
      </c>
      <c r="F19" s="2" t="s">
        <v>179</v>
      </c>
      <c r="G19" t="s">
        <v>77</v>
      </c>
      <c r="H19" t="s">
        <v>99</v>
      </c>
      <c r="J19" s="3" t="s">
        <v>0</v>
      </c>
      <c r="K19" t="s">
        <v>143</v>
      </c>
      <c r="L19" s="3" t="str">
        <f t="shared" si="0"/>
        <v>BEBIDASCigarrillos free shop</v>
      </c>
      <c r="M19" s="3"/>
      <c r="N19" s="111"/>
      <c r="O19" s="11"/>
      <c r="R19" t="s">
        <v>42</v>
      </c>
      <c r="S19" t="s">
        <v>63</v>
      </c>
      <c r="T19" t="s">
        <v>180</v>
      </c>
    </row>
    <row r="20" spans="1:20" x14ac:dyDescent="0.2">
      <c r="A20" s="7" t="s">
        <v>11</v>
      </c>
      <c r="B20" s="9" t="s">
        <v>24</v>
      </c>
      <c r="F20" s="2" t="s">
        <v>180</v>
      </c>
      <c r="G20" t="s">
        <v>143</v>
      </c>
      <c r="H20" t="s">
        <v>99</v>
      </c>
      <c r="J20" s="3" t="s">
        <v>0</v>
      </c>
      <c r="K20" s="3" t="s">
        <v>76</v>
      </c>
      <c r="L20" s="3" t="str">
        <f t="shared" si="0"/>
        <v>BEBIDASTabacos</v>
      </c>
      <c r="M20" s="3"/>
      <c r="N20" s="111"/>
      <c r="O20" s="11"/>
      <c r="R20" t="s">
        <v>43</v>
      </c>
      <c r="S20" t="s">
        <v>65</v>
      </c>
      <c r="T20" t="s">
        <v>64</v>
      </c>
    </row>
    <row r="21" spans="1:20" x14ac:dyDescent="0.2">
      <c r="A21" s="8" t="s">
        <v>79</v>
      </c>
      <c r="B21" s="9" t="s">
        <v>28</v>
      </c>
      <c r="F21" s="2" t="s">
        <v>181</v>
      </c>
      <c r="G21" t="s">
        <v>76</v>
      </c>
      <c r="H21" t="s">
        <v>99</v>
      </c>
      <c r="J21" s="3" t="s">
        <v>0</v>
      </c>
      <c r="K21" s="3" t="s">
        <v>165</v>
      </c>
      <c r="L21" s="3" t="str">
        <f t="shared" si="0"/>
        <v>BEBIDASCamiones y tracto camiones no eléctricos (Cat. A1)</v>
      </c>
      <c r="M21" s="3"/>
      <c r="N21" s="111"/>
      <c r="O21" s="11"/>
      <c r="R21" t="s">
        <v>44</v>
      </c>
      <c r="S21" t="s">
        <v>66</v>
      </c>
      <c r="T21" t="s">
        <v>45</v>
      </c>
    </row>
    <row r="22" spans="1:20" x14ac:dyDescent="0.2">
      <c r="A22" s="7" t="s">
        <v>1</v>
      </c>
      <c r="B22" s="8" t="s">
        <v>25</v>
      </c>
      <c r="F22" s="2" t="s">
        <v>214</v>
      </c>
      <c r="G22" s="103" t="s">
        <v>165</v>
      </c>
      <c r="H22" t="s">
        <v>100</v>
      </c>
      <c r="J22" s="3" t="s">
        <v>0</v>
      </c>
      <c r="K22" s="3" t="s">
        <v>166</v>
      </c>
      <c r="L22" s="3" t="str">
        <f t="shared" si="0"/>
        <v>BEBIDASCamiones y tracto camiones eléctricos (Cat. A1-E)</v>
      </c>
      <c r="M22" s="3"/>
      <c r="N22" s="111"/>
      <c r="O22" s="11"/>
      <c r="R22" t="s">
        <v>46</v>
      </c>
      <c r="S22" t="s">
        <v>202</v>
      </c>
      <c r="T22" t="s">
        <v>183</v>
      </c>
    </row>
    <row r="23" spans="1:20" ht="12.6" customHeight="1" x14ac:dyDescent="0.2">
      <c r="A23" s="7" t="s">
        <v>105</v>
      </c>
      <c r="B23" s="9" t="s">
        <v>106</v>
      </c>
      <c r="F23" s="2" t="s">
        <v>66</v>
      </c>
      <c r="G23" s="103" t="s">
        <v>166</v>
      </c>
      <c r="H23" t="s">
        <v>100</v>
      </c>
      <c r="J23" s="3" t="s">
        <v>0</v>
      </c>
      <c r="K23" s="3" t="s">
        <v>167</v>
      </c>
      <c r="L23" s="3" t="str">
        <f t="shared" ref="L23:L40" si="1">+CONCATENATE(J23,K23)</f>
        <v>BEBIDASVehiculos de transporte de carga y pasajeros no eléctricos no comprendidos en A1 y A6 (Cat. A2)</v>
      </c>
      <c r="M23" s="3"/>
      <c r="N23" s="111"/>
      <c r="O23" s="11"/>
      <c r="R23" t="s">
        <v>46</v>
      </c>
      <c r="S23" t="s">
        <v>202</v>
      </c>
      <c r="T23" t="s">
        <v>185</v>
      </c>
    </row>
    <row r="24" spans="1:20" x14ac:dyDescent="0.2">
      <c r="A24" s="7" t="s">
        <v>31</v>
      </c>
      <c r="B24" s="7" t="s">
        <v>30</v>
      </c>
      <c r="F24" s="2" t="s">
        <v>183</v>
      </c>
      <c r="G24" s="103" t="s">
        <v>167</v>
      </c>
      <c r="H24" t="s">
        <v>100</v>
      </c>
      <c r="J24" s="3" t="s">
        <v>0</v>
      </c>
      <c r="K24" s="3" t="s">
        <v>168</v>
      </c>
      <c r="L24" s="3" t="str">
        <f t="shared" si="1"/>
        <v>BEBIDASVehiculos de transporte de carga y pasajeros eléctricos no comprendidos en A1 y A6 (Cat. A2-E)</v>
      </c>
      <c r="M24" s="3"/>
      <c r="N24" s="111"/>
      <c r="O24" s="11"/>
      <c r="R24" t="s">
        <v>47</v>
      </c>
      <c r="S24" t="s">
        <v>67</v>
      </c>
      <c r="T24" t="s">
        <v>184</v>
      </c>
    </row>
    <row r="25" spans="1:20" x14ac:dyDescent="0.2">
      <c r="A25" s="6"/>
      <c r="B25" s="6"/>
      <c r="F25" s="2" t="s">
        <v>185</v>
      </c>
      <c r="G25" s="103" t="s">
        <v>168</v>
      </c>
      <c r="H25" t="s">
        <v>100</v>
      </c>
      <c r="J25" s="3" t="s">
        <v>0</v>
      </c>
      <c r="K25" s="3" t="s">
        <v>169</v>
      </c>
      <c r="L25" s="3" t="str">
        <f t="shared" si="1"/>
        <v>BEBIDASVehiculos de transporte de carga y pasajeros con motor hasta 1.600 cc no eléctricos (Cat. A3)</v>
      </c>
      <c r="M25" s="3"/>
      <c r="N25" s="111"/>
      <c r="O25" s="11"/>
      <c r="R25" t="s">
        <v>47</v>
      </c>
      <c r="S25" t="s">
        <v>67</v>
      </c>
      <c r="T25" t="s">
        <v>182</v>
      </c>
    </row>
    <row r="26" spans="1:20" x14ac:dyDescent="0.2">
      <c r="F26" s="2" t="s">
        <v>208</v>
      </c>
      <c r="G26" s="103" t="s">
        <v>169</v>
      </c>
      <c r="H26" t="s">
        <v>100</v>
      </c>
      <c r="J26" s="3" t="s">
        <v>0</v>
      </c>
      <c r="K26" s="3" t="s">
        <v>170</v>
      </c>
      <c r="L26" s="3" t="str">
        <f t="shared" si="1"/>
        <v>BEBIDASVehiculos de transporte de carga y pasajeros con motor hasta 1.600 cc eléctricos (Cat. A3-E)</v>
      </c>
      <c r="M26" s="3"/>
      <c r="N26" s="111"/>
      <c r="O26" s="11"/>
      <c r="R26" t="s">
        <v>48</v>
      </c>
      <c r="S26" t="s">
        <v>68</v>
      </c>
      <c r="T26" t="s">
        <v>186</v>
      </c>
    </row>
    <row r="27" spans="1:20" x14ac:dyDescent="0.2">
      <c r="F27" s="2" t="s">
        <v>184</v>
      </c>
      <c r="G27" s="103" t="s">
        <v>170</v>
      </c>
      <c r="H27" t="s">
        <v>100</v>
      </c>
      <c r="J27" s="3" t="s">
        <v>0</v>
      </c>
      <c r="K27" s="3" t="s">
        <v>212</v>
      </c>
      <c r="L27" s="3" t="str">
        <f t="shared" si="1"/>
        <v>BEBIDASVehiculos de transporte de carga y pasajeros con motor hasta 1.600 cc híbridos (Cat. A3-H)</v>
      </c>
      <c r="M27" s="3"/>
      <c r="N27" s="111"/>
      <c r="O27" s="11"/>
      <c r="R27" t="s">
        <v>48</v>
      </c>
      <c r="S27" t="s">
        <v>68</v>
      </c>
      <c r="T27" t="s">
        <v>187</v>
      </c>
    </row>
    <row r="28" spans="1:20" x14ac:dyDescent="0.2">
      <c r="F28" s="2" t="s">
        <v>182</v>
      </c>
      <c r="G28" s="103" t="s">
        <v>212</v>
      </c>
      <c r="H28" t="s">
        <v>100</v>
      </c>
      <c r="J28" s="3" t="s">
        <v>0</v>
      </c>
      <c r="K28" s="3" t="s">
        <v>171</v>
      </c>
      <c r="L28" s="3" t="str">
        <f t="shared" si="1"/>
        <v>BEBIDASVehiculos de transporte de carga y pasajeros con motor de más de 1.600 cc y hasta 3.500 cc no eléctricos (Cat. A4)</v>
      </c>
      <c r="M28" s="3"/>
      <c r="N28" s="111"/>
      <c r="O28" s="11"/>
      <c r="R28" t="s">
        <v>49</v>
      </c>
      <c r="S28" t="s">
        <v>69</v>
      </c>
      <c r="T28" t="s">
        <v>188</v>
      </c>
    </row>
    <row r="29" spans="1:20" x14ac:dyDescent="0.2">
      <c r="F29" s="2" t="s">
        <v>186</v>
      </c>
      <c r="G29" s="103" t="s">
        <v>171</v>
      </c>
      <c r="H29" t="s">
        <v>100</v>
      </c>
      <c r="J29" s="3" t="s">
        <v>0</v>
      </c>
      <c r="K29" s="3" t="s">
        <v>213</v>
      </c>
      <c r="L29" s="3" t="str">
        <f t="shared" si="1"/>
        <v>BEBIDASVehiculos de transporte de carga y pasajeros con motor de más de 1.600 cc y hasta 3.500 cc híbridos (Cat. A4-H)</v>
      </c>
      <c r="M29" s="3"/>
      <c r="N29" s="111"/>
      <c r="O29" s="11"/>
      <c r="R29" t="s">
        <v>49</v>
      </c>
      <c r="S29" t="s">
        <v>69</v>
      </c>
      <c r="T29" t="s">
        <v>189</v>
      </c>
    </row>
    <row r="30" spans="1:20" x14ac:dyDescent="0.2">
      <c r="F30" s="2" t="s">
        <v>187</v>
      </c>
      <c r="G30" s="103" t="s">
        <v>213</v>
      </c>
      <c r="H30" t="s">
        <v>100</v>
      </c>
      <c r="J30" s="3" t="s">
        <v>0</v>
      </c>
      <c r="K30" s="3" t="s">
        <v>172</v>
      </c>
      <c r="L30" s="3" t="str">
        <f t="shared" si="1"/>
        <v>BEBIDASVehiculos de transporte de carga y pasajeros con motor de más de 3.500 cc no eléctricos (Cat. A5)</v>
      </c>
      <c r="M30" s="3"/>
      <c r="N30" s="111"/>
      <c r="O30" s="11"/>
      <c r="R30" t="s">
        <v>50</v>
      </c>
      <c r="S30" t="s">
        <v>70</v>
      </c>
      <c r="T30" t="s">
        <v>192</v>
      </c>
    </row>
    <row r="31" spans="1:20" x14ac:dyDescent="0.2">
      <c r="F31" s="2" t="s">
        <v>188</v>
      </c>
      <c r="G31" s="103" t="s">
        <v>172</v>
      </c>
      <c r="H31" t="s">
        <v>100</v>
      </c>
      <c r="J31" s="3" t="s">
        <v>0</v>
      </c>
      <c r="K31" s="3" t="s">
        <v>173</v>
      </c>
      <c r="L31" s="3" t="str">
        <f t="shared" si="1"/>
        <v>BEBIDASTriciclos motorizados con tara mayor a 250 kg no eléctricos (Cat. A6)</v>
      </c>
      <c r="M31" s="3"/>
      <c r="N31" s="111"/>
      <c r="O31" s="11"/>
      <c r="R31" t="s">
        <v>50</v>
      </c>
      <c r="S31" t="s">
        <v>70</v>
      </c>
      <c r="T31" t="s">
        <v>193</v>
      </c>
    </row>
    <row r="32" spans="1:20" x14ac:dyDescent="0.2">
      <c r="F32" s="2" t="s">
        <v>189</v>
      </c>
      <c r="G32" s="103" t="s">
        <v>173</v>
      </c>
      <c r="H32" t="s">
        <v>100</v>
      </c>
      <c r="J32" s="3" t="s">
        <v>0</v>
      </c>
      <c r="K32" s="3" t="s">
        <v>174</v>
      </c>
      <c r="L32" s="3" t="str">
        <f t="shared" si="1"/>
        <v>BEBIDASTriciclos motorizados con tara mayor a 250 kg eléctricos (Cat. A6-E)</v>
      </c>
      <c r="M32" s="3"/>
      <c r="N32" s="111"/>
      <c r="O32" s="11"/>
      <c r="R32" t="s">
        <v>51</v>
      </c>
      <c r="S32" t="s">
        <v>203</v>
      </c>
      <c r="T32" t="s">
        <v>194</v>
      </c>
    </row>
    <row r="33" spans="6:20" x14ac:dyDescent="0.2">
      <c r="F33" s="2" t="s">
        <v>192</v>
      </c>
      <c r="G33" s="103" t="s">
        <v>174</v>
      </c>
      <c r="H33" t="s">
        <v>100</v>
      </c>
      <c r="J33" s="3" t="s">
        <v>0</v>
      </c>
      <c r="K33" s="3" t="s">
        <v>175</v>
      </c>
      <c r="L33" s="3" t="str">
        <f t="shared" si="1"/>
        <v>BEBIDASFurgones de tara superior a 1.850 kg no eléctricos (Cat. B1)</v>
      </c>
      <c r="M33" s="3"/>
      <c r="N33" s="111"/>
      <c r="O33" s="11"/>
      <c r="R33" t="s">
        <v>51</v>
      </c>
      <c r="S33" t="s">
        <v>203</v>
      </c>
      <c r="T33" t="s">
        <v>195</v>
      </c>
    </row>
    <row r="34" spans="6:20" x14ac:dyDescent="0.2">
      <c r="F34" s="2" t="s">
        <v>193</v>
      </c>
      <c r="G34" s="103" t="s">
        <v>175</v>
      </c>
      <c r="H34" t="s">
        <v>100</v>
      </c>
      <c r="J34" s="3" t="s">
        <v>0</v>
      </c>
      <c r="K34" s="3" t="s">
        <v>176</v>
      </c>
      <c r="L34" s="3" t="str">
        <f t="shared" si="1"/>
        <v>BEBIDASFurgones de tara superior a 1.850 kg eléctricos (Cat. B1-E)</v>
      </c>
      <c r="M34" s="3"/>
      <c r="N34" s="111"/>
      <c r="O34" s="11"/>
      <c r="R34" t="s">
        <v>204</v>
      </c>
      <c r="S34" t="s">
        <v>205</v>
      </c>
      <c r="T34" t="s">
        <v>190</v>
      </c>
    </row>
    <row r="35" spans="6:20" x14ac:dyDescent="0.2">
      <c r="F35" s="2" t="s">
        <v>194</v>
      </c>
      <c r="G35" s="103" t="s">
        <v>176</v>
      </c>
      <c r="H35" t="s">
        <v>100</v>
      </c>
      <c r="J35" s="3" t="s">
        <v>0</v>
      </c>
      <c r="K35" s="3" t="s">
        <v>177</v>
      </c>
      <c r="L35" s="3" t="str">
        <f t="shared" si="1"/>
        <v>BEBIDASFurgones de tara hasta 1.850 kg no eléctricos (Cat. B2)</v>
      </c>
      <c r="M35" s="3"/>
      <c r="N35" s="111"/>
      <c r="O35" s="11"/>
      <c r="R35" t="s">
        <v>204</v>
      </c>
      <c r="S35" t="s">
        <v>206</v>
      </c>
      <c r="T35" t="s">
        <v>191</v>
      </c>
    </row>
    <row r="36" spans="6:20" x14ac:dyDescent="0.2">
      <c r="F36" s="2" t="s">
        <v>195</v>
      </c>
      <c r="G36" s="103" t="s">
        <v>177</v>
      </c>
      <c r="H36" t="s">
        <v>100</v>
      </c>
      <c r="J36" s="3" t="s">
        <v>0</v>
      </c>
      <c r="K36" s="3" t="s">
        <v>178</v>
      </c>
      <c r="L36" s="3" t="str">
        <f t="shared" si="1"/>
        <v>BEBIDASFurgones de tara hasta 1.850 kg eléctricos (Cat. B2-E)</v>
      </c>
      <c r="M36" s="3"/>
      <c r="N36" s="111"/>
      <c r="O36" s="11"/>
      <c r="R36" t="s">
        <v>52</v>
      </c>
      <c r="S36" t="s">
        <v>207</v>
      </c>
      <c r="T36" t="s">
        <v>196</v>
      </c>
    </row>
    <row r="37" spans="6:20" x14ac:dyDescent="0.2">
      <c r="F37" s="2" t="s">
        <v>190</v>
      </c>
      <c r="G37" s="103" t="s">
        <v>178</v>
      </c>
      <c r="H37" t="s">
        <v>100</v>
      </c>
      <c r="J37" s="3" t="s">
        <v>0</v>
      </c>
      <c r="K37" s="3" t="s">
        <v>179</v>
      </c>
      <c r="L37" s="3" t="str">
        <f t="shared" si="1"/>
        <v>BEBIDASÓmnibus y microómnibus no eléctricos (Cat. C)</v>
      </c>
      <c r="M37" s="3"/>
      <c r="N37" s="111"/>
      <c r="O37" s="11"/>
      <c r="R37" t="s">
        <v>53</v>
      </c>
      <c r="S37" t="s">
        <v>71</v>
      </c>
      <c r="T37" t="s">
        <v>197</v>
      </c>
    </row>
    <row r="38" spans="6:20" x14ac:dyDescent="0.2">
      <c r="F38" s="2" t="s">
        <v>191</v>
      </c>
      <c r="G38" s="103" t="s">
        <v>179</v>
      </c>
      <c r="H38" t="s">
        <v>100</v>
      </c>
      <c r="J38" s="3" t="s">
        <v>0</v>
      </c>
      <c r="K38" s="3" t="s">
        <v>180</v>
      </c>
      <c r="L38" s="3" t="str">
        <f t="shared" si="1"/>
        <v>BEBIDASÓmnibus y microómnibus eléctricos (Cat. C-E)</v>
      </c>
      <c r="M38" s="3"/>
      <c r="N38" s="111"/>
      <c r="O38" s="11"/>
      <c r="R38" t="s">
        <v>54</v>
      </c>
      <c r="S38" t="s">
        <v>72</v>
      </c>
      <c r="T38" t="s">
        <v>198</v>
      </c>
    </row>
    <row r="39" spans="6:20" x14ac:dyDescent="0.2">
      <c r="F39" s="2" t="s">
        <v>196</v>
      </c>
      <c r="G39" s="103" t="s">
        <v>180</v>
      </c>
      <c r="H39" t="s">
        <v>100</v>
      </c>
      <c r="J39" s="3" t="s">
        <v>0</v>
      </c>
      <c r="K39" s="3" t="s">
        <v>181</v>
      </c>
      <c r="L39" s="3" t="str">
        <f t="shared" si="1"/>
        <v>BEBIDASMaquinaria industrial, de construcción, vial, agropecuaria no eléctrica (Cat. D)</v>
      </c>
      <c r="M39" s="3"/>
      <c r="N39" s="111"/>
      <c r="O39" s="11"/>
      <c r="R39" t="s">
        <v>55</v>
      </c>
      <c r="S39" t="s">
        <v>73</v>
      </c>
      <c r="T39" t="s">
        <v>199</v>
      </c>
    </row>
    <row r="40" spans="6:20" x14ac:dyDescent="0.2">
      <c r="F40" s="2" t="s">
        <v>197</v>
      </c>
      <c r="G40" s="103" t="s">
        <v>181</v>
      </c>
      <c r="H40" t="s">
        <v>100</v>
      </c>
      <c r="J40" s="3" t="s">
        <v>0</v>
      </c>
      <c r="K40" s="3" t="s">
        <v>214</v>
      </c>
      <c r="L40" s="3" t="str">
        <f t="shared" si="1"/>
        <v>BEBIDASMaquinaria industrial, de construcción, vial, agropecuaria eléctrica (Cat. D-E)</v>
      </c>
      <c r="M40" s="3"/>
      <c r="N40" s="111"/>
      <c r="O40" s="11"/>
      <c r="R40" t="s">
        <v>56</v>
      </c>
      <c r="S40" t="s">
        <v>74</v>
      </c>
      <c r="T40" t="s">
        <v>200</v>
      </c>
    </row>
    <row r="41" spans="6:20" x14ac:dyDescent="0.2">
      <c r="F41" s="2" t="s">
        <v>198</v>
      </c>
      <c r="G41" s="103" t="s">
        <v>214</v>
      </c>
      <c r="H41" t="s">
        <v>100</v>
      </c>
      <c r="J41" s="3" t="s">
        <v>0</v>
      </c>
      <c r="K41" s="3" t="s">
        <v>66</v>
      </c>
      <c r="L41" s="3" t="str">
        <f t="shared" ref="L41:L55" si="2">+CONCATENATE(J41,K41)</f>
        <v>BEBIDASLocomotoras, automotores para vías férreas (Cat. E)</v>
      </c>
      <c r="M41" s="3"/>
      <c r="N41" s="111"/>
      <c r="O41" s="11"/>
      <c r="R41" t="s">
        <v>56</v>
      </c>
      <c r="S41" t="s">
        <v>74</v>
      </c>
      <c r="T41" t="s">
        <v>201</v>
      </c>
    </row>
    <row r="42" spans="6:20" x14ac:dyDescent="0.2">
      <c r="F42" s="2" t="s">
        <v>199</v>
      </c>
      <c r="G42" s="103" t="s">
        <v>66</v>
      </c>
      <c r="H42" t="s">
        <v>100</v>
      </c>
      <c r="J42" s="3" t="s">
        <v>0</v>
      </c>
      <c r="K42" s="3" t="s">
        <v>183</v>
      </c>
      <c r="L42" s="3" t="str">
        <f t="shared" si="2"/>
        <v xml:space="preserve">BEBIDASAutomóviles de pasajeros y sus derivados no eléctricos, no híbridos (Cat. F) </v>
      </c>
      <c r="M42" s="3"/>
      <c r="N42" s="111"/>
      <c r="O42" s="11"/>
    </row>
    <row r="43" spans="6:20" x14ac:dyDescent="0.2">
      <c r="F43" s="2" t="s">
        <v>200</v>
      </c>
      <c r="G43" s="103" t="s">
        <v>183</v>
      </c>
      <c r="H43" t="s">
        <v>100</v>
      </c>
      <c r="J43" s="3" t="s">
        <v>0</v>
      </c>
      <c r="K43" s="3" t="s">
        <v>185</v>
      </c>
      <c r="L43" s="3" t="str">
        <f t="shared" si="2"/>
        <v xml:space="preserve">BEBIDASAutomóviles de pasajeros y sus derivados eléctricos (Cat. F-E) </v>
      </c>
      <c r="M43" s="3"/>
      <c r="N43" s="111"/>
      <c r="R43" s="2"/>
      <c r="S43" s="2"/>
      <c r="T43" s="2"/>
    </row>
    <row r="44" spans="6:20" x14ac:dyDescent="0.2">
      <c r="F44" s="2" t="s">
        <v>201</v>
      </c>
      <c r="G44" s="103" t="s">
        <v>185</v>
      </c>
      <c r="H44" t="s">
        <v>100</v>
      </c>
      <c r="J44" s="3" t="s">
        <v>0</v>
      </c>
      <c r="K44" s="3" t="s">
        <v>208</v>
      </c>
      <c r="L44" s="3" t="str">
        <f t="shared" si="2"/>
        <v xml:space="preserve">BEBIDASAutomóviles de pasajeros y sus derivados híbridos (Cat. F-H) </v>
      </c>
      <c r="M44" s="3"/>
      <c r="N44" s="111"/>
      <c r="R44" s="2"/>
      <c r="S44" s="2"/>
      <c r="T44" s="2"/>
    </row>
    <row r="45" spans="6:20" x14ac:dyDescent="0.2">
      <c r="G45" s="103" t="s">
        <v>208</v>
      </c>
      <c r="H45" t="s">
        <v>100</v>
      </c>
      <c r="J45" s="3" t="s">
        <v>0</v>
      </c>
      <c r="K45" s="3" t="s">
        <v>184</v>
      </c>
      <c r="L45" s="3" t="str">
        <f t="shared" si="2"/>
        <v>BEBIDASAutomóviles con cilindrada de hasta 1.000 cc no híbridos (Cat. F1)</v>
      </c>
      <c r="M45" s="3"/>
      <c r="N45" s="111"/>
      <c r="R45" s="2"/>
      <c r="S45" s="2"/>
      <c r="T45" s="2"/>
    </row>
    <row r="46" spans="6:20" x14ac:dyDescent="0.2">
      <c r="G46" s="103" t="s">
        <v>184</v>
      </c>
      <c r="H46" t="s">
        <v>100</v>
      </c>
      <c r="J46" s="3" t="s">
        <v>0</v>
      </c>
      <c r="K46" s="3" t="s">
        <v>182</v>
      </c>
      <c r="L46" s="3" t="str">
        <f t="shared" si="2"/>
        <v>BEBIDASAutomóviles con cilindrada de hasta 1.000 cc híbridos (Cat. F1-H)</v>
      </c>
      <c r="M46" s="3"/>
      <c r="N46" s="111"/>
    </row>
    <row r="47" spans="6:20" x14ac:dyDescent="0.2">
      <c r="G47" s="103" t="s">
        <v>182</v>
      </c>
      <c r="H47" t="s">
        <v>100</v>
      </c>
      <c r="J47" s="3" t="s">
        <v>0</v>
      </c>
      <c r="K47" s="3" t="s">
        <v>186</v>
      </c>
      <c r="L47" s="3" t="str">
        <f t="shared" si="2"/>
        <v>BEBIDASAutomóviles con cilindrada de más de 1.000 cc y hasta 1.500 cc no híbridos (Cat. F2)</v>
      </c>
      <c r="M47" s="3"/>
      <c r="N47" s="111"/>
    </row>
    <row r="48" spans="6:20" x14ac:dyDescent="0.2">
      <c r="G48" s="103" t="s">
        <v>186</v>
      </c>
      <c r="H48" t="s">
        <v>100</v>
      </c>
      <c r="J48" s="3" t="s">
        <v>0</v>
      </c>
      <c r="K48" s="3" t="s">
        <v>187</v>
      </c>
      <c r="L48" s="3" t="str">
        <f t="shared" si="2"/>
        <v>BEBIDASAutomóviles con cilindrada de más de 1.000 cc y hasta 1.500 cc híbridos (Cat. F2-H)</v>
      </c>
      <c r="M48" s="3"/>
      <c r="N48" s="111"/>
    </row>
    <row r="49" spans="7:14" x14ac:dyDescent="0.2">
      <c r="G49" s="103" t="s">
        <v>187</v>
      </c>
      <c r="H49" t="s">
        <v>100</v>
      </c>
      <c r="J49" s="3" t="s">
        <v>0</v>
      </c>
      <c r="K49" s="3" t="s">
        <v>188</v>
      </c>
      <c r="L49" s="3" t="str">
        <f t="shared" si="2"/>
        <v>BEBIDASAutomóviles con cilindrada de más de 1.500 cc y hasta 2.000 cc no híbridos (Cat. F3)</v>
      </c>
      <c r="M49" s="3"/>
      <c r="N49" s="111"/>
    </row>
    <row r="50" spans="7:14" x14ac:dyDescent="0.2">
      <c r="G50" s="103" t="s">
        <v>188</v>
      </c>
      <c r="H50" t="s">
        <v>100</v>
      </c>
      <c r="J50" s="3" t="s">
        <v>0</v>
      </c>
      <c r="K50" s="3" t="s">
        <v>189</v>
      </c>
      <c r="L50" s="3" t="str">
        <f t="shared" si="2"/>
        <v>BEBIDASAutomóviles con cilindrada de más de 1.500 cc y hasta 2.000 cc híbridos (Cat. F3-H)</v>
      </c>
      <c r="M50" s="3"/>
      <c r="N50" s="111"/>
    </row>
    <row r="51" spans="7:14" x14ac:dyDescent="0.2">
      <c r="G51" s="103" t="s">
        <v>189</v>
      </c>
      <c r="H51" t="s">
        <v>100</v>
      </c>
      <c r="J51" s="3" t="s">
        <v>0</v>
      </c>
      <c r="K51" s="3" t="s">
        <v>192</v>
      </c>
      <c r="L51" s="3" t="str">
        <f t="shared" si="2"/>
        <v>BEBIDASAutomóviles con cilindrada de más de 2.000 cc y hasta 2.500 cc no híbridos (Cat. F4)</v>
      </c>
      <c r="M51" s="3"/>
      <c r="N51" s="111"/>
    </row>
    <row r="52" spans="7:14" x14ac:dyDescent="0.2">
      <c r="G52" s="103" t="s">
        <v>192</v>
      </c>
      <c r="H52" t="s">
        <v>100</v>
      </c>
      <c r="J52" s="3" t="s">
        <v>0</v>
      </c>
      <c r="K52" s="3" t="s">
        <v>193</v>
      </c>
      <c r="L52" s="3" t="str">
        <f t="shared" si="2"/>
        <v>BEBIDASAutomóviles con cilindrada de más de 2.000 cc y hasta 2.500 cc híbridos (Cat. F4-H)</v>
      </c>
      <c r="M52" s="3"/>
      <c r="N52" s="111"/>
    </row>
    <row r="53" spans="7:14" x14ac:dyDescent="0.2">
      <c r="G53" s="103" t="s">
        <v>193</v>
      </c>
      <c r="H53" t="s">
        <v>100</v>
      </c>
      <c r="J53" s="3" t="s">
        <v>0</v>
      </c>
      <c r="K53" s="3" t="s">
        <v>194</v>
      </c>
      <c r="L53" s="3" t="str">
        <f t="shared" si="2"/>
        <v>BEBIDASAutomóviles con cilindrada de más de 2.500 cc y hasta 3.000 cc no híbridos (Cat. F5)</v>
      </c>
      <c r="M53" s="3"/>
      <c r="N53" s="111"/>
    </row>
    <row r="54" spans="7:14" x14ac:dyDescent="0.2">
      <c r="G54" s="103" t="s">
        <v>194</v>
      </c>
      <c r="H54" t="s">
        <v>100</v>
      </c>
      <c r="J54" s="3" t="s">
        <v>0</v>
      </c>
      <c r="K54" s="3" t="s">
        <v>195</v>
      </c>
      <c r="L54" s="3" t="str">
        <f t="shared" si="2"/>
        <v>BEBIDASAutomóviles con cilindrada de más de 2.500 cc y hasta 3.000 cc híbridos (Cat. F5-H)</v>
      </c>
      <c r="M54" s="3"/>
      <c r="N54" s="111"/>
    </row>
    <row r="55" spans="7:14" x14ac:dyDescent="0.2">
      <c r="G55" s="103" t="s">
        <v>195</v>
      </c>
      <c r="H55" t="s">
        <v>100</v>
      </c>
      <c r="J55" s="3" t="s">
        <v>0</v>
      </c>
      <c r="K55" s="3" t="s">
        <v>190</v>
      </c>
      <c r="L55" s="3" t="str">
        <f t="shared" si="2"/>
        <v>BEBIDASAutomóviles con cilindrada de más de 3.000 cc no híbridos (Cat. F6)</v>
      </c>
      <c r="M55" s="3"/>
      <c r="N55" s="111"/>
    </row>
    <row r="56" spans="7:14" x14ac:dyDescent="0.2">
      <c r="G56" s="103" t="s">
        <v>190</v>
      </c>
      <c r="H56" t="s">
        <v>100</v>
      </c>
      <c r="J56" s="3" t="s">
        <v>0</v>
      </c>
      <c r="K56" s="3" t="s">
        <v>191</v>
      </c>
      <c r="L56" s="3" t="str">
        <f t="shared" ref="L56:L88" si="3">+CONCATENATE(J56,K56)</f>
        <v>BEBIDASAutomóviles con cilindrada de más de 3.000 cc híbridos (Cat. F6-H)</v>
      </c>
      <c r="M56" s="3"/>
      <c r="N56" s="111"/>
    </row>
    <row r="57" spans="7:14" x14ac:dyDescent="0.2">
      <c r="G57" s="103" t="s">
        <v>191</v>
      </c>
      <c r="H57" t="s">
        <v>100</v>
      </c>
      <c r="J57" s="3" t="s">
        <v>0</v>
      </c>
      <c r="K57" s="3" t="s">
        <v>196</v>
      </c>
      <c r="L57" s="3" t="str">
        <f t="shared" si="3"/>
        <v>BEBIDASMotocicletas y similares eléctricos (Cat. G-E)</v>
      </c>
      <c r="M57" s="3"/>
      <c r="N57" s="111"/>
    </row>
    <row r="58" spans="7:14" x14ac:dyDescent="0.2">
      <c r="G58" s="103" t="s">
        <v>196</v>
      </c>
      <c r="H58" t="s">
        <v>100</v>
      </c>
      <c r="J58" s="3" t="s">
        <v>0</v>
      </c>
      <c r="K58" s="3" t="s">
        <v>197</v>
      </c>
      <c r="L58" s="3" t="str">
        <f t="shared" si="3"/>
        <v>BEBIDASMotocicletas y similares con cilindarada de hasta 125 cc no híbridos (Cat. G1)</v>
      </c>
      <c r="M58" s="3"/>
      <c r="N58" s="111"/>
    </row>
    <row r="59" spans="7:14" x14ac:dyDescent="0.2">
      <c r="G59" s="103" t="s">
        <v>197</v>
      </c>
      <c r="H59" t="s">
        <v>100</v>
      </c>
      <c r="J59" s="3" t="s">
        <v>0</v>
      </c>
      <c r="K59" s="3" t="s">
        <v>198</v>
      </c>
      <c r="L59" s="3" t="str">
        <f t="shared" si="3"/>
        <v>BEBIDASMotocicletas y similares con cilindarada de más de 125 cc no híbridos (Cat. G2)</v>
      </c>
      <c r="M59" s="3"/>
      <c r="N59" s="111"/>
    </row>
    <row r="60" spans="7:14" x14ac:dyDescent="0.2">
      <c r="G60" s="103" t="s">
        <v>198</v>
      </c>
      <c r="H60" t="s">
        <v>100</v>
      </c>
      <c r="J60" s="3" t="s">
        <v>0</v>
      </c>
      <c r="K60" s="3" t="s">
        <v>199</v>
      </c>
      <c r="L60" s="3" t="str">
        <f t="shared" si="3"/>
        <v>BEBIDASSillas para discapacitados eléctricas (Cat. H-E)</v>
      </c>
      <c r="M60" s="3"/>
      <c r="N60" s="111"/>
    </row>
    <row r="61" spans="7:14" x14ac:dyDescent="0.2">
      <c r="G61" s="103" t="s">
        <v>199</v>
      </c>
      <c r="H61" t="s">
        <v>100</v>
      </c>
      <c r="J61" s="3" t="s">
        <v>0</v>
      </c>
      <c r="K61" s="3" t="s">
        <v>200</v>
      </c>
      <c r="L61" s="3" t="str">
        <f t="shared" si="3"/>
        <v>BEBIDASRestantes automotores no eléctricos, no híbridos (Cat. I)</v>
      </c>
      <c r="M61" s="3"/>
      <c r="N61" s="111"/>
    </row>
    <row r="62" spans="7:14" x14ac:dyDescent="0.2">
      <c r="G62" s="103" t="s">
        <v>200</v>
      </c>
      <c r="H62" t="s">
        <v>100</v>
      </c>
      <c r="J62" s="3" t="s">
        <v>0</v>
      </c>
      <c r="K62" s="3" t="s">
        <v>201</v>
      </c>
      <c r="L62" s="3" t="str">
        <f t="shared" si="3"/>
        <v>BEBIDASRestantes automotores eléctricos (Cat. I-E)</v>
      </c>
      <c r="M62" s="3"/>
      <c r="N62" s="111"/>
    </row>
    <row r="63" spans="7:14" x14ac:dyDescent="0.2">
      <c r="G63" s="103" t="s">
        <v>201</v>
      </c>
      <c r="H63" t="s">
        <v>100</v>
      </c>
      <c r="J63" s="3" t="s">
        <v>11</v>
      </c>
      <c r="K63" s="3" t="s">
        <v>5</v>
      </c>
      <c r="L63" s="3" t="str">
        <f t="shared" si="3"/>
        <v>LUBRICANTES Y GRASAS LUBRICANTESAgua Mineral y sodas</v>
      </c>
      <c r="M63" s="3"/>
      <c r="N63" s="111"/>
    </row>
    <row r="64" spans="7:14" x14ac:dyDescent="0.2">
      <c r="J64" s="3" t="s">
        <v>11</v>
      </c>
      <c r="K64" s="3" t="s">
        <v>14</v>
      </c>
      <c r="L64" s="3" t="str">
        <f t="shared" si="3"/>
        <v>LUBRICANTES Y GRASAS LUBRICANTESAmargos y aperitivos sin alcohol</v>
      </c>
      <c r="M64" s="3"/>
      <c r="N64" s="111"/>
    </row>
    <row r="65" spans="10:14" x14ac:dyDescent="0.2">
      <c r="J65" s="3" t="s">
        <v>11</v>
      </c>
      <c r="K65" s="3" t="s">
        <v>4</v>
      </c>
      <c r="L65" s="3" t="str">
        <f t="shared" si="3"/>
        <v>LUBRICANTES Y GRASAS LUBRICANTESBebidas Base Jugos</v>
      </c>
      <c r="M65" s="3"/>
      <c r="N65" s="111"/>
    </row>
    <row r="66" spans="10:14" x14ac:dyDescent="0.2">
      <c r="J66" s="3" t="s">
        <v>11</v>
      </c>
      <c r="K66" s="3" t="s">
        <v>7</v>
      </c>
      <c r="L66" s="3" t="str">
        <f t="shared" si="3"/>
        <v>LUBRICANTES Y GRASAS LUBRICANTESBebidas Cola y otros refrescos</v>
      </c>
      <c r="M66" s="3"/>
      <c r="N66" s="111"/>
    </row>
    <row r="67" spans="10:14" x14ac:dyDescent="0.2">
      <c r="J67" s="3" t="s">
        <v>11</v>
      </c>
      <c r="K67" s="3" t="s">
        <v>16</v>
      </c>
      <c r="L67" s="3" t="str">
        <f t="shared" si="3"/>
        <v>LUBRICANTES Y GRASAS LUBRICANTESCerveza</v>
      </c>
      <c r="M67" s="3"/>
      <c r="N67" s="111"/>
    </row>
    <row r="68" spans="10:14" x14ac:dyDescent="0.2">
      <c r="J68" s="3" t="s">
        <v>11</v>
      </c>
      <c r="K68" s="3" t="s">
        <v>17</v>
      </c>
      <c r="L68" s="3" t="str">
        <f t="shared" si="3"/>
        <v>LUBRICANTES Y GRASAS LUBRICANTESChampagne</v>
      </c>
      <c r="M68" s="3"/>
      <c r="N68" s="111"/>
    </row>
    <row r="69" spans="10:14" x14ac:dyDescent="0.2">
      <c r="J69" s="3" t="s">
        <v>11</v>
      </c>
      <c r="K69" s="3" t="s">
        <v>20</v>
      </c>
      <c r="L69" s="3" t="str">
        <f t="shared" si="3"/>
        <v>LUBRICANTES Y GRASAS LUBRICANTESDemás Bienes Num. 1</v>
      </c>
      <c r="M69" s="3"/>
      <c r="N69" s="111"/>
    </row>
    <row r="70" spans="10:14" x14ac:dyDescent="0.2">
      <c r="J70" s="3" t="s">
        <v>11</v>
      </c>
      <c r="K70" s="3" t="s">
        <v>21</v>
      </c>
      <c r="L70" s="3" t="str">
        <f t="shared" si="3"/>
        <v>LUBRICANTES Y GRASAS LUBRICANTESDemás Bienes Num. 4</v>
      </c>
      <c r="M70" s="3"/>
      <c r="N70" s="111"/>
    </row>
    <row r="71" spans="10:14" x14ac:dyDescent="0.2">
      <c r="J71" s="3" t="s">
        <v>11</v>
      </c>
      <c r="K71" s="3" t="s">
        <v>19</v>
      </c>
      <c r="L71" s="3" t="str">
        <f t="shared" si="3"/>
        <v>LUBRICANTES Y GRASAS LUBRICANTESGrappas Cañas y Amargas</v>
      </c>
      <c r="M71" s="3"/>
      <c r="N71" s="111"/>
    </row>
    <row r="72" spans="10:14" x14ac:dyDescent="0.2">
      <c r="J72" s="3" t="s">
        <v>11</v>
      </c>
      <c r="K72" s="3" t="s">
        <v>6</v>
      </c>
      <c r="L72" s="3" t="str">
        <f t="shared" si="3"/>
        <v>LUBRICANTES Y GRASAS LUBRICANTESMaltas</v>
      </c>
      <c r="M72" s="3"/>
      <c r="N72" s="111"/>
    </row>
    <row r="73" spans="10:14" x14ac:dyDescent="0.2">
      <c r="J73" s="3" t="s">
        <v>11</v>
      </c>
      <c r="K73" s="3" t="s">
        <v>18</v>
      </c>
      <c r="L73" s="3" t="str">
        <f t="shared" si="3"/>
        <v>LUBRICANTES Y GRASAS LUBRICANTESVermouth</v>
      </c>
      <c r="M73" s="3"/>
      <c r="N73" s="111"/>
    </row>
    <row r="74" spans="10:14" x14ac:dyDescent="0.2">
      <c r="J74" s="3" t="s">
        <v>11</v>
      </c>
      <c r="K74" s="3" t="s">
        <v>15</v>
      </c>
      <c r="L74" s="3" t="str">
        <f t="shared" si="3"/>
        <v>LUBRICANTES Y GRASAS LUBRICANTESWhisky</v>
      </c>
      <c r="M74" s="3"/>
      <c r="N74" s="111"/>
    </row>
    <row r="75" spans="10:14" x14ac:dyDescent="0.2">
      <c r="J75" s="3" t="s">
        <v>11</v>
      </c>
      <c r="K75" s="3" t="s">
        <v>101</v>
      </c>
      <c r="L75" s="3" t="str">
        <f t="shared" si="3"/>
        <v>LUBRICANTES Y GRASAS LUBRICANTESLubricantes</v>
      </c>
      <c r="M75" s="3" t="s">
        <v>101</v>
      </c>
      <c r="N75" s="111"/>
    </row>
    <row r="76" spans="10:14" x14ac:dyDescent="0.2">
      <c r="J76" s="3" t="s">
        <v>11</v>
      </c>
      <c r="K76" s="3" t="s">
        <v>102</v>
      </c>
      <c r="L76" s="3" t="str">
        <f t="shared" si="3"/>
        <v>LUBRICANTES Y GRASAS LUBRICANTESGrasas lubricantes</v>
      </c>
      <c r="M76" s="3" t="s">
        <v>102</v>
      </c>
      <c r="N76" s="111"/>
    </row>
    <row r="77" spans="10:14" x14ac:dyDescent="0.2">
      <c r="J77" s="3" t="s">
        <v>11</v>
      </c>
      <c r="K77" s="3" t="s">
        <v>77</v>
      </c>
      <c r="L77" s="3" t="str">
        <f t="shared" si="3"/>
        <v>LUBRICANTES Y GRASAS LUBRICANTESCigarrillos</v>
      </c>
      <c r="M77" s="3"/>
      <c r="N77" s="111"/>
    </row>
    <row r="78" spans="10:14" x14ac:dyDescent="0.2">
      <c r="J78" s="3" t="s">
        <v>11</v>
      </c>
      <c r="K78" t="s">
        <v>143</v>
      </c>
      <c r="L78" s="3" t="str">
        <f t="shared" si="3"/>
        <v>LUBRICANTES Y GRASAS LUBRICANTESCigarrillos free shop</v>
      </c>
      <c r="M78" s="3"/>
      <c r="N78" s="111"/>
    </row>
    <row r="79" spans="10:14" x14ac:dyDescent="0.2">
      <c r="J79" s="3" t="s">
        <v>11</v>
      </c>
      <c r="K79" s="3" t="s">
        <v>76</v>
      </c>
      <c r="L79" s="3" t="str">
        <f t="shared" si="3"/>
        <v>LUBRICANTES Y GRASAS LUBRICANTESTabacos</v>
      </c>
      <c r="M79" s="3"/>
      <c r="N79" s="111"/>
    </row>
    <row r="80" spans="10:14" x14ac:dyDescent="0.2">
      <c r="J80" s="3" t="s">
        <v>11</v>
      </c>
      <c r="K80" s="3" t="s">
        <v>165</v>
      </c>
      <c r="L80" s="3" t="str">
        <f t="shared" si="3"/>
        <v>LUBRICANTES Y GRASAS LUBRICANTESCamiones y tracto camiones no eléctricos (Cat. A1)</v>
      </c>
      <c r="M80" s="3"/>
      <c r="N80" s="111"/>
    </row>
    <row r="81" spans="10:14" x14ac:dyDescent="0.2">
      <c r="J81" s="3" t="s">
        <v>11</v>
      </c>
      <c r="K81" s="3" t="s">
        <v>166</v>
      </c>
      <c r="L81" s="3" t="str">
        <f t="shared" si="3"/>
        <v>LUBRICANTES Y GRASAS LUBRICANTESCamiones y tracto camiones eléctricos (Cat. A1-E)</v>
      </c>
      <c r="M81" s="3"/>
      <c r="N81" s="111"/>
    </row>
    <row r="82" spans="10:14" x14ac:dyDescent="0.2">
      <c r="J82" s="3" t="s">
        <v>11</v>
      </c>
      <c r="K82" s="3" t="s">
        <v>167</v>
      </c>
      <c r="L82" s="3" t="str">
        <f t="shared" si="3"/>
        <v>LUBRICANTES Y GRASAS LUBRICANTESVehiculos de transporte de carga y pasajeros no eléctricos no comprendidos en A1 y A6 (Cat. A2)</v>
      </c>
      <c r="M82" s="3"/>
      <c r="N82" s="111"/>
    </row>
    <row r="83" spans="10:14" x14ac:dyDescent="0.2">
      <c r="J83" s="3" t="s">
        <v>11</v>
      </c>
      <c r="K83" s="3" t="s">
        <v>168</v>
      </c>
      <c r="L83" s="3" t="str">
        <f t="shared" si="3"/>
        <v>LUBRICANTES Y GRASAS LUBRICANTESVehiculos de transporte de carga y pasajeros eléctricos no comprendidos en A1 y A6 (Cat. A2-E)</v>
      </c>
      <c r="M83" s="3"/>
      <c r="N83" s="111"/>
    </row>
    <row r="84" spans="10:14" x14ac:dyDescent="0.2">
      <c r="J84" s="3" t="s">
        <v>11</v>
      </c>
      <c r="K84" s="3" t="s">
        <v>169</v>
      </c>
      <c r="L84" s="3" t="str">
        <f t="shared" si="3"/>
        <v>LUBRICANTES Y GRASAS LUBRICANTESVehiculos de transporte de carga y pasajeros con motor hasta 1.600 cc no eléctricos (Cat. A3)</v>
      </c>
      <c r="M84" s="3"/>
      <c r="N84" s="111"/>
    </row>
    <row r="85" spans="10:14" x14ac:dyDescent="0.2">
      <c r="J85" s="3" t="s">
        <v>11</v>
      </c>
      <c r="K85" s="3" t="s">
        <v>170</v>
      </c>
      <c r="L85" s="3" t="str">
        <f t="shared" si="3"/>
        <v>LUBRICANTES Y GRASAS LUBRICANTESVehiculos de transporte de carga y pasajeros con motor hasta 1.600 cc eléctricos (Cat. A3-E)</v>
      </c>
      <c r="M85" s="3"/>
      <c r="N85" s="111"/>
    </row>
    <row r="86" spans="10:14" x14ac:dyDescent="0.2">
      <c r="J86" s="3" t="s">
        <v>11</v>
      </c>
      <c r="K86" s="3" t="s">
        <v>212</v>
      </c>
      <c r="L86" s="3" t="str">
        <f t="shared" si="3"/>
        <v>LUBRICANTES Y GRASAS LUBRICANTESVehiculos de transporte de carga y pasajeros con motor hasta 1.600 cc híbridos (Cat. A3-H)</v>
      </c>
      <c r="M86" s="3"/>
      <c r="N86" s="111"/>
    </row>
    <row r="87" spans="10:14" x14ac:dyDescent="0.2">
      <c r="J87" s="3" t="s">
        <v>11</v>
      </c>
      <c r="K87" s="3" t="s">
        <v>171</v>
      </c>
      <c r="L87" s="3" t="str">
        <f t="shared" si="3"/>
        <v>LUBRICANTES Y GRASAS LUBRICANTESVehiculos de transporte de carga y pasajeros con motor de más de 1.600 cc y hasta 3.500 cc no eléctricos (Cat. A4)</v>
      </c>
      <c r="M87" s="3"/>
      <c r="N87" s="111"/>
    </row>
    <row r="88" spans="10:14" x14ac:dyDescent="0.2">
      <c r="J88" s="3" t="s">
        <v>11</v>
      </c>
      <c r="K88" s="3" t="s">
        <v>213</v>
      </c>
      <c r="L88" s="3" t="str">
        <f t="shared" si="3"/>
        <v>LUBRICANTES Y GRASAS LUBRICANTESVehiculos de transporte de carga y pasajeros con motor de más de 1.600 cc y hasta 3.500 cc híbridos (Cat. A4-H)</v>
      </c>
      <c r="M88" s="3"/>
      <c r="N88" s="111"/>
    </row>
    <row r="89" spans="10:14" x14ac:dyDescent="0.2">
      <c r="J89" s="3" t="s">
        <v>11</v>
      </c>
      <c r="K89" s="3" t="s">
        <v>172</v>
      </c>
      <c r="L89" s="3" t="str">
        <f t="shared" ref="L89:L153" si="4">+CONCATENATE(J89,K89)</f>
        <v>LUBRICANTES Y GRASAS LUBRICANTESVehiculos de transporte de carga y pasajeros con motor de más de 3.500 cc no eléctricos (Cat. A5)</v>
      </c>
      <c r="M89" s="3"/>
      <c r="N89" s="111"/>
    </row>
    <row r="90" spans="10:14" x14ac:dyDescent="0.2">
      <c r="J90" s="3" t="s">
        <v>11</v>
      </c>
      <c r="K90" s="3" t="s">
        <v>173</v>
      </c>
      <c r="L90" s="3" t="str">
        <f t="shared" si="4"/>
        <v>LUBRICANTES Y GRASAS LUBRICANTESTriciclos motorizados con tara mayor a 250 kg no eléctricos (Cat. A6)</v>
      </c>
      <c r="M90" s="3"/>
      <c r="N90" s="111"/>
    </row>
    <row r="91" spans="10:14" x14ac:dyDescent="0.2">
      <c r="J91" s="3" t="s">
        <v>11</v>
      </c>
      <c r="K91" s="3" t="s">
        <v>174</v>
      </c>
      <c r="L91" s="3" t="str">
        <f t="shared" si="4"/>
        <v>LUBRICANTES Y GRASAS LUBRICANTESTriciclos motorizados con tara mayor a 250 kg eléctricos (Cat. A6-E)</v>
      </c>
      <c r="M91" s="3"/>
      <c r="N91" s="111"/>
    </row>
    <row r="92" spans="10:14" x14ac:dyDescent="0.2">
      <c r="J92" s="3" t="s">
        <v>11</v>
      </c>
      <c r="K92" s="3" t="s">
        <v>175</v>
      </c>
      <c r="L92" s="3" t="str">
        <f t="shared" si="4"/>
        <v>LUBRICANTES Y GRASAS LUBRICANTESFurgones de tara superior a 1.850 kg no eléctricos (Cat. B1)</v>
      </c>
      <c r="M92" s="3"/>
      <c r="N92" s="111"/>
    </row>
    <row r="93" spans="10:14" x14ac:dyDescent="0.2">
      <c r="J93" s="3" t="s">
        <v>11</v>
      </c>
      <c r="K93" s="3" t="s">
        <v>176</v>
      </c>
      <c r="L93" s="3" t="str">
        <f t="shared" si="4"/>
        <v>LUBRICANTES Y GRASAS LUBRICANTESFurgones de tara superior a 1.850 kg eléctricos (Cat. B1-E)</v>
      </c>
      <c r="M93" s="3"/>
      <c r="N93" s="111"/>
    </row>
    <row r="94" spans="10:14" x14ac:dyDescent="0.2">
      <c r="J94" s="3" t="s">
        <v>11</v>
      </c>
      <c r="K94" s="3" t="s">
        <v>177</v>
      </c>
      <c r="L94" s="3" t="str">
        <f t="shared" si="4"/>
        <v>LUBRICANTES Y GRASAS LUBRICANTESFurgones de tara hasta 1.850 kg no eléctricos (Cat. B2)</v>
      </c>
      <c r="M94" s="3"/>
      <c r="N94" s="111"/>
    </row>
    <row r="95" spans="10:14" x14ac:dyDescent="0.2">
      <c r="J95" s="3" t="s">
        <v>11</v>
      </c>
      <c r="K95" s="3" t="s">
        <v>178</v>
      </c>
      <c r="L95" s="3" t="str">
        <f t="shared" si="4"/>
        <v>LUBRICANTES Y GRASAS LUBRICANTESFurgones de tara hasta 1.850 kg eléctricos (Cat. B2-E)</v>
      </c>
      <c r="M95" s="3"/>
      <c r="N95" s="111"/>
    </row>
    <row r="96" spans="10:14" x14ac:dyDescent="0.2">
      <c r="J96" s="3" t="s">
        <v>11</v>
      </c>
      <c r="K96" s="3" t="s">
        <v>179</v>
      </c>
      <c r="L96" s="3" t="str">
        <f t="shared" si="4"/>
        <v>LUBRICANTES Y GRASAS LUBRICANTESÓmnibus y microómnibus no eléctricos (Cat. C)</v>
      </c>
      <c r="M96" s="3"/>
      <c r="N96" s="111"/>
    </row>
    <row r="97" spans="10:14" x14ac:dyDescent="0.2">
      <c r="J97" s="3" t="s">
        <v>11</v>
      </c>
      <c r="K97" s="3" t="s">
        <v>180</v>
      </c>
      <c r="L97" s="3" t="str">
        <f t="shared" si="4"/>
        <v>LUBRICANTES Y GRASAS LUBRICANTESÓmnibus y microómnibus eléctricos (Cat. C-E)</v>
      </c>
      <c r="M97" s="3"/>
      <c r="N97" s="111"/>
    </row>
    <row r="98" spans="10:14" x14ac:dyDescent="0.2">
      <c r="J98" s="3" t="s">
        <v>11</v>
      </c>
      <c r="K98" s="3" t="s">
        <v>181</v>
      </c>
      <c r="L98" s="3" t="str">
        <f t="shared" si="4"/>
        <v>LUBRICANTES Y GRASAS LUBRICANTESMaquinaria industrial, de construcción, vial, agropecuaria no eléctrica (Cat. D)</v>
      </c>
      <c r="M98" s="3"/>
      <c r="N98" s="111"/>
    </row>
    <row r="99" spans="10:14" x14ac:dyDescent="0.2">
      <c r="J99" s="3" t="s">
        <v>11</v>
      </c>
      <c r="K99" s="3" t="s">
        <v>214</v>
      </c>
      <c r="L99" s="3" t="str">
        <f t="shared" si="4"/>
        <v>LUBRICANTES Y GRASAS LUBRICANTESMaquinaria industrial, de construcción, vial, agropecuaria eléctrica (Cat. D-E)</v>
      </c>
      <c r="M99" s="3"/>
      <c r="N99" s="111"/>
    </row>
    <row r="100" spans="10:14" x14ac:dyDescent="0.2">
      <c r="J100" s="3" t="s">
        <v>11</v>
      </c>
      <c r="K100" s="3" t="s">
        <v>66</v>
      </c>
      <c r="L100" s="3" t="str">
        <f t="shared" si="4"/>
        <v>LUBRICANTES Y GRASAS LUBRICANTESLocomotoras, automotores para vías férreas (Cat. E)</v>
      </c>
      <c r="M100" s="3"/>
      <c r="N100" s="111"/>
    </row>
    <row r="101" spans="10:14" x14ac:dyDescent="0.2">
      <c r="J101" s="3" t="s">
        <v>11</v>
      </c>
      <c r="K101" s="3" t="s">
        <v>183</v>
      </c>
      <c r="L101" s="3" t="str">
        <f t="shared" si="4"/>
        <v xml:space="preserve">LUBRICANTES Y GRASAS LUBRICANTESAutomóviles de pasajeros y sus derivados no eléctricos, no híbridos (Cat. F) </v>
      </c>
      <c r="M101" s="3"/>
      <c r="N101" s="111"/>
    </row>
    <row r="102" spans="10:14" x14ac:dyDescent="0.2">
      <c r="J102" s="3" t="s">
        <v>11</v>
      </c>
      <c r="K102" s="3" t="s">
        <v>185</v>
      </c>
      <c r="L102" s="3" t="str">
        <f t="shared" si="4"/>
        <v xml:space="preserve">LUBRICANTES Y GRASAS LUBRICANTESAutomóviles de pasajeros y sus derivados eléctricos (Cat. F-E) </v>
      </c>
      <c r="M102" s="3"/>
      <c r="N102" s="111"/>
    </row>
    <row r="103" spans="10:14" x14ac:dyDescent="0.2">
      <c r="J103" s="3" t="s">
        <v>11</v>
      </c>
      <c r="K103" s="3" t="s">
        <v>208</v>
      </c>
      <c r="L103" s="3" t="str">
        <f t="shared" si="4"/>
        <v xml:space="preserve">LUBRICANTES Y GRASAS LUBRICANTESAutomóviles de pasajeros y sus derivados híbridos (Cat. F-H) </v>
      </c>
      <c r="M103" s="3"/>
      <c r="N103" s="111"/>
    </row>
    <row r="104" spans="10:14" x14ac:dyDescent="0.2">
      <c r="J104" s="3" t="s">
        <v>11</v>
      </c>
      <c r="K104" s="3" t="s">
        <v>184</v>
      </c>
      <c r="L104" s="3" t="str">
        <f t="shared" si="4"/>
        <v>LUBRICANTES Y GRASAS LUBRICANTESAutomóviles con cilindrada de hasta 1.000 cc no híbridos (Cat. F1)</v>
      </c>
      <c r="M104" s="3"/>
      <c r="N104" s="111"/>
    </row>
    <row r="105" spans="10:14" x14ac:dyDescent="0.2">
      <c r="J105" s="3" t="s">
        <v>11</v>
      </c>
      <c r="K105" s="3" t="s">
        <v>182</v>
      </c>
      <c r="L105" s="3" t="str">
        <f t="shared" si="4"/>
        <v>LUBRICANTES Y GRASAS LUBRICANTESAutomóviles con cilindrada de hasta 1.000 cc híbridos (Cat. F1-H)</v>
      </c>
      <c r="M105" s="3"/>
      <c r="N105" s="111"/>
    </row>
    <row r="106" spans="10:14" x14ac:dyDescent="0.2">
      <c r="J106" s="3" t="s">
        <v>11</v>
      </c>
      <c r="K106" s="3" t="s">
        <v>186</v>
      </c>
      <c r="L106" s="3" t="str">
        <f t="shared" si="4"/>
        <v>LUBRICANTES Y GRASAS LUBRICANTESAutomóviles con cilindrada de más de 1.000 cc y hasta 1.500 cc no híbridos (Cat. F2)</v>
      </c>
      <c r="M106" s="3"/>
      <c r="N106" s="111"/>
    </row>
    <row r="107" spans="10:14" x14ac:dyDescent="0.2">
      <c r="J107" s="3" t="s">
        <v>11</v>
      </c>
      <c r="K107" s="3" t="s">
        <v>187</v>
      </c>
      <c r="L107" s="3" t="str">
        <f t="shared" si="4"/>
        <v>LUBRICANTES Y GRASAS LUBRICANTESAutomóviles con cilindrada de más de 1.000 cc y hasta 1.500 cc híbridos (Cat. F2-H)</v>
      </c>
      <c r="M107" s="3"/>
      <c r="N107" s="111"/>
    </row>
    <row r="108" spans="10:14" x14ac:dyDescent="0.2">
      <c r="J108" s="3" t="s">
        <v>11</v>
      </c>
      <c r="K108" s="3" t="s">
        <v>188</v>
      </c>
      <c r="L108" s="3" t="str">
        <f t="shared" si="4"/>
        <v>LUBRICANTES Y GRASAS LUBRICANTESAutomóviles con cilindrada de más de 1.500 cc y hasta 2.000 cc no híbridos (Cat. F3)</v>
      </c>
      <c r="M108" s="3"/>
      <c r="N108" s="111"/>
    </row>
    <row r="109" spans="10:14" x14ac:dyDescent="0.2">
      <c r="J109" s="3" t="s">
        <v>11</v>
      </c>
      <c r="K109" s="3" t="s">
        <v>189</v>
      </c>
      <c r="L109" s="3" t="str">
        <f t="shared" si="4"/>
        <v>LUBRICANTES Y GRASAS LUBRICANTESAutomóviles con cilindrada de más de 1.500 cc y hasta 2.000 cc híbridos (Cat. F3-H)</v>
      </c>
      <c r="M109" s="3"/>
      <c r="N109" s="111"/>
    </row>
    <row r="110" spans="10:14" x14ac:dyDescent="0.2">
      <c r="J110" s="3" t="s">
        <v>11</v>
      </c>
      <c r="K110" s="3" t="s">
        <v>192</v>
      </c>
      <c r="L110" s="3" t="str">
        <f t="shared" si="4"/>
        <v>LUBRICANTES Y GRASAS LUBRICANTESAutomóviles con cilindrada de más de 2.000 cc y hasta 2.500 cc no híbridos (Cat. F4)</v>
      </c>
      <c r="M110" s="3"/>
      <c r="N110" s="111"/>
    </row>
    <row r="111" spans="10:14" x14ac:dyDescent="0.2">
      <c r="J111" s="3" t="s">
        <v>11</v>
      </c>
      <c r="K111" s="3" t="s">
        <v>193</v>
      </c>
      <c r="L111" s="3" t="str">
        <f t="shared" si="4"/>
        <v>LUBRICANTES Y GRASAS LUBRICANTESAutomóviles con cilindrada de más de 2.000 cc y hasta 2.500 cc híbridos (Cat. F4-H)</v>
      </c>
      <c r="M111" s="3"/>
      <c r="N111" s="111"/>
    </row>
    <row r="112" spans="10:14" x14ac:dyDescent="0.2">
      <c r="J112" s="3" t="s">
        <v>11</v>
      </c>
      <c r="K112" s="3" t="s">
        <v>194</v>
      </c>
      <c r="L112" s="3" t="str">
        <f t="shared" si="4"/>
        <v>LUBRICANTES Y GRASAS LUBRICANTESAutomóviles con cilindrada de más de 2.500 cc y hasta 3.000 cc no híbridos (Cat. F5)</v>
      </c>
      <c r="M112" s="3"/>
      <c r="N112" s="111"/>
    </row>
    <row r="113" spans="10:14" x14ac:dyDescent="0.2">
      <c r="J113" s="3" t="s">
        <v>11</v>
      </c>
      <c r="K113" s="3" t="s">
        <v>195</v>
      </c>
      <c r="L113" s="3" t="str">
        <f t="shared" si="4"/>
        <v>LUBRICANTES Y GRASAS LUBRICANTESAutomóviles con cilindrada de más de 2.500 cc y hasta 3.000 cc híbridos (Cat. F5-H)</v>
      </c>
      <c r="M113" s="3"/>
      <c r="N113" s="111"/>
    </row>
    <row r="114" spans="10:14" x14ac:dyDescent="0.2">
      <c r="J114" s="3" t="s">
        <v>11</v>
      </c>
      <c r="K114" s="3" t="s">
        <v>190</v>
      </c>
      <c r="L114" s="3" t="str">
        <f t="shared" si="4"/>
        <v>LUBRICANTES Y GRASAS LUBRICANTESAutomóviles con cilindrada de más de 3.000 cc no híbridos (Cat. F6)</v>
      </c>
      <c r="M114" s="3"/>
      <c r="N114" s="111"/>
    </row>
    <row r="115" spans="10:14" x14ac:dyDescent="0.2">
      <c r="J115" s="3" t="s">
        <v>11</v>
      </c>
      <c r="K115" s="3" t="s">
        <v>191</v>
      </c>
      <c r="L115" s="3" t="str">
        <f t="shared" si="4"/>
        <v>LUBRICANTES Y GRASAS LUBRICANTESAutomóviles con cilindrada de más de 3.000 cc híbridos (Cat. F6-H)</v>
      </c>
      <c r="M115" s="3"/>
      <c r="N115" s="111"/>
    </row>
    <row r="116" spans="10:14" x14ac:dyDescent="0.2">
      <c r="J116" s="3" t="s">
        <v>11</v>
      </c>
      <c r="K116" s="3" t="s">
        <v>196</v>
      </c>
      <c r="L116" s="3" t="str">
        <f t="shared" si="4"/>
        <v>LUBRICANTES Y GRASAS LUBRICANTESMotocicletas y similares eléctricos (Cat. G-E)</v>
      </c>
      <c r="M116" s="3"/>
      <c r="N116" s="111"/>
    </row>
    <row r="117" spans="10:14" x14ac:dyDescent="0.2">
      <c r="J117" s="3" t="s">
        <v>11</v>
      </c>
      <c r="K117" s="3" t="s">
        <v>197</v>
      </c>
      <c r="L117" s="3" t="str">
        <f t="shared" si="4"/>
        <v>LUBRICANTES Y GRASAS LUBRICANTESMotocicletas y similares con cilindarada de hasta 125 cc no híbridos (Cat. G1)</v>
      </c>
      <c r="M117" s="3"/>
      <c r="N117" s="111"/>
    </row>
    <row r="118" spans="10:14" x14ac:dyDescent="0.2">
      <c r="J118" s="3" t="s">
        <v>11</v>
      </c>
      <c r="K118" s="3" t="s">
        <v>198</v>
      </c>
      <c r="L118" s="3" t="str">
        <f t="shared" si="4"/>
        <v>LUBRICANTES Y GRASAS LUBRICANTESMotocicletas y similares con cilindarada de más de 125 cc no híbridos (Cat. G2)</v>
      </c>
      <c r="M118" s="3"/>
      <c r="N118" s="111"/>
    </row>
    <row r="119" spans="10:14" x14ac:dyDescent="0.2">
      <c r="J119" s="3" t="s">
        <v>11</v>
      </c>
      <c r="K119" s="3" t="s">
        <v>199</v>
      </c>
      <c r="L119" s="3" t="str">
        <f t="shared" si="4"/>
        <v>LUBRICANTES Y GRASAS LUBRICANTESSillas para discapacitados eléctricas (Cat. H-E)</v>
      </c>
      <c r="M119" s="3"/>
      <c r="N119" s="111"/>
    </row>
    <row r="120" spans="10:14" x14ac:dyDescent="0.2">
      <c r="J120" s="3" t="s">
        <v>11</v>
      </c>
      <c r="K120" s="3" t="s">
        <v>200</v>
      </c>
      <c r="L120" s="3" t="str">
        <f t="shared" si="4"/>
        <v>LUBRICANTES Y GRASAS LUBRICANTESRestantes automotores no eléctricos, no híbridos (Cat. I)</v>
      </c>
      <c r="M120" s="3"/>
      <c r="N120" s="111"/>
    </row>
    <row r="121" spans="10:14" x14ac:dyDescent="0.2">
      <c r="J121" s="3" t="s">
        <v>11</v>
      </c>
      <c r="K121" s="3" t="s">
        <v>201</v>
      </c>
      <c r="L121" s="3" t="str">
        <f t="shared" si="4"/>
        <v>LUBRICANTES Y GRASAS LUBRICANTESRestantes automotores eléctricos (Cat. I-E)</v>
      </c>
      <c r="M121" s="3"/>
      <c r="N121" s="111"/>
    </row>
    <row r="122" spans="10:14" x14ac:dyDescent="0.2">
      <c r="J122" s="3" t="s">
        <v>1</v>
      </c>
      <c r="K122" s="3" t="s">
        <v>5</v>
      </c>
      <c r="L122" s="3" t="str">
        <f t="shared" si="4"/>
        <v>TABACOSAgua Mineral y sodas</v>
      </c>
      <c r="M122" s="3"/>
      <c r="N122" s="111"/>
    </row>
    <row r="123" spans="10:14" x14ac:dyDescent="0.2">
      <c r="J123" s="3" t="s">
        <v>1</v>
      </c>
      <c r="K123" s="3" t="s">
        <v>14</v>
      </c>
      <c r="L123" s="3" t="str">
        <f t="shared" si="4"/>
        <v>TABACOSAmargos y aperitivos sin alcohol</v>
      </c>
      <c r="M123" s="3"/>
      <c r="N123" s="111"/>
    </row>
    <row r="124" spans="10:14" x14ac:dyDescent="0.2">
      <c r="J124" s="3" t="s">
        <v>1</v>
      </c>
      <c r="K124" s="3" t="s">
        <v>4</v>
      </c>
      <c r="L124" s="3" t="str">
        <f t="shared" si="4"/>
        <v>TABACOSBebidas Base Jugos</v>
      </c>
      <c r="M124" s="3"/>
      <c r="N124" s="111"/>
    </row>
    <row r="125" spans="10:14" x14ac:dyDescent="0.2">
      <c r="J125" s="3" t="s">
        <v>1</v>
      </c>
      <c r="K125" s="3" t="s">
        <v>7</v>
      </c>
      <c r="L125" s="3" t="str">
        <f t="shared" si="4"/>
        <v>TABACOSBebidas Cola y otros refrescos</v>
      </c>
      <c r="M125" s="3"/>
      <c r="N125" s="111"/>
    </row>
    <row r="126" spans="10:14" x14ac:dyDescent="0.2">
      <c r="J126" s="3" t="s">
        <v>1</v>
      </c>
      <c r="K126" s="3" t="s">
        <v>16</v>
      </c>
      <c r="L126" s="3" t="str">
        <f t="shared" si="4"/>
        <v>TABACOSCerveza</v>
      </c>
      <c r="M126" s="3"/>
      <c r="N126" s="111"/>
    </row>
    <row r="127" spans="10:14" x14ac:dyDescent="0.2">
      <c r="J127" s="3" t="s">
        <v>1</v>
      </c>
      <c r="K127" s="3" t="s">
        <v>17</v>
      </c>
      <c r="L127" s="3" t="str">
        <f t="shared" si="4"/>
        <v>TABACOSChampagne</v>
      </c>
      <c r="M127" s="3"/>
      <c r="N127" s="111"/>
    </row>
    <row r="128" spans="10:14" x14ac:dyDescent="0.2">
      <c r="J128" s="3" t="s">
        <v>1</v>
      </c>
      <c r="K128" s="3" t="s">
        <v>20</v>
      </c>
      <c r="L128" s="3" t="str">
        <f t="shared" si="4"/>
        <v>TABACOSDemás Bienes Num. 1</v>
      </c>
      <c r="M128" s="3"/>
      <c r="N128" s="111"/>
    </row>
    <row r="129" spans="10:14" x14ac:dyDescent="0.2">
      <c r="J129" s="3" t="s">
        <v>1</v>
      </c>
      <c r="K129" s="3" t="s">
        <v>21</v>
      </c>
      <c r="L129" s="3" t="str">
        <f t="shared" si="4"/>
        <v>TABACOSDemás Bienes Num. 4</v>
      </c>
      <c r="M129" s="3"/>
      <c r="N129" s="111"/>
    </row>
    <row r="130" spans="10:14" x14ac:dyDescent="0.2">
      <c r="J130" s="3" t="s">
        <v>1</v>
      </c>
      <c r="K130" s="3" t="s">
        <v>19</v>
      </c>
      <c r="L130" s="3" t="str">
        <f t="shared" si="4"/>
        <v>TABACOSGrappas Cañas y Amargas</v>
      </c>
      <c r="M130" s="3"/>
      <c r="N130" s="111"/>
    </row>
    <row r="131" spans="10:14" x14ac:dyDescent="0.2">
      <c r="J131" s="3" t="s">
        <v>1</v>
      </c>
      <c r="K131" s="3" t="s">
        <v>6</v>
      </c>
      <c r="L131" s="3" t="str">
        <f t="shared" si="4"/>
        <v>TABACOSMaltas</v>
      </c>
      <c r="M131" s="3"/>
      <c r="N131" s="111"/>
    </row>
    <row r="132" spans="10:14" x14ac:dyDescent="0.2">
      <c r="J132" s="3" t="s">
        <v>1</v>
      </c>
      <c r="K132" s="3" t="s">
        <v>18</v>
      </c>
      <c r="L132" s="3" t="str">
        <f t="shared" si="4"/>
        <v>TABACOSVermouth</v>
      </c>
      <c r="M132" s="3"/>
      <c r="N132" s="111"/>
    </row>
    <row r="133" spans="10:14" x14ac:dyDescent="0.2">
      <c r="J133" s="3" t="s">
        <v>1</v>
      </c>
      <c r="K133" s="3" t="s">
        <v>15</v>
      </c>
      <c r="L133" s="3" t="str">
        <f t="shared" si="4"/>
        <v>TABACOSWhisky</v>
      </c>
      <c r="M133" s="3"/>
      <c r="N133" s="111"/>
    </row>
    <row r="134" spans="10:14" x14ac:dyDescent="0.2">
      <c r="J134" s="3" t="s">
        <v>1</v>
      </c>
      <c r="K134" s="3" t="s">
        <v>101</v>
      </c>
      <c r="L134" s="3" t="str">
        <f t="shared" si="4"/>
        <v>TABACOSLubricantes</v>
      </c>
      <c r="M134" s="3"/>
      <c r="N134" s="111"/>
    </row>
    <row r="135" spans="10:14" x14ac:dyDescent="0.2">
      <c r="J135" s="3" t="s">
        <v>1</v>
      </c>
      <c r="K135" s="3" t="s">
        <v>102</v>
      </c>
      <c r="L135" s="3" t="str">
        <f t="shared" si="4"/>
        <v>TABACOSGrasas lubricantes</v>
      </c>
      <c r="M135" s="3"/>
      <c r="N135" s="111"/>
    </row>
    <row r="136" spans="10:14" x14ac:dyDescent="0.2">
      <c r="J136" s="3" t="s">
        <v>1</v>
      </c>
      <c r="K136" s="3" t="s">
        <v>77</v>
      </c>
      <c r="L136" s="3" t="str">
        <f t="shared" si="4"/>
        <v>TABACOSCigarrillos</v>
      </c>
      <c r="M136" s="3" t="s">
        <v>77</v>
      </c>
      <c r="N136" s="111"/>
    </row>
    <row r="137" spans="10:14" x14ac:dyDescent="0.2">
      <c r="J137" s="3" t="s">
        <v>1</v>
      </c>
      <c r="K137" s="3" t="s">
        <v>143</v>
      </c>
      <c r="L137" s="3" t="str">
        <f t="shared" si="4"/>
        <v>TABACOSCigarrillos free shop</v>
      </c>
      <c r="M137" s="3" t="s">
        <v>143</v>
      </c>
      <c r="N137" s="111"/>
    </row>
    <row r="138" spans="10:14" x14ac:dyDescent="0.2">
      <c r="J138" s="3" t="s">
        <v>1</v>
      </c>
      <c r="K138" s="3" t="s">
        <v>76</v>
      </c>
      <c r="L138" s="3" t="str">
        <f t="shared" si="4"/>
        <v>TABACOSTabacos</v>
      </c>
      <c r="M138" s="3" t="s">
        <v>76</v>
      </c>
      <c r="N138" s="111"/>
    </row>
    <row r="139" spans="10:14" x14ac:dyDescent="0.2">
      <c r="J139" s="3" t="s">
        <v>1</v>
      </c>
      <c r="K139" s="3" t="s">
        <v>165</v>
      </c>
      <c r="L139" s="3" t="str">
        <f t="shared" si="4"/>
        <v>TABACOSCamiones y tracto camiones no eléctricos (Cat. A1)</v>
      </c>
      <c r="M139" s="3"/>
      <c r="N139" s="111"/>
    </row>
    <row r="140" spans="10:14" x14ac:dyDescent="0.2">
      <c r="J140" s="3" t="s">
        <v>1</v>
      </c>
      <c r="K140" s="3" t="s">
        <v>166</v>
      </c>
      <c r="L140" s="3" t="str">
        <f t="shared" si="4"/>
        <v>TABACOSCamiones y tracto camiones eléctricos (Cat. A1-E)</v>
      </c>
      <c r="M140" s="3"/>
      <c r="N140" s="111"/>
    </row>
    <row r="141" spans="10:14" x14ac:dyDescent="0.2">
      <c r="J141" s="3" t="s">
        <v>1</v>
      </c>
      <c r="K141" s="3" t="s">
        <v>167</v>
      </c>
      <c r="L141" s="3" t="str">
        <f t="shared" si="4"/>
        <v>TABACOSVehiculos de transporte de carga y pasajeros no eléctricos no comprendidos en A1 y A6 (Cat. A2)</v>
      </c>
      <c r="M141" s="3"/>
      <c r="N141" s="111"/>
    </row>
    <row r="142" spans="10:14" x14ac:dyDescent="0.2">
      <c r="J142" s="3" t="s">
        <v>1</v>
      </c>
      <c r="K142" s="3" t="s">
        <v>168</v>
      </c>
      <c r="L142" s="3" t="str">
        <f t="shared" si="4"/>
        <v>TABACOSVehiculos de transporte de carga y pasajeros eléctricos no comprendidos en A1 y A6 (Cat. A2-E)</v>
      </c>
      <c r="M142" s="3"/>
      <c r="N142" s="111"/>
    </row>
    <row r="143" spans="10:14" x14ac:dyDescent="0.2">
      <c r="J143" s="3" t="s">
        <v>1</v>
      </c>
      <c r="K143" s="3" t="s">
        <v>169</v>
      </c>
      <c r="L143" s="3" t="str">
        <f t="shared" si="4"/>
        <v>TABACOSVehiculos de transporte de carga y pasajeros con motor hasta 1.600 cc no eléctricos (Cat. A3)</v>
      </c>
      <c r="M143" s="3"/>
      <c r="N143" s="111"/>
    </row>
    <row r="144" spans="10:14" x14ac:dyDescent="0.2">
      <c r="J144" s="3" t="s">
        <v>1</v>
      </c>
      <c r="K144" s="3" t="s">
        <v>170</v>
      </c>
      <c r="L144" s="3" t="str">
        <f t="shared" si="4"/>
        <v>TABACOSVehiculos de transporte de carga y pasajeros con motor hasta 1.600 cc eléctricos (Cat. A3-E)</v>
      </c>
      <c r="M144" s="3"/>
      <c r="N144" s="111"/>
    </row>
    <row r="145" spans="10:14" x14ac:dyDescent="0.2">
      <c r="J145" s="3" t="s">
        <v>1</v>
      </c>
      <c r="K145" s="3" t="s">
        <v>212</v>
      </c>
      <c r="L145" s="3" t="str">
        <f t="shared" si="4"/>
        <v>TABACOSVehiculos de transporte de carga y pasajeros con motor hasta 1.600 cc híbridos (Cat. A3-H)</v>
      </c>
      <c r="M145" s="3"/>
      <c r="N145" s="111"/>
    </row>
    <row r="146" spans="10:14" x14ac:dyDescent="0.2">
      <c r="J146" s="3" t="s">
        <v>1</v>
      </c>
      <c r="K146" s="3" t="s">
        <v>171</v>
      </c>
      <c r="L146" s="3" t="str">
        <f t="shared" si="4"/>
        <v>TABACOSVehiculos de transporte de carga y pasajeros con motor de más de 1.600 cc y hasta 3.500 cc no eléctricos (Cat. A4)</v>
      </c>
      <c r="M146" s="3"/>
      <c r="N146" s="111"/>
    </row>
    <row r="147" spans="10:14" x14ac:dyDescent="0.2">
      <c r="J147" s="3" t="s">
        <v>1</v>
      </c>
      <c r="K147" s="3" t="s">
        <v>213</v>
      </c>
      <c r="L147" s="3" t="str">
        <f t="shared" si="4"/>
        <v>TABACOSVehiculos de transporte de carga y pasajeros con motor de más de 1.600 cc y hasta 3.500 cc híbridos (Cat. A4-H)</v>
      </c>
      <c r="M147" s="3"/>
      <c r="N147" s="111"/>
    </row>
    <row r="148" spans="10:14" x14ac:dyDescent="0.2">
      <c r="J148" s="3" t="s">
        <v>1</v>
      </c>
      <c r="K148" s="3" t="s">
        <v>172</v>
      </c>
      <c r="L148" s="3" t="str">
        <f t="shared" si="4"/>
        <v>TABACOSVehiculos de transporte de carga y pasajeros con motor de más de 3.500 cc no eléctricos (Cat. A5)</v>
      </c>
      <c r="M148" s="3"/>
      <c r="N148" s="111"/>
    </row>
    <row r="149" spans="10:14" x14ac:dyDescent="0.2">
      <c r="J149" s="3" t="s">
        <v>1</v>
      </c>
      <c r="K149" s="3" t="s">
        <v>173</v>
      </c>
      <c r="L149" s="3" t="str">
        <f t="shared" si="4"/>
        <v>TABACOSTriciclos motorizados con tara mayor a 250 kg no eléctricos (Cat. A6)</v>
      </c>
      <c r="M149" s="3"/>
      <c r="N149" s="111"/>
    </row>
    <row r="150" spans="10:14" x14ac:dyDescent="0.2">
      <c r="J150" s="3" t="s">
        <v>1</v>
      </c>
      <c r="K150" s="3" t="s">
        <v>174</v>
      </c>
      <c r="L150" s="3" t="str">
        <f t="shared" si="4"/>
        <v>TABACOSTriciclos motorizados con tara mayor a 250 kg eléctricos (Cat. A6-E)</v>
      </c>
      <c r="M150" s="3"/>
      <c r="N150" s="111"/>
    </row>
    <row r="151" spans="10:14" x14ac:dyDescent="0.2">
      <c r="J151" s="3" t="s">
        <v>1</v>
      </c>
      <c r="K151" s="3" t="s">
        <v>175</v>
      </c>
      <c r="L151" s="3" t="str">
        <f t="shared" si="4"/>
        <v>TABACOSFurgones de tara superior a 1.850 kg no eléctricos (Cat. B1)</v>
      </c>
      <c r="M151" s="3"/>
      <c r="N151" s="111"/>
    </row>
    <row r="152" spans="10:14" x14ac:dyDescent="0.2">
      <c r="J152" s="3" t="s">
        <v>1</v>
      </c>
      <c r="K152" s="3" t="s">
        <v>176</v>
      </c>
      <c r="L152" s="3" t="str">
        <f t="shared" si="4"/>
        <v>TABACOSFurgones de tara superior a 1.850 kg eléctricos (Cat. B1-E)</v>
      </c>
      <c r="M152" s="3"/>
      <c r="N152" s="111"/>
    </row>
    <row r="153" spans="10:14" x14ac:dyDescent="0.2">
      <c r="J153" s="3" t="s">
        <v>1</v>
      </c>
      <c r="K153" s="3" t="s">
        <v>177</v>
      </c>
      <c r="L153" s="3" t="str">
        <f t="shared" si="4"/>
        <v>TABACOSFurgones de tara hasta 1.850 kg no eléctricos (Cat. B2)</v>
      </c>
      <c r="M153" s="3"/>
      <c r="N153" s="111"/>
    </row>
    <row r="154" spans="10:14" x14ac:dyDescent="0.2">
      <c r="J154" s="3" t="s">
        <v>1</v>
      </c>
      <c r="K154" s="3" t="s">
        <v>178</v>
      </c>
      <c r="L154" s="3" t="str">
        <f t="shared" ref="L154:L233" si="5">+CONCATENATE(J154,K154)</f>
        <v>TABACOSFurgones de tara hasta 1.850 kg eléctricos (Cat. B2-E)</v>
      </c>
      <c r="M154" s="3"/>
      <c r="N154" s="111"/>
    </row>
    <row r="155" spans="10:14" x14ac:dyDescent="0.2">
      <c r="J155" s="3" t="s">
        <v>1</v>
      </c>
      <c r="K155" s="3" t="s">
        <v>179</v>
      </c>
      <c r="L155" s="3" t="str">
        <f t="shared" si="5"/>
        <v>TABACOSÓmnibus y microómnibus no eléctricos (Cat. C)</v>
      </c>
      <c r="M155" s="3"/>
      <c r="N155" s="111"/>
    </row>
    <row r="156" spans="10:14" x14ac:dyDescent="0.2">
      <c r="J156" s="3" t="s">
        <v>1</v>
      </c>
      <c r="K156" s="3" t="s">
        <v>180</v>
      </c>
      <c r="L156" s="3" t="str">
        <f t="shared" si="5"/>
        <v>TABACOSÓmnibus y microómnibus eléctricos (Cat. C-E)</v>
      </c>
      <c r="M156" s="3"/>
      <c r="N156" s="111"/>
    </row>
    <row r="157" spans="10:14" x14ac:dyDescent="0.2">
      <c r="J157" s="3" t="s">
        <v>1</v>
      </c>
      <c r="K157" s="3" t="s">
        <v>181</v>
      </c>
      <c r="L157" s="3" t="str">
        <f t="shared" si="5"/>
        <v>TABACOSMaquinaria industrial, de construcción, vial, agropecuaria no eléctrica (Cat. D)</v>
      </c>
      <c r="M157" s="3"/>
      <c r="N157" s="111"/>
    </row>
    <row r="158" spans="10:14" x14ac:dyDescent="0.2">
      <c r="J158" s="3" t="s">
        <v>1</v>
      </c>
      <c r="K158" s="3" t="s">
        <v>214</v>
      </c>
      <c r="L158" s="3" t="str">
        <f t="shared" si="5"/>
        <v>TABACOSMaquinaria industrial, de construcción, vial, agropecuaria eléctrica (Cat. D-E)</v>
      </c>
      <c r="M158" s="3"/>
      <c r="N158" s="111"/>
    </row>
    <row r="159" spans="10:14" x14ac:dyDescent="0.2">
      <c r="J159" s="3" t="s">
        <v>1</v>
      </c>
      <c r="K159" s="3" t="s">
        <v>66</v>
      </c>
      <c r="L159" s="3" t="str">
        <f t="shared" si="5"/>
        <v>TABACOSLocomotoras, automotores para vías férreas (Cat. E)</v>
      </c>
      <c r="M159" s="3"/>
      <c r="N159" s="111"/>
    </row>
    <row r="160" spans="10:14" x14ac:dyDescent="0.2">
      <c r="J160" s="3" t="s">
        <v>1</v>
      </c>
      <c r="K160" s="3" t="s">
        <v>183</v>
      </c>
      <c r="L160" s="3" t="str">
        <f t="shared" si="5"/>
        <v xml:space="preserve">TABACOSAutomóviles de pasajeros y sus derivados no eléctricos, no híbridos (Cat. F) </v>
      </c>
      <c r="M160" s="3"/>
      <c r="N160" s="111"/>
    </row>
    <row r="161" spans="10:14" x14ac:dyDescent="0.2">
      <c r="J161" s="3" t="s">
        <v>1</v>
      </c>
      <c r="K161" s="3" t="s">
        <v>185</v>
      </c>
      <c r="L161" s="3" t="str">
        <f t="shared" si="5"/>
        <v xml:space="preserve">TABACOSAutomóviles de pasajeros y sus derivados eléctricos (Cat. F-E) </v>
      </c>
      <c r="M161" s="3"/>
      <c r="N161" s="111"/>
    </row>
    <row r="162" spans="10:14" x14ac:dyDescent="0.2">
      <c r="J162" s="3" t="s">
        <v>1</v>
      </c>
      <c r="K162" s="3" t="s">
        <v>208</v>
      </c>
      <c r="L162" s="3" t="str">
        <f t="shared" si="5"/>
        <v xml:space="preserve">TABACOSAutomóviles de pasajeros y sus derivados híbridos (Cat. F-H) </v>
      </c>
      <c r="M162" s="3"/>
      <c r="N162" s="111"/>
    </row>
    <row r="163" spans="10:14" x14ac:dyDescent="0.2">
      <c r="J163" s="3" t="s">
        <v>1</v>
      </c>
      <c r="K163" s="3" t="s">
        <v>184</v>
      </c>
      <c r="L163" s="3" t="str">
        <f t="shared" si="5"/>
        <v>TABACOSAutomóviles con cilindrada de hasta 1.000 cc no híbridos (Cat. F1)</v>
      </c>
      <c r="M163" s="3"/>
      <c r="N163" s="111"/>
    </row>
    <row r="164" spans="10:14" x14ac:dyDescent="0.2">
      <c r="J164" s="3" t="s">
        <v>1</v>
      </c>
      <c r="K164" s="3" t="s">
        <v>182</v>
      </c>
      <c r="L164" s="3" t="str">
        <f t="shared" si="5"/>
        <v>TABACOSAutomóviles con cilindrada de hasta 1.000 cc híbridos (Cat. F1-H)</v>
      </c>
      <c r="M164" s="3"/>
      <c r="N164" s="111"/>
    </row>
    <row r="165" spans="10:14" x14ac:dyDescent="0.2">
      <c r="J165" s="3" t="s">
        <v>1</v>
      </c>
      <c r="K165" s="3" t="s">
        <v>186</v>
      </c>
      <c r="L165" s="3" t="str">
        <f t="shared" si="5"/>
        <v>TABACOSAutomóviles con cilindrada de más de 1.000 cc y hasta 1.500 cc no híbridos (Cat. F2)</v>
      </c>
      <c r="M165" s="3"/>
      <c r="N165" s="111"/>
    </row>
    <row r="166" spans="10:14" x14ac:dyDescent="0.2">
      <c r="J166" s="3" t="s">
        <v>1</v>
      </c>
      <c r="K166" s="3" t="s">
        <v>187</v>
      </c>
      <c r="L166" s="3" t="str">
        <f t="shared" si="5"/>
        <v>TABACOSAutomóviles con cilindrada de más de 1.000 cc y hasta 1.500 cc híbridos (Cat. F2-H)</v>
      </c>
      <c r="M166" s="3"/>
      <c r="N166" s="111"/>
    </row>
    <row r="167" spans="10:14" x14ac:dyDescent="0.2">
      <c r="J167" s="3" t="s">
        <v>1</v>
      </c>
      <c r="K167" s="3" t="s">
        <v>188</v>
      </c>
      <c r="L167" s="3" t="str">
        <f t="shared" si="5"/>
        <v>TABACOSAutomóviles con cilindrada de más de 1.500 cc y hasta 2.000 cc no híbridos (Cat. F3)</v>
      </c>
      <c r="M167" s="3"/>
      <c r="N167" s="111"/>
    </row>
    <row r="168" spans="10:14" x14ac:dyDescent="0.2">
      <c r="J168" s="3" t="s">
        <v>1</v>
      </c>
      <c r="K168" s="3" t="s">
        <v>189</v>
      </c>
      <c r="L168" s="3" t="str">
        <f t="shared" si="5"/>
        <v>TABACOSAutomóviles con cilindrada de más de 1.500 cc y hasta 2.000 cc híbridos (Cat. F3-H)</v>
      </c>
      <c r="M168" s="3"/>
      <c r="N168" s="111"/>
    </row>
    <row r="169" spans="10:14" x14ac:dyDescent="0.2">
      <c r="J169" s="3" t="s">
        <v>1</v>
      </c>
      <c r="K169" s="3" t="s">
        <v>192</v>
      </c>
      <c r="L169" s="3" t="str">
        <f t="shared" si="5"/>
        <v>TABACOSAutomóviles con cilindrada de más de 2.000 cc y hasta 2.500 cc no híbridos (Cat. F4)</v>
      </c>
      <c r="M169" s="3"/>
      <c r="N169" s="111"/>
    </row>
    <row r="170" spans="10:14" x14ac:dyDescent="0.2">
      <c r="J170" s="3" t="s">
        <v>1</v>
      </c>
      <c r="K170" s="3" t="s">
        <v>193</v>
      </c>
      <c r="L170" s="3" t="str">
        <f t="shared" si="5"/>
        <v>TABACOSAutomóviles con cilindrada de más de 2.000 cc y hasta 2.500 cc híbridos (Cat. F4-H)</v>
      </c>
      <c r="M170" s="3"/>
      <c r="N170" s="111"/>
    </row>
    <row r="171" spans="10:14" x14ac:dyDescent="0.2">
      <c r="J171" s="3" t="s">
        <v>1</v>
      </c>
      <c r="K171" s="3" t="s">
        <v>194</v>
      </c>
      <c r="L171" s="3" t="str">
        <f t="shared" si="5"/>
        <v>TABACOSAutomóviles con cilindrada de más de 2.500 cc y hasta 3.000 cc no híbridos (Cat. F5)</v>
      </c>
      <c r="M171" s="3"/>
      <c r="N171" s="111"/>
    </row>
    <row r="172" spans="10:14" x14ac:dyDescent="0.2">
      <c r="J172" s="3" t="s">
        <v>1</v>
      </c>
      <c r="K172" s="3" t="s">
        <v>195</v>
      </c>
      <c r="L172" s="3" t="str">
        <f t="shared" si="5"/>
        <v>TABACOSAutomóviles con cilindrada de más de 2.500 cc y hasta 3.000 cc híbridos (Cat. F5-H)</v>
      </c>
      <c r="M172" s="3"/>
      <c r="N172" s="111"/>
    </row>
    <row r="173" spans="10:14" x14ac:dyDescent="0.2">
      <c r="J173" s="3" t="s">
        <v>1</v>
      </c>
      <c r="K173" s="3" t="s">
        <v>190</v>
      </c>
      <c r="L173" s="3" t="str">
        <f t="shared" si="5"/>
        <v>TABACOSAutomóviles con cilindrada de más de 3.000 cc no híbridos (Cat. F6)</v>
      </c>
      <c r="M173" s="3"/>
      <c r="N173" s="111"/>
    </row>
    <row r="174" spans="10:14" x14ac:dyDescent="0.2">
      <c r="J174" s="3" t="s">
        <v>1</v>
      </c>
      <c r="K174" s="3" t="s">
        <v>191</v>
      </c>
      <c r="L174" s="3" t="str">
        <f t="shared" si="5"/>
        <v>TABACOSAutomóviles con cilindrada de más de 3.000 cc híbridos (Cat. F6-H)</v>
      </c>
      <c r="M174" s="3"/>
      <c r="N174" s="111"/>
    </row>
    <row r="175" spans="10:14" x14ac:dyDescent="0.2">
      <c r="J175" s="3" t="s">
        <v>1</v>
      </c>
      <c r="K175" s="3" t="s">
        <v>196</v>
      </c>
      <c r="L175" s="3" t="str">
        <f t="shared" si="5"/>
        <v>TABACOSMotocicletas y similares eléctricos (Cat. G-E)</v>
      </c>
      <c r="M175" s="3"/>
      <c r="N175" s="111"/>
    </row>
    <row r="176" spans="10:14" x14ac:dyDescent="0.2">
      <c r="J176" s="3" t="s">
        <v>1</v>
      </c>
      <c r="K176" s="3" t="s">
        <v>197</v>
      </c>
      <c r="L176" s="3" t="str">
        <f t="shared" si="5"/>
        <v>TABACOSMotocicletas y similares con cilindarada de hasta 125 cc no híbridos (Cat. G1)</v>
      </c>
      <c r="M176" s="3"/>
      <c r="N176" s="111"/>
    </row>
    <row r="177" spans="10:14" x14ac:dyDescent="0.2">
      <c r="J177" s="3" t="s">
        <v>1</v>
      </c>
      <c r="K177" s="3" t="s">
        <v>198</v>
      </c>
      <c r="L177" s="3" t="str">
        <f t="shared" si="5"/>
        <v>TABACOSMotocicletas y similares con cilindarada de más de 125 cc no híbridos (Cat. G2)</v>
      </c>
      <c r="M177" s="3"/>
      <c r="N177" s="111"/>
    </row>
    <row r="178" spans="10:14" x14ac:dyDescent="0.2">
      <c r="J178" s="3" t="s">
        <v>1</v>
      </c>
      <c r="K178" s="3" t="s">
        <v>199</v>
      </c>
      <c r="L178" s="3" t="str">
        <f t="shared" si="5"/>
        <v>TABACOSSillas para discapacitados eléctricas (Cat. H-E)</v>
      </c>
      <c r="M178" s="3"/>
      <c r="N178" s="111"/>
    </row>
    <row r="179" spans="10:14" x14ac:dyDescent="0.2">
      <c r="J179" s="3" t="s">
        <v>1</v>
      </c>
      <c r="K179" s="3" t="s">
        <v>200</v>
      </c>
      <c r="L179" s="3" t="str">
        <f t="shared" si="5"/>
        <v>TABACOSRestantes automotores no eléctricos, no híbridos (Cat. I)</v>
      </c>
      <c r="M179" s="3"/>
      <c r="N179" s="111"/>
    </row>
    <row r="180" spans="10:14" x14ac:dyDescent="0.2">
      <c r="J180" s="3" t="s">
        <v>1</v>
      </c>
      <c r="K180" s="3" t="s">
        <v>201</v>
      </c>
      <c r="L180" s="3" t="str">
        <f t="shared" si="5"/>
        <v>TABACOSRestantes automotores eléctricos (Cat. I-E)</v>
      </c>
      <c r="M180" s="3"/>
      <c r="N180" s="111"/>
    </row>
    <row r="181" spans="10:14" x14ac:dyDescent="0.2">
      <c r="J181" s="3" t="s">
        <v>31</v>
      </c>
      <c r="K181" s="3" t="s">
        <v>5</v>
      </c>
      <c r="L181" s="3" t="str">
        <f t="shared" si="5"/>
        <v>VEHÍCULOSAgua Mineral y sodas</v>
      </c>
      <c r="M181" s="3"/>
      <c r="N181" s="111"/>
    </row>
    <row r="182" spans="10:14" x14ac:dyDescent="0.2">
      <c r="J182" s="3" t="s">
        <v>31</v>
      </c>
      <c r="K182" s="3" t="s">
        <v>14</v>
      </c>
      <c r="L182" s="3" t="str">
        <f t="shared" si="5"/>
        <v>VEHÍCULOSAmargos y aperitivos sin alcohol</v>
      </c>
      <c r="M182" s="3"/>
      <c r="N182" s="111"/>
    </row>
    <row r="183" spans="10:14" x14ac:dyDescent="0.2">
      <c r="J183" s="3" t="s">
        <v>31</v>
      </c>
      <c r="K183" s="3" t="s">
        <v>4</v>
      </c>
      <c r="L183" s="3" t="str">
        <f t="shared" si="5"/>
        <v>VEHÍCULOSBebidas Base Jugos</v>
      </c>
      <c r="M183" s="3"/>
      <c r="N183" s="111"/>
    </row>
    <row r="184" spans="10:14" x14ac:dyDescent="0.2">
      <c r="J184" s="3" t="s">
        <v>31</v>
      </c>
      <c r="K184" s="3" t="s">
        <v>7</v>
      </c>
      <c r="L184" s="3" t="str">
        <f t="shared" si="5"/>
        <v>VEHÍCULOSBebidas Cola y otros refrescos</v>
      </c>
      <c r="M184" s="3"/>
      <c r="N184" s="111"/>
    </row>
    <row r="185" spans="10:14" x14ac:dyDescent="0.2">
      <c r="J185" s="3" t="s">
        <v>31</v>
      </c>
      <c r="K185" s="3" t="s">
        <v>16</v>
      </c>
      <c r="L185" s="3" t="str">
        <f t="shared" si="5"/>
        <v>VEHÍCULOSCerveza</v>
      </c>
      <c r="M185" s="3"/>
      <c r="N185" s="111"/>
    </row>
    <row r="186" spans="10:14" x14ac:dyDescent="0.2">
      <c r="J186" s="3" t="s">
        <v>31</v>
      </c>
      <c r="K186" s="3" t="s">
        <v>17</v>
      </c>
      <c r="L186" s="3" t="str">
        <f t="shared" si="5"/>
        <v>VEHÍCULOSChampagne</v>
      </c>
      <c r="M186" s="3"/>
      <c r="N186" s="111"/>
    </row>
    <row r="187" spans="10:14" x14ac:dyDescent="0.2">
      <c r="J187" s="3" t="s">
        <v>31</v>
      </c>
      <c r="K187" s="3" t="s">
        <v>20</v>
      </c>
      <c r="L187" s="3" t="str">
        <f t="shared" si="5"/>
        <v>VEHÍCULOSDemás Bienes Num. 1</v>
      </c>
      <c r="M187" s="3"/>
      <c r="N187" s="111"/>
    </row>
    <row r="188" spans="10:14" x14ac:dyDescent="0.2">
      <c r="J188" s="3" t="s">
        <v>31</v>
      </c>
      <c r="K188" s="3" t="s">
        <v>21</v>
      </c>
      <c r="L188" s="3" t="str">
        <f t="shared" si="5"/>
        <v>VEHÍCULOSDemás Bienes Num. 4</v>
      </c>
      <c r="M188" s="3"/>
      <c r="N188" s="111"/>
    </row>
    <row r="189" spans="10:14" x14ac:dyDescent="0.2">
      <c r="J189" s="3" t="s">
        <v>31</v>
      </c>
      <c r="K189" s="3" t="s">
        <v>19</v>
      </c>
      <c r="L189" s="3" t="str">
        <f t="shared" si="5"/>
        <v>VEHÍCULOSGrappas Cañas y Amargas</v>
      </c>
      <c r="M189" s="3"/>
      <c r="N189" s="111"/>
    </row>
    <row r="190" spans="10:14" x14ac:dyDescent="0.2">
      <c r="J190" s="3" t="s">
        <v>31</v>
      </c>
      <c r="K190" s="3" t="s">
        <v>6</v>
      </c>
      <c r="L190" s="3" t="str">
        <f t="shared" si="5"/>
        <v>VEHÍCULOSMaltas</v>
      </c>
      <c r="M190" s="3"/>
      <c r="N190" s="111"/>
    </row>
    <row r="191" spans="10:14" x14ac:dyDescent="0.2">
      <c r="J191" s="3" t="s">
        <v>31</v>
      </c>
      <c r="K191" s="3" t="s">
        <v>18</v>
      </c>
      <c r="L191" s="3" t="str">
        <f t="shared" si="5"/>
        <v>VEHÍCULOSVermouth</v>
      </c>
      <c r="M191" s="3"/>
      <c r="N191" s="111"/>
    </row>
    <row r="192" spans="10:14" x14ac:dyDescent="0.2">
      <c r="J192" s="3" t="s">
        <v>31</v>
      </c>
      <c r="K192" s="3" t="s">
        <v>15</v>
      </c>
      <c r="L192" s="3" t="str">
        <f t="shared" si="5"/>
        <v>VEHÍCULOSWhisky</v>
      </c>
      <c r="M192" s="3"/>
      <c r="N192" s="111"/>
    </row>
    <row r="193" spans="10:14" x14ac:dyDescent="0.2">
      <c r="J193" s="3" t="s">
        <v>31</v>
      </c>
      <c r="K193" s="3" t="s">
        <v>101</v>
      </c>
      <c r="L193" s="3" t="str">
        <f t="shared" si="5"/>
        <v>VEHÍCULOSLubricantes</v>
      </c>
      <c r="M193" s="3"/>
      <c r="N193" s="111"/>
    </row>
    <row r="194" spans="10:14" x14ac:dyDescent="0.2">
      <c r="J194" s="3" t="s">
        <v>31</v>
      </c>
      <c r="K194" s="3" t="s">
        <v>102</v>
      </c>
      <c r="L194" s="3" t="str">
        <f t="shared" si="5"/>
        <v>VEHÍCULOSGrasas lubricantes</v>
      </c>
      <c r="M194" s="3"/>
      <c r="N194" s="111"/>
    </row>
    <row r="195" spans="10:14" x14ac:dyDescent="0.2">
      <c r="J195" s="3" t="s">
        <v>31</v>
      </c>
      <c r="K195" s="3" t="s">
        <v>77</v>
      </c>
      <c r="L195" s="3" t="str">
        <f t="shared" si="5"/>
        <v>VEHÍCULOSCigarrillos</v>
      </c>
      <c r="M195" s="3"/>
      <c r="N195" s="111"/>
    </row>
    <row r="196" spans="10:14" x14ac:dyDescent="0.2">
      <c r="J196" s="3" t="s">
        <v>31</v>
      </c>
      <c r="K196" s="3" t="s">
        <v>143</v>
      </c>
      <c r="L196" s="3" t="str">
        <f t="shared" si="5"/>
        <v>VEHÍCULOSCigarrillos free shop</v>
      </c>
      <c r="M196" s="3"/>
      <c r="N196" s="111"/>
    </row>
    <row r="197" spans="10:14" x14ac:dyDescent="0.2">
      <c r="J197" s="3" t="s">
        <v>31</v>
      </c>
      <c r="K197" s="3" t="s">
        <v>76</v>
      </c>
      <c r="L197" s="3" t="str">
        <f t="shared" si="5"/>
        <v>VEHÍCULOSTabacos</v>
      </c>
      <c r="M197" s="3"/>
      <c r="N197" s="111"/>
    </row>
    <row r="198" spans="10:14" x14ac:dyDescent="0.2">
      <c r="J198" s="3" t="s">
        <v>31</v>
      </c>
      <c r="K198" s="3" t="s">
        <v>165</v>
      </c>
      <c r="L198" s="3" t="str">
        <f t="shared" si="5"/>
        <v>VEHÍCULOSCamiones y tracto camiones no eléctricos (Cat. A1)</v>
      </c>
      <c r="M198" s="3" t="s">
        <v>165</v>
      </c>
      <c r="N198" s="111"/>
    </row>
    <row r="199" spans="10:14" x14ac:dyDescent="0.2">
      <c r="J199" s="3" t="s">
        <v>31</v>
      </c>
      <c r="K199" s="3" t="s">
        <v>166</v>
      </c>
      <c r="L199" s="3" t="str">
        <f t="shared" si="5"/>
        <v>VEHÍCULOSCamiones y tracto camiones eléctricos (Cat. A1-E)</v>
      </c>
      <c r="M199" s="3" t="s">
        <v>166</v>
      </c>
      <c r="N199" s="111"/>
    </row>
    <row r="200" spans="10:14" x14ac:dyDescent="0.2">
      <c r="J200" s="3" t="s">
        <v>31</v>
      </c>
      <c r="K200" s="3" t="s">
        <v>167</v>
      </c>
      <c r="L200" s="3" t="str">
        <f t="shared" si="5"/>
        <v>VEHÍCULOSVehiculos de transporte de carga y pasajeros no eléctricos no comprendidos en A1 y A6 (Cat. A2)</v>
      </c>
      <c r="M200" s="3" t="s">
        <v>167</v>
      </c>
      <c r="N200" s="111"/>
    </row>
    <row r="201" spans="10:14" x14ac:dyDescent="0.2">
      <c r="J201" s="3" t="s">
        <v>31</v>
      </c>
      <c r="K201" s="3" t="s">
        <v>168</v>
      </c>
      <c r="L201" s="3" t="str">
        <f t="shared" si="5"/>
        <v>VEHÍCULOSVehiculos de transporte de carga y pasajeros eléctricos no comprendidos en A1 y A6 (Cat. A2-E)</v>
      </c>
      <c r="M201" s="3" t="s">
        <v>168</v>
      </c>
      <c r="N201" s="111"/>
    </row>
    <row r="202" spans="10:14" x14ac:dyDescent="0.2">
      <c r="J202" s="3" t="s">
        <v>31</v>
      </c>
      <c r="K202" s="3" t="s">
        <v>169</v>
      </c>
      <c r="L202" s="3" t="str">
        <f t="shared" si="5"/>
        <v>VEHÍCULOSVehiculos de transporte de carga y pasajeros con motor hasta 1.600 cc no eléctricos (Cat. A3)</v>
      </c>
      <c r="M202" s="3" t="s">
        <v>169</v>
      </c>
      <c r="N202" s="111"/>
    </row>
    <row r="203" spans="10:14" x14ac:dyDescent="0.2">
      <c r="J203" s="3" t="s">
        <v>31</v>
      </c>
      <c r="K203" s="3" t="s">
        <v>170</v>
      </c>
      <c r="L203" s="3" t="str">
        <f t="shared" si="5"/>
        <v>VEHÍCULOSVehiculos de transporte de carga y pasajeros con motor hasta 1.600 cc eléctricos (Cat. A3-E)</v>
      </c>
      <c r="M203" s="3" t="s">
        <v>170</v>
      </c>
      <c r="N203" s="111"/>
    </row>
    <row r="204" spans="10:14" x14ac:dyDescent="0.2">
      <c r="J204" s="3" t="s">
        <v>31</v>
      </c>
      <c r="K204" s="3" t="s">
        <v>212</v>
      </c>
      <c r="L204" s="3" t="str">
        <f t="shared" si="5"/>
        <v>VEHÍCULOSVehiculos de transporte de carga y pasajeros con motor hasta 1.600 cc híbridos (Cat. A3-H)</v>
      </c>
      <c r="M204" s="3" t="s">
        <v>212</v>
      </c>
      <c r="N204" s="111"/>
    </row>
    <row r="205" spans="10:14" x14ac:dyDescent="0.2">
      <c r="J205" s="3" t="s">
        <v>31</v>
      </c>
      <c r="K205" s="3" t="s">
        <v>171</v>
      </c>
      <c r="L205" s="3" t="str">
        <f t="shared" si="5"/>
        <v>VEHÍCULOSVehiculos de transporte de carga y pasajeros con motor de más de 1.600 cc y hasta 3.500 cc no eléctricos (Cat. A4)</v>
      </c>
      <c r="M205" s="3" t="s">
        <v>171</v>
      </c>
      <c r="N205" s="111"/>
    </row>
    <row r="206" spans="10:14" x14ac:dyDescent="0.2">
      <c r="J206" s="3" t="s">
        <v>31</v>
      </c>
      <c r="K206" s="3" t="s">
        <v>213</v>
      </c>
      <c r="L206" s="3" t="str">
        <f t="shared" si="5"/>
        <v>VEHÍCULOSVehiculos de transporte de carga y pasajeros con motor de más de 1.600 cc y hasta 3.500 cc híbridos (Cat. A4-H)</v>
      </c>
      <c r="M206" s="3" t="s">
        <v>213</v>
      </c>
      <c r="N206" s="111"/>
    </row>
    <row r="207" spans="10:14" x14ac:dyDescent="0.2">
      <c r="J207" s="3" t="s">
        <v>31</v>
      </c>
      <c r="K207" s="3" t="s">
        <v>172</v>
      </c>
      <c r="L207" s="3" t="str">
        <f t="shared" si="5"/>
        <v>VEHÍCULOSVehiculos de transporte de carga y pasajeros con motor de más de 3.500 cc no eléctricos (Cat. A5)</v>
      </c>
      <c r="M207" s="3" t="s">
        <v>172</v>
      </c>
      <c r="N207" s="111"/>
    </row>
    <row r="208" spans="10:14" x14ac:dyDescent="0.2">
      <c r="J208" s="3" t="s">
        <v>31</v>
      </c>
      <c r="K208" s="3" t="s">
        <v>173</v>
      </c>
      <c r="L208" s="3" t="str">
        <f t="shared" si="5"/>
        <v>VEHÍCULOSTriciclos motorizados con tara mayor a 250 kg no eléctricos (Cat. A6)</v>
      </c>
      <c r="M208" s="3" t="s">
        <v>173</v>
      </c>
      <c r="N208" s="111"/>
    </row>
    <row r="209" spans="10:14" x14ac:dyDescent="0.2">
      <c r="J209" s="3" t="s">
        <v>31</v>
      </c>
      <c r="K209" s="3" t="s">
        <v>174</v>
      </c>
      <c r="L209" s="3" t="str">
        <f t="shared" si="5"/>
        <v>VEHÍCULOSTriciclos motorizados con tara mayor a 250 kg eléctricos (Cat. A6-E)</v>
      </c>
      <c r="M209" s="3" t="s">
        <v>174</v>
      </c>
      <c r="N209" s="111"/>
    </row>
    <row r="210" spans="10:14" x14ac:dyDescent="0.2">
      <c r="J210" s="3" t="s">
        <v>31</v>
      </c>
      <c r="K210" s="3" t="s">
        <v>175</v>
      </c>
      <c r="L210" s="3" t="str">
        <f t="shared" si="5"/>
        <v>VEHÍCULOSFurgones de tara superior a 1.850 kg no eléctricos (Cat. B1)</v>
      </c>
      <c r="M210" s="3" t="s">
        <v>175</v>
      </c>
      <c r="N210" s="111"/>
    </row>
    <row r="211" spans="10:14" x14ac:dyDescent="0.2">
      <c r="J211" s="3" t="s">
        <v>31</v>
      </c>
      <c r="K211" s="3" t="s">
        <v>176</v>
      </c>
      <c r="L211" s="3" t="str">
        <f t="shared" si="5"/>
        <v>VEHÍCULOSFurgones de tara superior a 1.850 kg eléctricos (Cat. B1-E)</v>
      </c>
      <c r="M211" s="3" t="s">
        <v>176</v>
      </c>
      <c r="N211" s="111"/>
    </row>
    <row r="212" spans="10:14" x14ac:dyDescent="0.2">
      <c r="J212" s="3" t="s">
        <v>31</v>
      </c>
      <c r="K212" s="3" t="s">
        <v>177</v>
      </c>
      <c r="L212" s="3" t="str">
        <f t="shared" si="5"/>
        <v>VEHÍCULOSFurgones de tara hasta 1.850 kg no eléctricos (Cat. B2)</v>
      </c>
      <c r="M212" s="3" t="s">
        <v>177</v>
      </c>
      <c r="N212" s="111"/>
    </row>
    <row r="213" spans="10:14" x14ac:dyDescent="0.2">
      <c r="J213" s="3" t="s">
        <v>31</v>
      </c>
      <c r="K213" s="3" t="s">
        <v>178</v>
      </c>
      <c r="L213" s="3" t="str">
        <f t="shared" si="5"/>
        <v>VEHÍCULOSFurgones de tara hasta 1.850 kg eléctricos (Cat. B2-E)</v>
      </c>
      <c r="M213" s="3" t="s">
        <v>178</v>
      </c>
      <c r="N213" s="111"/>
    </row>
    <row r="214" spans="10:14" x14ac:dyDescent="0.2">
      <c r="J214" s="3" t="s">
        <v>31</v>
      </c>
      <c r="K214" s="3" t="s">
        <v>179</v>
      </c>
      <c r="L214" s="3" t="str">
        <f t="shared" si="5"/>
        <v>VEHÍCULOSÓmnibus y microómnibus no eléctricos (Cat. C)</v>
      </c>
      <c r="M214" s="3" t="s">
        <v>179</v>
      </c>
      <c r="N214" s="111"/>
    </row>
    <row r="215" spans="10:14" x14ac:dyDescent="0.2">
      <c r="J215" s="3" t="s">
        <v>31</v>
      </c>
      <c r="K215" s="3" t="s">
        <v>180</v>
      </c>
      <c r="L215" s="3" t="str">
        <f t="shared" si="5"/>
        <v>VEHÍCULOSÓmnibus y microómnibus eléctricos (Cat. C-E)</v>
      </c>
      <c r="M215" s="3" t="s">
        <v>180</v>
      </c>
      <c r="N215" s="111"/>
    </row>
    <row r="216" spans="10:14" x14ac:dyDescent="0.2">
      <c r="J216" s="3" t="s">
        <v>31</v>
      </c>
      <c r="K216" s="3" t="s">
        <v>181</v>
      </c>
      <c r="L216" s="3" t="str">
        <f t="shared" si="5"/>
        <v>VEHÍCULOSMaquinaria industrial, de construcción, vial, agropecuaria no eléctrica (Cat. D)</v>
      </c>
      <c r="M216" s="3" t="s">
        <v>181</v>
      </c>
      <c r="N216" s="111"/>
    </row>
    <row r="217" spans="10:14" x14ac:dyDescent="0.2">
      <c r="J217" s="3" t="s">
        <v>31</v>
      </c>
      <c r="K217" s="3" t="s">
        <v>214</v>
      </c>
      <c r="L217" s="3" t="str">
        <f t="shared" si="5"/>
        <v>VEHÍCULOSMaquinaria industrial, de construcción, vial, agropecuaria eléctrica (Cat. D-E)</v>
      </c>
      <c r="M217" s="3" t="s">
        <v>214</v>
      </c>
      <c r="N217" s="111"/>
    </row>
    <row r="218" spans="10:14" x14ac:dyDescent="0.2">
      <c r="J218" s="3" t="s">
        <v>31</v>
      </c>
      <c r="K218" s="3" t="s">
        <v>66</v>
      </c>
      <c r="L218" s="3" t="str">
        <f t="shared" si="5"/>
        <v>VEHÍCULOSLocomotoras, automotores para vías férreas (Cat. E)</v>
      </c>
      <c r="M218" s="3" t="s">
        <v>66</v>
      </c>
      <c r="N218" s="111"/>
    </row>
    <row r="219" spans="10:14" x14ac:dyDescent="0.2">
      <c r="J219" s="3" t="s">
        <v>31</v>
      </c>
      <c r="K219" s="3" t="s">
        <v>183</v>
      </c>
      <c r="L219" s="3" t="str">
        <f t="shared" si="5"/>
        <v xml:space="preserve">VEHÍCULOSAutomóviles de pasajeros y sus derivados no eléctricos, no híbridos (Cat. F) </v>
      </c>
      <c r="M219" s="3" t="s">
        <v>183</v>
      </c>
      <c r="N219" s="111"/>
    </row>
    <row r="220" spans="10:14" x14ac:dyDescent="0.2">
      <c r="J220" s="3" t="s">
        <v>31</v>
      </c>
      <c r="K220" s="3" t="s">
        <v>185</v>
      </c>
      <c r="L220" s="3" t="str">
        <f t="shared" si="5"/>
        <v xml:space="preserve">VEHÍCULOSAutomóviles de pasajeros y sus derivados eléctricos (Cat. F-E) </v>
      </c>
      <c r="M220" s="3" t="s">
        <v>185</v>
      </c>
      <c r="N220" s="111"/>
    </row>
    <row r="221" spans="10:14" x14ac:dyDescent="0.2">
      <c r="J221" s="3" t="s">
        <v>31</v>
      </c>
      <c r="K221" s="3" t="s">
        <v>208</v>
      </c>
      <c r="L221" s="3" t="str">
        <f t="shared" si="5"/>
        <v xml:space="preserve">VEHÍCULOSAutomóviles de pasajeros y sus derivados híbridos (Cat. F-H) </v>
      </c>
      <c r="M221" s="3" t="s">
        <v>208</v>
      </c>
      <c r="N221" s="111"/>
    </row>
    <row r="222" spans="10:14" x14ac:dyDescent="0.2">
      <c r="J222" s="3" t="s">
        <v>31</v>
      </c>
      <c r="K222" s="3" t="s">
        <v>184</v>
      </c>
      <c r="L222" s="3" t="str">
        <f t="shared" si="5"/>
        <v>VEHÍCULOSAutomóviles con cilindrada de hasta 1.000 cc no híbridos (Cat. F1)</v>
      </c>
      <c r="M222" s="3" t="s">
        <v>184</v>
      </c>
      <c r="N222" s="111"/>
    </row>
    <row r="223" spans="10:14" x14ac:dyDescent="0.2">
      <c r="J223" s="3" t="s">
        <v>31</v>
      </c>
      <c r="K223" s="3" t="s">
        <v>182</v>
      </c>
      <c r="L223" s="3" t="str">
        <f t="shared" si="5"/>
        <v>VEHÍCULOSAutomóviles con cilindrada de hasta 1.000 cc híbridos (Cat. F1-H)</v>
      </c>
      <c r="M223" s="3" t="s">
        <v>182</v>
      </c>
      <c r="N223" s="111"/>
    </row>
    <row r="224" spans="10:14" x14ac:dyDescent="0.2">
      <c r="J224" s="3" t="s">
        <v>31</v>
      </c>
      <c r="K224" s="3" t="s">
        <v>186</v>
      </c>
      <c r="L224" s="3" t="str">
        <f t="shared" si="5"/>
        <v>VEHÍCULOSAutomóviles con cilindrada de más de 1.000 cc y hasta 1.500 cc no híbridos (Cat. F2)</v>
      </c>
      <c r="M224" s="3" t="s">
        <v>186</v>
      </c>
      <c r="N224" s="111"/>
    </row>
    <row r="225" spans="10:14" x14ac:dyDescent="0.2">
      <c r="J225" s="3" t="s">
        <v>31</v>
      </c>
      <c r="K225" s="3" t="s">
        <v>187</v>
      </c>
      <c r="L225" s="3" t="str">
        <f t="shared" si="5"/>
        <v>VEHÍCULOSAutomóviles con cilindrada de más de 1.000 cc y hasta 1.500 cc híbridos (Cat. F2-H)</v>
      </c>
      <c r="M225" s="3" t="s">
        <v>187</v>
      </c>
      <c r="N225" s="111"/>
    </row>
    <row r="226" spans="10:14" x14ac:dyDescent="0.2">
      <c r="J226" s="3" t="s">
        <v>31</v>
      </c>
      <c r="K226" s="3" t="s">
        <v>188</v>
      </c>
      <c r="L226" s="3" t="str">
        <f t="shared" si="5"/>
        <v>VEHÍCULOSAutomóviles con cilindrada de más de 1.500 cc y hasta 2.000 cc no híbridos (Cat. F3)</v>
      </c>
      <c r="M226" s="3" t="s">
        <v>188</v>
      </c>
      <c r="N226" s="111"/>
    </row>
    <row r="227" spans="10:14" x14ac:dyDescent="0.2">
      <c r="J227" s="3" t="s">
        <v>31</v>
      </c>
      <c r="K227" s="3" t="s">
        <v>189</v>
      </c>
      <c r="L227" s="3" t="str">
        <f t="shared" si="5"/>
        <v>VEHÍCULOSAutomóviles con cilindrada de más de 1.500 cc y hasta 2.000 cc híbridos (Cat. F3-H)</v>
      </c>
      <c r="M227" s="3" t="s">
        <v>189</v>
      </c>
      <c r="N227" s="111"/>
    </row>
    <row r="228" spans="10:14" x14ac:dyDescent="0.2">
      <c r="J228" s="3" t="s">
        <v>31</v>
      </c>
      <c r="K228" s="3" t="s">
        <v>192</v>
      </c>
      <c r="L228" s="3" t="str">
        <f t="shared" si="5"/>
        <v>VEHÍCULOSAutomóviles con cilindrada de más de 2.000 cc y hasta 2.500 cc no híbridos (Cat. F4)</v>
      </c>
      <c r="M228" s="3" t="s">
        <v>192</v>
      </c>
      <c r="N228" s="111"/>
    </row>
    <row r="229" spans="10:14" x14ac:dyDescent="0.2">
      <c r="J229" s="3" t="s">
        <v>31</v>
      </c>
      <c r="K229" s="3" t="s">
        <v>193</v>
      </c>
      <c r="L229" s="3" t="str">
        <f t="shared" si="5"/>
        <v>VEHÍCULOSAutomóviles con cilindrada de más de 2.000 cc y hasta 2.500 cc híbridos (Cat. F4-H)</v>
      </c>
      <c r="M229" s="3" t="s">
        <v>193</v>
      </c>
    </row>
    <row r="230" spans="10:14" x14ac:dyDescent="0.2">
      <c r="J230" s="3" t="s">
        <v>31</v>
      </c>
      <c r="K230" s="3" t="s">
        <v>194</v>
      </c>
      <c r="L230" s="3" t="str">
        <f t="shared" si="5"/>
        <v>VEHÍCULOSAutomóviles con cilindrada de más de 2.500 cc y hasta 3.000 cc no híbridos (Cat. F5)</v>
      </c>
      <c r="M230" s="3" t="s">
        <v>194</v>
      </c>
    </row>
    <row r="231" spans="10:14" x14ac:dyDescent="0.2">
      <c r="J231" s="3" t="s">
        <v>31</v>
      </c>
      <c r="K231" s="3" t="s">
        <v>195</v>
      </c>
      <c r="L231" s="3" t="str">
        <f t="shared" si="5"/>
        <v>VEHÍCULOSAutomóviles con cilindrada de más de 2.500 cc y hasta 3.000 cc híbridos (Cat. F5-H)</v>
      </c>
      <c r="M231" s="3" t="s">
        <v>195</v>
      </c>
    </row>
    <row r="232" spans="10:14" x14ac:dyDescent="0.2">
      <c r="J232" s="3" t="s">
        <v>31</v>
      </c>
      <c r="K232" s="3" t="s">
        <v>190</v>
      </c>
      <c r="L232" s="3" t="str">
        <f t="shared" si="5"/>
        <v>VEHÍCULOSAutomóviles con cilindrada de más de 3.000 cc no híbridos (Cat. F6)</v>
      </c>
      <c r="M232" s="3" t="s">
        <v>190</v>
      </c>
    </row>
    <row r="233" spans="10:14" x14ac:dyDescent="0.2">
      <c r="J233" s="3" t="s">
        <v>31</v>
      </c>
      <c r="K233" s="3" t="s">
        <v>191</v>
      </c>
      <c r="L233" s="3" t="str">
        <f t="shared" si="5"/>
        <v>VEHÍCULOSAutomóviles con cilindrada de más de 3.000 cc híbridos (Cat. F6-H)</v>
      </c>
      <c r="M233" s="3" t="s">
        <v>191</v>
      </c>
    </row>
    <row r="234" spans="10:14" x14ac:dyDescent="0.2">
      <c r="J234" s="3" t="s">
        <v>31</v>
      </c>
      <c r="K234" s="3" t="s">
        <v>196</v>
      </c>
      <c r="L234" s="3" t="str">
        <f t="shared" ref="L234:L257" si="6">+CONCATENATE(J234,K234)</f>
        <v>VEHÍCULOSMotocicletas y similares eléctricos (Cat. G-E)</v>
      </c>
      <c r="M234" s="3" t="s">
        <v>196</v>
      </c>
    </row>
    <row r="235" spans="10:14" x14ac:dyDescent="0.2">
      <c r="J235" s="3" t="s">
        <v>31</v>
      </c>
      <c r="K235" s="3" t="s">
        <v>197</v>
      </c>
      <c r="L235" s="3" t="str">
        <f t="shared" si="6"/>
        <v>VEHÍCULOSMotocicletas y similares con cilindarada de hasta 125 cc no híbridos (Cat. G1)</v>
      </c>
      <c r="M235" s="3" t="s">
        <v>197</v>
      </c>
    </row>
    <row r="236" spans="10:14" x14ac:dyDescent="0.2">
      <c r="J236" s="3" t="s">
        <v>31</v>
      </c>
      <c r="K236" s="3" t="s">
        <v>198</v>
      </c>
      <c r="L236" s="3" t="str">
        <f t="shared" si="6"/>
        <v>VEHÍCULOSMotocicletas y similares con cilindarada de más de 125 cc no híbridos (Cat. G2)</v>
      </c>
      <c r="M236" s="3" t="s">
        <v>198</v>
      </c>
    </row>
    <row r="237" spans="10:14" x14ac:dyDescent="0.2">
      <c r="J237" s="3" t="s">
        <v>31</v>
      </c>
      <c r="K237" s="3" t="s">
        <v>199</v>
      </c>
      <c r="L237" s="3" t="str">
        <f t="shared" si="6"/>
        <v>VEHÍCULOSSillas para discapacitados eléctricas (Cat. H-E)</v>
      </c>
      <c r="M237" s="3" t="s">
        <v>199</v>
      </c>
    </row>
    <row r="238" spans="10:14" x14ac:dyDescent="0.2">
      <c r="J238" s="3" t="s">
        <v>31</v>
      </c>
      <c r="K238" s="3" t="s">
        <v>200</v>
      </c>
      <c r="L238" s="3" t="str">
        <f t="shared" si="6"/>
        <v>VEHÍCULOSRestantes automotores no eléctricos, no híbridos (Cat. I)</v>
      </c>
      <c r="M238" s="3" t="s">
        <v>200</v>
      </c>
    </row>
    <row r="239" spans="10:14" x14ac:dyDescent="0.2">
      <c r="J239" s="3" t="s">
        <v>31</v>
      </c>
      <c r="K239" s="3" t="s">
        <v>201</v>
      </c>
      <c r="L239" s="3" t="str">
        <f t="shared" si="6"/>
        <v>VEHÍCULOSRestantes automotores eléctricos (Cat. I-E)</v>
      </c>
      <c r="M239" s="3" t="s">
        <v>201</v>
      </c>
    </row>
    <row r="240" spans="10:14" x14ac:dyDescent="0.2">
      <c r="J240" s="101" t="s">
        <v>31</v>
      </c>
      <c r="K240" s="102" t="s">
        <v>110</v>
      </c>
      <c r="L240" s="101" t="str">
        <f t="shared" si="6"/>
        <v>VEHÍCULOSChasis para camiones y tractores para remolque peso superior a 4.000 kg - Cat. A 2010</v>
      </c>
      <c r="M240" s="102"/>
    </row>
    <row r="241" spans="10:13" x14ac:dyDescent="0.2">
      <c r="J241" s="101" t="s">
        <v>31</v>
      </c>
      <c r="K241" s="102" t="s">
        <v>111</v>
      </c>
      <c r="L241" s="101" t="str">
        <f t="shared" si="6"/>
        <v>VEHÍCULOSÓmnibus urbanos, suburbanos y carreteros - Cat B 2010</v>
      </c>
      <c r="M241" s="102"/>
    </row>
    <row r="242" spans="10:13" x14ac:dyDescent="0.2">
      <c r="J242" s="101" t="s">
        <v>31</v>
      </c>
      <c r="K242" s="102" t="s">
        <v>112</v>
      </c>
      <c r="L242" s="101" t="str">
        <f t="shared" si="6"/>
        <v>VEHÍCULOSÓmnibus urbanos y suburbanos - Cat. B1 2010</v>
      </c>
      <c r="M242" s="102"/>
    </row>
    <row r="243" spans="10:13" x14ac:dyDescent="0.2">
      <c r="J243" s="101" t="s">
        <v>31</v>
      </c>
      <c r="K243" s="102" t="s">
        <v>113</v>
      </c>
      <c r="L243" s="101" t="str">
        <f t="shared" si="6"/>
        <v>VEHÍCULOSÓmnibus carreteros - Cat. B2 2010</v>
      </c>
      <c r="M243" s="102"/>
    </row>
    <row r="244" spans="10:13" x14ac:dyDescent="0.2">
      <c r="J244" s="101" t="s">
        <v>31</v>
      </c>
      <c r="K244" s="102" t="s">
        <v>114</v>
      </c>
      <c r="L244" s="101" t="str">
        <f t="shared" si="6"/>
        <v>VEHÍCULOSAutomóviles de pasajeros hasta 1.000 c.c. - Cat. C 2010</v>
      </c>
      <c r="M244" s="102"/>
    </row>
    <row r="245" spans="10:13" x14ac:dyDescent="0.2">
      <c r="J245" s="101" t="s">
        <v>31</v>
      </c>
      <c r="K245" s="102" t="s">
        <v>115</v>
      </c>
      <c r="L245" s="101" t="str">
        <f t="shared" si="6"/>
        <v>VEHÍCULOSAutomóviles de pasajeros de más de 1.000 c.c. - Cat. D 2010</v>
      </c>
      <c r="M245" s="102"/>
    </row>
    <row r="246" spans="10:13" x14ac:dyDescent="0.2">
      <c r="J246" s="101" t="s">
        <v>31</v>
      </c>
      <c r="K246" s="102" t="s">
        <v>116</v>
      </c>
      <c r="L246" s="101" t="str">
        <f t="shared" si="6"/>
        <v>VEHÍCULOSAutomóviles de pasajeros de más de 1.000 c.c. y hasta 1.600 c.c. - Cat. D1 2010</v>
      </c>
      <c r="M246" s="102"/>
    </row>
    <row r="247" spans="10:13" x14ac:dyDescent="0.2">
      <c r="J247" s="101" t="s">
        <v>31</v>
      </c>
      <c r="K247" s="102" t="s">
        <v>117</v>
      </c>
      <c r="L247" s="101" t="str">
        <f t="shared" si="6"/>
        <v>VEHÍCULOSAutomóviles de pasajeros de más de 1.600 c.c. y hasta 2.000 c.c. - Cat. D2 2010</v>
      </c>
      <c r="M247" s="102"/>
    </row>
    <row r="248" spans="10:13" x14ac:dyDescent="0.2">
      <c r="J248" s="101" t="s">
        <v>31</v>
      </c>
      <c r="K248" s="102" t="s">
        <v>118</v>
      </c>
      <c r="L248" s="101" t="str">
        <f t="shared" si="6"/>
        <v>VEHÍCULOSAutomóviles de pasajeros de más de 2.000 c.c. - Cat. D3 2010</v>
      </c>
      <c r="M248" s="102"/>
    </row>
    <row r="249" spans="10:13" x14ac:dyDescent="0.2">
      <c r="J249" s="101" t="s">
        <v>31</v>
      </c>
      <c r="K249" s="102" t="s">
        <v>119</v>
      </c>
      <c r="L249" s="101" t="str">
        <f t="shared" si="6"/>
        <v>VEHÍCULOSVehículos de carga, pick-ups o furgones con peso menor a 4.000 kg. - Cat. E 2010</v>
      </c>
      <c r="M249" s="102"/>
    </row>
    <row r="250" spans="10:13" x14ac:dyDescent="0.2">
      <c r="J250" s="101" t="s">
        <v>31</v>
      </c>
      <c r="K250" s="102" t="s">
        <v>120</v>
      </c>
      <c r="L250" s="101" t="str">
        <f t="shared" si="6"/>
        <v>VEHÍCULOSMotocicletas y similares - Cat. F 2010 (incluye cat. F1 y F2)</v>
      </c>
      <c r="M250" s="102"/>
    </row>
    <row r="251" spans="10:13" x14ac:dyDescent="0.2">
      <c r="J251" s="101" t="s">
        <v>31</v>
      </c>
      <c r="K251" s="102" t="s">
        <v>121</v>
      </c>
      <c r="L251" s="101" t="str">
        <f t="shared" si="6"/>
        <v>VEHÍCULOSMotocicletas y similares con cilindarada de hasta 125 cc - Cat. F1 2010</v>
      </c>
      <c r="M251" s="102"/>
    </row>
    <row r="252" spans="10:13" x14ac:dyDescent="0.2">
      <c r="J252" s="101" t="s">
        <v>31</v>
      </c>
      <c r="K252" s="102" t="s">
        <v>122</v>
      </c>
      <c r="L252" s="101" t="str">
        <f t="shared" si="6"/>
        <v>VEHÍCULOSMotocicletas y similares con cilindarada de más de 125 cc - Cat. F2 2010</v>
      </c>
      <c r="M252" s="102"/>
    </row>
    <row r="253" spans="10:13" x14ac:dyDescent="0.2">
      <c r="J253" s="101" t="s">
        <v>31</v>
      </c>
      <c r="K253" s="102" t="s">
        <v>123</v>
      </c>
      <c r="L253" s="101" t="str">
        <f t="shared" si="6"/>
        <v>VEHÍCULOSMotonetas con plataforma horizontal que une las partes delantera y trasera - Cat. F3 2010</v>
      </c>
      <c r="M253" s="102"/>
    </row>
    <row r="254" spans="10:13" x14ac:dyDescent="0.2">
      <c r="J254" s="101" t="s">
        <v>31</v>
      </c>
      <c r="K254" s="102" t="s">
        <v>124</v>
      </c>
      <c r="L254" s="101" t="str">
        <f t="shared" si="6"/>
        <v>VEHÍCULOSTractores para uso agrícola y obras viales - Cat G 2010</v>
      </c>
      <c r="M254" s="102"/>
    </row>
    <row r="255" spans="10:13" x14ac:dyDescent="0.2">
      <c r="J255" s="101" t="s">
        <v>31</v>
      </c>
      <c r="K255" s="102" t="s">
        <v>125</v>
      </c>
      <c r="L255" s="101" t="str">
        <f t="shared" si="6"/>
        <v>VEHÍCULOSVehículos con tracción en las cuatro ruedas de peso menor a 2.000 kg - Cat H 2010</v>
      </c>
      <c r="M255" s="102"/>
    </row>
    <row r="256" spans="10:13" x14ac:dyDescent="0.2">
      <c r="J256" s="101" t="s">
        <v>31</v>
      </c>
      <c r="K256" s="102" t="s">
        <v>127</v>
      </c>
      <c r="L256" s="101" t="str">
        <f t="shared" si="6"/>
        <v>VEHÍCULOSOtros vehículos no incluidos en los literales precedentes destinados a actividades gravadas por IRIC, IRA IMEBA - Cat I 2010</v>
      </c>
      <c r="M256" s="102"/>
    </row>
    <row r="257" spans="10:13" x14ac:dyDescent="0.2">
      <c r="J257" s="101" t="s">
        <v>31</v>
      </c>
      <c r="K257" s="102" t="s">
        <v>126</v>
      </c>
      <c r="L257" s="101" t="str">
        <f t="shared" si="6"/>
        <v xml:space="preserve">VEHÍCULOSRestantes automotores no incluidos en los apartados anteriores - Cat J 2010 </v>
      </c>
      <c r="M257" s="102"/>
    </row>
  </sheetData>
  <mergeCells count="1">
    <mergeCell ref="J1:M1"/>
  </mergeCells>
  <phoneticPr fontId="31" type="noConversion"/>
  <conditionalFormatting sqref="M2:N26 N27:N71 N74:N130 N132:N228 M205 M27:M74 M77:M136 M138:M203 M207:M239">
    <cfRule type="expression" dxfId="17" priority="1" stopIfTrue="1">
      <formula>""</formula>
    </cfRule>
  </conditionalFormatting>
  <pageMargins left="0.74803149606299213" right="0.74803149606299213" top="0.98425196850393704" bottom="0.98425196850393704" header="0" footer="0"/>
  <pageSetup paperSize="9" scale="1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92D050"/>
    <pageSetUpPr fitToPage="1"/>
  </sheetPr>
  <dimension ref="A1:XFA499"/>
  <sheetViews>
    <sheetView workbookViewId="0">
      <pane xSplit="1" ySplit="6" topLeftCell="BJ461" activePane="bottomRight" state="frozen"/>
      <selection activeCell="E4" sqref="E4:L4"/>
      <selection pane="topRight" activeCell="E4" sqref="E4:L4"/>
      <selection pane="bottomLeft" activeCell="E4" sqref="E4:L4"/>
      <selection pane="bottomRight" activeCell="GD479" sqref="GD479"/>
    </sheetView>
  </sheetViews>
  <sheetFormatPr baseColWidth="10" defaultColWidth="11.42578125" defaultRowHeight="12.75" x14ac:dyDescent="0.2"/>
  <cols>
    <col min="1" max="1" width="11.42578125" style="17"/>
    <col min="2" max="2" width="16.5703125" style="17" customWidth="1"/>
    <col min="3" max="5" width="14.5703125" style="17" customWidth="1"/>
    <col min="6" max="6" width="15.7109375" style="17" customWidth="1"/>
    <col min="7" max="7" width="15.5703125" style="17" customWidth="1"/>
    <col min="8" max="8" width="16.7109375" style="17" customWidth="1"/>
    <col min="9" max="10" width="11.7109375" style="22" customWidth="1"/>
    <col min="11" max="11" width="16.7109375" style="22" customWidth="1"/>
    <col min="12" max="13" width="11.7109375" style="17" customWidth="1"/>
    <col min="14" max="14" width="16.7109375" style="17" customWidth="1"/>
    <col min="15" max="16" width="11.7109375" style="17" customWidth="1"/>
    <col min="17" max="17" width="16.7109375" style="17" customWidth="1"/>
    <col min="18" max="19" width="11.7109375" style="17" customWidth="1"/>
    <col min="20" max="20" width="14.5703125" style="22" customWidth="1"/>
    <col min="21" max="22" width="12" style="17" customWidth="1"/>
    <col min="23" max="24" width="13" style="17" customWidth="1"/>
    <col min="25" max="25" width="12" style="17" customWidth="1"/>
    <col min="26" max="26" width="13.140625" style="17" customWidth="1"/>
    <col min="27" max="27" width="14.5703125" style="17" customWidth="1"/>
    <col min="28" max="28" width="13" style="17" customWidth="1"/>
    <col min="29" max="29" width="14.5703125" style="17" customWidth="1"/>
    <col min="30" max="30" width="12" style="17" customWidth="1"/>
    <col min="31" max="31" width="13" style="17" customWidth="1"/>
    <col min="32" max="32" width="13.140625" style="17" customWidth="1"/>
    <col min="33" max="33" width="13" style="22" customWidth="1"/>
    <col min="34" max="35" width="14.5703125" style="22" customWidth="1"/>
    <col min="36" max="37" width="11.7109375" style="17" customWidth="1"/>
    <col min="38" max="44" width="13" style="17" customWidth="1"/>
    <col min="45" max="46" width="11.7109375" style="17" customWidth="1"/>
    <col min="47" max="47" width="13" style="17" customWidth="1"/>
    <col min="48" max="49" width="11.7109375" style="17" customWidth="1"/>
    <col min="50" max="50" width="13" style="17" customWidth="1"/>
    <col min="51" max="51" width="16.7109375" style="17" customWidth="1"/>
    <col min="52" max="52" width="15.5703125" style="17" customWidth="1"/>
    <col min="53" max="53" width="16.7109375" style="17" customWidth="1"/>
    <col min="54" max="55" width="11.7109375" style="17" customWidth="1"/>
    <col min="56" max="56" width="15.5703125" style="17" customWidth="1"/>
    <col min="57" max="59" width="11.7109375" style="17" bestFit="1" customWidth="1"/>
    <col min="60" max="62" width="11.7109375" style="17" customWidth="1"/>
    <col min="63" max="65" width="11.7109375" style="17" bestFit="1" customWidth="1"/>
    <col min="66" max="68" width="11.7109375" style="17" customWidth="1"/>
    <col min="69" max="71" width="11.7109375" style="17" bestFit="1" customWidth="1"/>
    <col min="72" max="77" width="11.7109375" style="17" customWidth="1"/>
    <col min="78" max="80" width="11.7109375" style="17" bestFit="1" customWidth="1"/>
    <col min="81" max="83" width="11.7109375" style="17" customWidth="1"/>
    <col min="84" max="86" width="11.7109375" style="17" bestFit="1" customWidth="1"/>
    <col min="87" max="87" width="11.7109375" style="17" customWidth="1"/>
    <col min="88" max="89" width="11.7109375" style="17" bestFit="1" customWidth="1"/>
    <col min="90" max="92" width="11.7109375" style="17" customWidth="1"/>
    <col min="93" max="95" width="11.7109375" style="17" bestFit="1" customWidth="1"/>
    <col min="96" max="98" width="11.7109375" style="17" customWidth="1"/>
    <col min="99" max="101" width="11.7109375" style="17" bestFit="1" customWidth="1"/>
    <col min="102" max="104" width="11.7109375" style="17" customWidth="1"/>
    <col min="105" max="107" width="11.7109375" style="17" bestFit="1" customWidth="1"/>
    <col min="108" max="110" width="11.7109375" style="17" customWidth="1"/>
    <col min="111" max="113" width="11.7109375" style="17" bestFit="1" customWidth="1"/>
    <col min="114" max="116" width="11.7109375" style="17" customWidth="1"/>
    <col min="117" max="121" width="11.7109375" style="17" bestFit="1" customWidth="1"/>
    <col min="122" max="122" width="12" style="17" bestFit="1" customWidth="1"/>
    <col min="123" max="128" width="12" style="17" customWidth="1"/>
    <col min="129" max="130" width="11.7109375" style="17" bestFit="1" customWidth="1"/>
    <col min="131" max="131" width="12" style="17" bestFit="1" customWidth="1"/>
    <col min="132" max="134" width="12" style="17" customWidth="1"/>
    <col min="135" max="136" width="11.7109375" style="17" bestFit="1" customWidth="1"/>
    <col min="137" max="137" width="12" style="17" bestFit="1" customWidth="1"/>
    <col min="138" max="140" width="12" style="17" customWidth="1"/>
    <col min="141" max="142" width="11.7109375" style="17" bestFit="1" customWidth="1"/>
    <col min="143" max="143" width="11.85546875" style="17" bestFit="1" customWidth="1"/>
    <col min="144" max="146" width="11.85546875" style="17" customWidth="1"/>
    <col min="147" max="149" width="11.7109375" style="17" bestFit="1" customWidth="1"/>
    <col min="150" max="152" width="11.7109375" style="17" customWidth="1"/>
    <col min="153" max="155" width="11.7109375" style="17" bestFit="1" customWidth="1"/>
    <col min="156" max="164" width="11.7109375" style="17" customWidth="1"/>
    <col min="165" max="166" width="11.7109375" style="17" bestFit="1" customWidth="1"/>
    <col min="167" max="167" width="12" style="17" bestFit="1" customWidth="1"/>
    <col min="168" max="169" width="11.7109375" style="17" bestFit="1" customWidth="1"/>
    <col min="170" max="170" width="12" style="17" bestFit="1" customWidth="1"/>
    <col min="171" max="179" width="11.7109375" style="17" bestFit="1" customWidth="1"/>
    <col min="180" max="180" width="11.42578125" style="22"/>
    <col min="181" max="16384" width="11.42578125" style="17"/>
  </cols>
  <sheetData>
    <row r="1" spans="1:182" x14ac:dyDescent="0.2">
      <c r="C1" s="18" t="s">
        <v>0</v>
      </c>
      <c r="D1" s="18" t="s">
        <v>0</v>
      </c>
      <c r="E1" s="18" t="s">
        <v>0</v>
      </c>
      <c r="F1" s="18" t="s">
        <v>0</v>
      </c>
      <c r="G1" s="18" t="s">
        <v>0</v>
      </c>
      <c r="H1" s="18" t="s">
        <v>0</v>
      </c>
      <c r="I1" s="84" t="s">
        <v>0</v>
      </c>
      <c r="J1" s="84" t="s">
        <v>0</v>
      </c>
      <c r="K1" s="84" t="s">
        <v>0</v>
      </c>
      <c r="L1" s="18" t="s">
        <v>0</v>
      </c>
      <c r="M1" s="18" t="s">
        <v>0</v>
      </c>
      <c r="N1" s="18" t="s">
        <v>0</v>
      </c>
      <c r="O1" s="18" t="s">
        <v>0</v>
      </c>
      <c r="P1" s="18" t="s">
        <v>0</v>
      </c>
      <c r="Q1" s="18" t="s">
        <v>0</v>
      </c>
      <c r="R1" s="18" t="s">
        <v>0</v>
      </c>
      <c r="S1" s="18" t="s">
        <v>0</v>
      </c>
      <c r="T1" s="18" t="s">
        <v>0</v>
      </c>
      <c r="U1" s="18" t="s">
        <v>0</v>
      </c>
      <c r="V1" s="18" t="s">
        <v>0</v>
      </c>
      <c r="W1" s="18" t="s">
        <v>0</v>
      </c>
      <c r="X1" s="18" t="s">
        <v>0</v>
      </c>
      <c r="Y1" s="18" t="s">
        <v>0</v>
      </c>
      <c r="Z1" s="18" t="s">
        <v>0</v>
      </c>
      <c r="AA1" s="18" t="s">
        <v>0</v>
      </c>
      <c r="AB1" s="18" t="s">
        <v>0</v>
      </c>
      <c r="AC1" s="18" t="s">
        <v>0</v>
      </c>
      <c r="AD1" s="18" t="s">
        <v>0</v>
      </c>
      <c r="AE1" s="18" t="s">
        <v>0</v>
      </c>
      <c r="AF1" s="18" t="s">
        <v>0</v>
      </c>
      <c r="AG1" s="84" t="s">
        <v>0</v>
      </c>
      <c r="AH1" s="84" t="s">
        <v>0</v>
      </c>
      <c r="AI1" s="84" t="s">
        <v>0</v>
      </c>
      <c r="AJ1" s="84" t="s">
        <v>0</v>
      </c>
      <c r="AK1" s="18" t="s">
        <v>0</v>
      </c>
      <c r="AL1" s="18" t="s">
        <v>0</v>
      </c>
      <c r="AM1" s="18" t="s">
        <v>0</v>
      </c>
      <c r="AN1" s="18" t="s">
        <v>0</v>
      </c>
      <c r="AO1" s="18" t="s">
        <v>0</v>
      </c>
      <c r="AP1" s="18" t="s">
        <v>0</v>
      </c>
      <c r="AQ1" s="18" t="s">
        <v>0</v>
      </c>
      <c r="AR1" s="18" t="s">
        <v>0</v>
      </c>
      <c r="AS1" s="19" t="s">
        <v>128</v>
      </c>
      <c r="AT1" s="19" t="s">
        <v>128</v>
      </c>
      <c r="AU1" s="19" t="s">
        <v>128</v>
      </c>
      <c r="AV1" s="19" t="s">
        <v>128</v>
      </c>
      <c r="AW1" s="19" t="s">
        <v>128</v>
      </c>
      <c r="AX1" s="19" t="s">
        <v>128</v>
      </c>
      <c r="AY1" s="20" t="s">
        <v>1</v>
      </c>
      <c r="AZ1" s="20" t="s">
        <v>1</v>
      </c>
      <c r="BA1" s="20" t="s">
        <v>1</v>
      </c>
      <c r="BB1" s="20" t="s">
        <v>1</v>
      </c>
      <c r="BC1" s="20" t="s">
        <v>1</v>
      </c>
      <c r="BD1" s="20" t="s">
        <v>1</v>
      </c>
      <c r="BE1" s="21" t="s">
        <v>129</v>
      </c>
      <c r="BF1" s="21" t="s">
        <v>129</v>
      </c>
      <c r="BG1" s="21" t="s">
        <v>129</v>
      </c>
      <c r="BH1" s="21" t="s">
        <v>129</v>
      </c>
      <c r="BI1" s="21" t="s">
        <v>129</v>
      </c>
      <c r="BJ1" s="21" t="s">
        <v>129</v>
      </c>
      <c r="BK1" s="21" t="s">
        <v>129</v>
      </c>
      <c r="BL1" s="21" t="s">
        <v>129</v>
      </c>
      <c r="BM1" s="21" t="s">
        <v>129</v>
      </c>
      <c r="BN1" s="21" t="s">
        <v>129</v>
      </c>
      <c r="BO1" s="21" t="s">
        <v>129</v>
      </c>
      <c r="BP1" s="21" t="s">
        <v>129</v>
      </c>
      <c r="BQ1" s="21" t="s">
        <v>129</v>
      </c>
      <c r="BR1" s="21" t="s">
        <v>129</v>
      </c>
      <c r="BS1" s="21" t="s">
        <v>129</v>
      </c>
      <c r="BT1" s="21" t="s">
        <v>129</v>
      </c>
      <c r="BU1" s="21" t="s">
        <v>129</v>
      </c>
      <c r="BV1" s="21" t="s">
        <v>129</v>
      </c>
      <c r="BW1" s="21" t="s">
        <v>129</v>
      </c>
      <c r="BX1" s="21" t="s">
        <v>129</v>
      </c>
      <c r="BY1" s="21" t="s">
        <v>129</v>
      </c>
      <c r="BZ1" s="21" t="s">
        <v>129</v>
      </c>
      <c r="CA1" s="21" t="s">
        <v>129</v>
      </c>
      <c r="CB1" s="21" t="s">
        <v>129</v>
      </c>
      <c r="CC1" s="21" t="s">
        <v>129</v>
      </c>
      <c r="CD1" s="21" t="s">
        <v>129</v>
      </c>
      <c r="CE1" s="21" t="s">
        <v>129</v>
      </c>
      <c r="CF1" s="21" t="s">
        <v>129</v>
      </c>
      <c r="CG1" s="21" t="s">
        <v>129</v>
      </c>
      <c r="CH1" s="21" t="s">
        <v>129</v>
      </c>
      <c r="CI1" s="21" t="s">
        <v>129</v>
      </c>
      <c r="CJ1" s="21" t="s">
        <v>129</v>
      </c>
      <c r="CK1" s="21" t="s">
        <v>129</v>
      </c>
      <c r="CL1" s="21" t="s">
        <v>129</v>
      </c>
      <c r="CM1" s="21" t="s">
        <v>129</v>
      </c>
      <c r="CN1" s="21" t="s">
        <v>129</v>
      </c>
      <c r="CO1" s="21" t="s">
        <v>129</v>
      </c>
      <c r="CP1" s="21" t="s">
        <v>129</v>
      </c>
      <c r="CQ1" s="21" t="s">
        <v>129</v>
      </c>
      <c r="CR1" s="21" t="s">
        <v>129</v>
      </c>
      <c r="CS1" s="21" t="s">
        <v>129</v>
      </c>
      <c r="CT1" s="21" t="s">
        <v>129</v>
      </c>
      <c r="CU1" s="21" t="s">
        <v>129</v>
      </c>
      <c r="CV1" s="21" t="s">
        <v>129</v>
      </c>
      <c r="CW1" s="21" t="s">
        <v>129</v>
      </c>
      <c r="CX1" s="21" t="s">
        <v>129</v>
      </c>
      <c r="CY1" s="21" t="s">
        <v>129</v>
      </c>
      <c r="CZ1" s="21" t="s">
        <v>129</v>
      </c>
      <c r="DA1" s="21" t="s">
        <v>129</v>
      </c>
      <c r="DB1" s="21" t="s">
        <v>129</v>
      </c>
      <c r="DC1" s="21" t="s">
        <v>129</v>
      </c>
      <c r="DD1" s="21" t="s">
        <v>129</v>
      </c>
      <c r="DE1" s="21" t="s">
        <v>129</v>
      </c>
      <c r="DF1" s="21" t="s">
        <v>129</v>
      </c>
      <c r="DG1" s="21" t="s">
        <v>129</v>
      </c>
      <c r="DH1" s="21" t="s">
        <v>129</v>
      </c>
      <c r="DI1" s="21" t="s">
        <v>129</v>
      </c>
      <c r="DJ1" s="21" t="s">
        <v>129</v>
      </c>
      <c r="DK1" s="21" t="s">
        <v>129</v>
      </c>
      <c r="DL1" s="21" t="s">
        <v>129</v>
      </c>
      <c r="DM1" s="21" t="s">
        <v>129</v>
      </c>
      <c r="DN1" s="21" t="s">
        <v>129</v>
      </c>
      <c r="DO1" s="21" t="s">
        <v>129</v>
      </c>
      <c r="DP1" s="21" t="s">
        <v>129</v>
      </c>
      <c r="DQ1" s="21" t="s">
        <v>129</v>
      </c>
      <c r="DR1" s="21" t="s">
        <v>129</v>
      </c>
      <c r="DS1" s="21" t="s">
        <v>129</v>
      </c>
      <c r="DT1" s="21" t="s">
        <v>129</v>
      </c>
      <c r="DU1" s="21" t="s">
        <v>129</v>
      </c>
      <c r="DV1" s="21" t="s">
        <v>129</v>
      </c>
      <c r="DW1" s="21" t="s">
        <v>129</v>
      </c>
      <c r="DX1" s="21" t="s">
        <v>129</v>
      </c>
      <c r="DY1" s="21" t="s">
        <v>129</v>
      </c>
      <c r="DZ1" s="21" t="s">
        <v>129</v>
      </c>
      <c r="EA1" s="21" t="s">
        <v>129</v>
      </c>
      <c r="EB1" s="21" t="s">
        <v>129</v>
      </c>
      <c r="EC1" s="21" t="s">
        <v>129</v>
      </c>
      <c r="ED1" s="21" t="s">
        <v>129</v>
      </c>
      <c r="EE1" s="21" t="s">
        <v>129</v>
      </c>
      <c r="EF1" s="21" t="s">
        <v>129</v>
      </c>
      <c r="EG1" s="21" t="s">
        <v>129</v>
      </c>
      <c r="EH1" s="21" t="s">
        <v>129</v>
      </c>
      <c r="EI1" s="21" t="s">
        <v>129</v>
      </c>
      <c r="EJ1" s="21" t="s">
        <v>129</v>
      </c>
      <c r="EK1" s="21" t="s">
        <v>129</v>
      </c>
      <c r="EL1" s="21" t="s">
        <v>129</v>
      </c>
      <c r="EM1" s="21" t="s">
        <v>129</v>
      </c>
      <c r="EN1" s="21" t="s">
        <v>129</v>
      </c>
      <c r="EO1" s="21" t="s">
        <v>129</v>
      </c>
      <c r="EP1" s="21" t="s">
        <v>129</v>
      </c>
      <c r="EQ1" s="21" t="s">
        <v>129</v>
      </c>
      <c r="ER1" s="21" t="s">
        <v>129</v>
      </c>
      <c r="ES1" s="21" t="s">
        <v>129</v>
      </c>
      <c r="ET1" s="21" t="s">
        <v>129</v>
      </c>
      <c r="EU1" s="21" t="s">
        <v>129</v>
      </c>
      <c r="EV1" s="21" t="s">
        <v>129</v>
      </c>
      <c r="EW1" s="21" t="s">
        <v>129</v>
      </c>
      <c r="EX1" s="21" t="s">
        <v>129</v>
      </c>
      <c r="EY1" s="21" t="s">
        <v>129</v>
      </c>
      <c r="EZ1" s="21" t="s">
        <v>129</v>
      </c>
      <c r="FA1" s="21" t="s">
        <v>129</v>
      </c>
      <c r="FB1" s="21" t="s">
        <v>129</v>
      </c>
      <c r="FC1" s="21" t="s">
        <v>129</v>
      </c>
      <c r="FD1" s="21" t="s">
        <v>129</v>
      </c>
      <c r="FE1" s="21" t="s">
        <v>129</v>
      </c>
      <c r="FF1" s="21" t="s">
        <v>129</v>
      </c>
      <c r="FG1" s="21" t="s">
        <v>129</v>
      </c>
      <c r="FH1" s="21" t="s">
        <v>129</v>
      </c>
      <c r="FI1" s="21" t="s">
        <v>129</v>
      </c>
      <c r="FJ1" s="21" t="s">
        <v>129</v>
      </c>
      <c r="FK1" s="21" t="s">
        <v>129</v>
      </c>
      <c r="FL1" s="21" t="s">
        <v>129</v>
      </c>
      <c r="FM1" s="21" t="s">
        <v>129</v>
      </c>
      <c r="FN1" s="21" t="s">
        <v>129</v>
      </c>
      <c r="FO1" s="21" t="s">
        <v>129</v>
      </c>
      <c r="FP1" s="21" t="s">
        <v>129</v>
      </c>
      <c r="FQ1" s="21" t="s">
        <v>129</v>
      </c>
      <c r="FR1" s="21" t="s">
        <v>129</v>
      </c>
      <c r="FS1" s="21" t="s">
        <v>129</v>
      </c>
      <c r="FT1" s="21" t="s">
        <v>129</v>
      </c>
      <c r="FU1" s="21" t="s">
        <v>129</v>
      </c>
      <c r="FV1" s="21" t="s">
        <v>129</v>
      </c>
      <c r="FW1" s="21" t="s">
        <v>129</v>
      </c>
      <c r="FX1" s="21" t="s">
        <v>129</v>
      </c>
      <c r="FY1" s="21" t="s">
        <v>129</v>
      </c>
      <c r="FZ1" s="21" t="s">
        <v>129</v>
      </c>
    </row>
    <row r="2" spans="1:182" ht="35.25" customHeight="1" x14ac:dyDescent="0.2">
      <c r="A2" s="23" t="s">
        <v>81</v>
      </c>
      <c r="B2" s="23" t="s">
        <v>144</v>
      </c>
      <c r="C2" s="126" t="s">
        <v>15</v>
      </c>
      <c r="D2" s="126"/>
      <c r="E2" s="126"/>
      <c r="F2" s="126" t="s">
        <v>16</v>
      </c>
      <c r="G2" s="126"/>
      <c r="H2" s="126"/>
      <c r="I2" s="126" t="s">
        <v>4</v>
      </c>
      <c r="J2" s="126"/>
      <c r="K2" s="126"/>
      <c r="L2" s="126" t="s">
        <v>7</v>
      </c>
      <c r="M2" s="126"/>
      <c r="N2" s="126"/>
      <c r="O2" s="126" t="s">
        <v>5</v>
      </c>
      <c r="P2" s="126"/>
      <c r="Q2" s="126"/>
      <c r="R2" s="126" t="s">
        <v>6</v>
      </c>
      <c r="S2" s="126"/>
      <c r="T2" s="126"/>
      <c r="U2" s="126" t="s">
        <v>17</v>
      </c>
      <c r="V2" s="126"/>
      <c r="W2" s="126"/>
      <c r="X2" s="126" t="s">
        <v>18</v>
      </c>
      <c r="Y2" s="126"/>
      <c r="Z2" s="126"/>
      <c r="AA2" s="126" t="s">
        <v>19</v>
      </c>
      <c r="AB2" s="126"/>
      <c r="AC2" s="126"/>
      <c r="AD2" s="126" t="s">
        <v>20</v>
      </c>
      <c r="AE2" s="126"/>
      <c r="AF2" s="126"/>
      <c r="AG2" s="126" t="s">
        <v>21</v>
      </c>
      <c r="AH2" s="126"/>
      <c r="AI2" s="126"/>
      <c r="AJ2" s="126" t="s">
        <v>14</v>
      </c>
      <c r="AK2" s="126"/>
      <c r="AL2" s="126"/>
      <c r="AM2" s="126" t="s">
        <v>156</v>
      </c>
      <c r="AN2" s="126"/>
      <c r="AO2" s="126"/>
      <c r="AP2" s="126" t="s">
        <v>147</v>
      </c>
      <c r="AQ2" s="126"/>
      <c r="AR2" s="126"/>
      <c r="AS2" s="126" t="s">
        <v>101</v>
      </c>
      <c r="AT2" s="126"/>
      <c r="AU2" s="126"/>
      <c r="AV2" s="126" t="s">
        <v>102</v>
      </c>
      <c r="AW2" s="126"/>
      <c r="AX2" s="126"/>
      <c r="AY2" s="126" t="s">
        <v>77</v>
      </c>
      <c r="AZ2" s="126"/>
      <c r="BA2" s="126"/>
      <c r="BB2" s="126" t="s">
        <v>76</v>
      </c>
      <c r="BC2" s="126"/>
      <c r="BD2" s="126"/>
      <c r="BE2" s="126" t="s">
        <v>165</v>
      </c>
      <c r="BF2" s="126"/>
      <c r="BG2" s="126"/>
      <c r="BH2" s="126" t="s">
        <v>166</v>
      </c>
      <c r="BI2" s="126"/>
      <c r="BJ2" s="126"/>
      <c r="BK2" s="126" t="s">
        <v>167</v>
      </c>
      <c r="BL2" s="126"/>
      <c r="BM2" s="126"/>
      <c r="BN2" s="126" t="s">
        <v>168</v>
      </c>
      <c r="BO2" s="126"/>
      <c r="BP2" s="126"/>
      <c r="BQ2" s="126" t="s">
        <v>169</v>
      </c>
      <c r="BR2" s="126"/>
      <c r="BS2" s="126"/>
      <c r="BT2" s="126" t="s">
        <v>170</v>
      </c>
      <c r="BU2" s="126"/>
      <c r="BV2" s="126"/>
      <c r="BW2" s="126" t="s">
        <v>212</v>
      </c>
      <c r="BX2" s="126"/>
      <c r="BY2" s="126"/>
      <c r="BZ2" s="126" t="s">
        <v>171</v>
      </c>
      <c r="CA2" s="126"/>
      <c r="CB2" s="126"/>
      <c r="CC2" s="126" t="s">
        <v>213</v>
      </c>
      <c r="CD2" s="126"/>
      <c r="CE2" s="126"/>
      <c r="CF2" s="126" t="s">
        <v>172</v>
      </c>
      <c r="CG2" s="126"/>
      <c r="CH2" s="126"/>
      <c r="CI2" s="126" t="s">
        <v>173</v>
      </c>
      <c r="CJ2" s="126"/>
      <c r="CK2" s="126"/>
      <c r="CL2" s="126" t="s">
        <v>174</v>
      </c>
      <c r="CM2" s="126"/>
      <c r="CN2" s="126"/>
      <c r="CO2" s="126" t="s">
        <v>175</v>
      </c>
      <c r="CP2" s="126"/>
      <c r="CQ2" s="126"/>
      <c r="CR2" s="126" t="s">
        <v>176</v>
      </c>
      <c r="CS2" s="126"/>
      <c r="CT2" s="126"/>
      <c r="CU2" s="126" t="s">
        <v>177</v>
      </c>
      <c r="CV2" s="126"/>
      <c r="CW2" s="126"/>
      <c r="CX2" s="126" t="s">
        <v>178</v>
      </c>
      <c r="CY2" s="126"/>
      <c r="CZ2" s="126"/>
      <c r="DA2" s="126" t="s">
        <v>179</v>
      </c>
      <c r="DB2" s="126"/>
      <c r="DC2" s="126"/>
      <c r="DD2" s="126" t="s">
        <v>180</v>
      </c>
      <c r="DE2" s="126"/>
      <c r="DF2" s="126"/>
      <c r="DG2" s="126" t="s">
        <v>181</v>
      </c>
      <c r="DH2" s="126"/>
      <c r="DI2" s="126"/>
      <c r="DJ2" s="126" t="s">
        <v>214</v>
      </c>
      <c r="DK2" s="126"/>
      <c r="DL2" s="126"/>
      <c r="DM2" s="126" t="s">
        <v>66</v>
      </c>
      <c r="DN2" s="126"/>
      <c r="DO2" s="126"/>
      <c r="DP2" s="126" t="s">
        <v>183</v>
      </c>
      <c r="DQ2" s="126"/>
      <c r="DR2" s="126"/>
      <c r="DS2" s="126" t="s">
        <v>185</v>
      </c>
      <c r="DT2" s="126"/>
      <c r="DU2" s="126"/>
      <c r="DV2" s="126" t="s">
        <v>208</v>
      </c>
      <c r="DW2" s="126"/>
      <c r="DX2" s="126"/>
      <c r="DY2" s="126" t="s">
        <v>184</v>
      </c>
      <c r="DZ2" s="126"/>
      <c r="EA2" s="126"/>
      <c r="EB2" s="126" t="s">
        <v>182</v>
      </c>
      <c r="EC2" s="126"/>
      <c r="ED2" s="126"/>
      <c r="EE2" s="126" t="s">
        <v>186</v>
      </c>
      <c r="EF2" s="126"/>
      <c r="EG2" s="126"/>
      <c r="EH2" s="126" t="s">
        <v>187</v>
      </c>
      <c r="EI2" s="126"/>
      <c r="EJ2" s="126"/>
      <c r="EK2" s="126" t="s">
        <v>188</v>
      </c>
      <c r="EL2" s="126"/>
      <c r="EM2" s="126"/>
      <c r="EN2" s="126" t="s">
        <v>189</v>
      </c>
      <c r="EO2" s="126"/>
      <c r="EP2" s="126"/>
      <c r="EQ2" s="126" t="s">
        <v>192</v>
      </c>
      <c r="ER2" s="126"/>
      <c r="ES2" s="126"/>
      <c r="ET2" s="126" t="s">
        <v>193</v>
      </c>
      <c r="EU2" s="126"/>
      <c r="EV2" s="126"/>
      <c r="EW2" s="126" t="s">
        <v>194</v>
      </c>
      <c r="EX2" s="126"/>
      <c r="EY2" s="126"/>
      <c r="EZ2" s="126" t="s">
        <v>195</v>
      </c>
      <c r="FA2" s="126"/>
      <c r="FB2" s="126"/>
      <c r="FC2" s="126" t="s">
        <v>190</v>
      </c>
      <c r="FD2" s="126"/>
      <c r="FE2" s="126"/>
      <c r="FF2" s="126" t="s">
        <v>191</v>
      </c>
      <c r="FG2" s="126"/>
      <c r="FH2" s="126"/>
      <c r="FI2" s="126" t="s">
        <v>196</v>
      </c>
      <c r="FJ2" s="126"/>
      <c r="FK2" s="126"/>
      <c r="FL2" s="126" t="s">
        <v>197</v>
      </c>
      <c r="FM2" s="126"/>
      <c r="FN2" s="126"/>
      <c r="FO2" s="126" t="s">
        <v>198</v>
      </c>
      <c r="FP2" s="126"/>
      <c r="FQ2" s="126"/>
      <c r="FR2" s="126" t="s">
        <v>199</v>
      </c>
      <c r="FS2" s="126"/>
      <c r="FT2" s="126"/>
      <c r="FU2" s="126" t="s">
        <v>200</v>
      </c>
      <c r="FV2" s="126"/>
      <c r="FW2" s="126"/>
      <c r="FX2" s="126" t="s">
        <v>201</v>
      </c>
      <c r="FY2" s="126"/>
      <c r="FZ2" s="126"/>
    </row>
    <row r="3" spans="1:182" x14ac:dyDescent="0.2">
      <c r="A3" s="23"/>
      <c r="B3" s="23"/>
      <c r="C3" s="23" t="s">
        <v>8</v>
      </c>
      <c r="D3" s="23" t="s">
        <v>9</v>
      </c>
      <c r="E3" s="23" t="s">
        <v>10</v>
      </c>
      <c r="F3" s="23" t="s">
        <v>8</v>
      </c>
      <c r="G3" s="23" t="s">
        <v>9</v>
      </c>
      <c r="H3" s="23" t="s">
        <v>10</v>
      </c>
      <c r="I3" s="23" t="s">
        <v>8</v>
      </c>
      <c r="J3" s="23" t="s">
        <v>9</v>
      </c>
      <c r="K3" s="23" t="s">
        <v>10</v>
      </c>
      <c r="L3" s="23" t="s">
        <v>8</v>
      </c>
      <c r="M3" s="23" t="s">
        <v>9</v>
      </c>
      <c r="N3" s="23" t="s">
        <v>10</v>
      </c>
      <c r="O3" s="23" t="s">
        <v>8</v>
      </c>
      <c r="P3" s="23" t="s">
        <v>9</v>
      </c>
      <c r="Q3" s="23" t="s">
        <v>10</v>
      </c>
      <c r="R3" s="23" t="s">
        <v>8</v>
      </c>
      <c r="S3" s="23" t="s">
        <v>9</v>
      </c>
      <c r="T3" s="23" t="s">
        <v>10</v>
      </c>
      <c r="U3" s="23" t="s">
        <v>8</v>
      </c>
      <c r="V3" s="23" t="s">
        <v>9</v>
      </c>
      <c r="W3" s="23" t="s">
        <v>10</v>
      </c>
      <c r="X3" s="23" t="s">
        <v>8</v>
      </c>
      <c r="Y3" s="23" t="s">
        <v>9</v>
      </c>
      <c r="Z3" s="23" t="s">
        <v>10</v>
      </c>
      <c r="AA3" s="23" t="s">
        <v>8</v>
      </c>
      <c r="AB3" s="23" t="s">
        <v>9</v>
      </c>
      <c r="AC3" s="23" t="s">
        <v>10</v>
      </c>
      <c r="AD3" s="23" t="s">
        <v>8</v>
      </c>
      <c r="AE3" s="23" t="s">
        <v>9</v>
      </c>
      <c r="AF3" s="23" t="s">
        <v>10</v>
      </c>
      <c r="AG3" s="23" t="s">
        <v>8</v>
      </c>
      <c r="AH3" s="23" t="s">
        <v>9</v>
      </c>
      <c r="AI3" s="23" t="s">
        <v>10</v>
      </c>
      <c r="AJ3" s="23" t="s">
        <v>8</v>
      </c>
      <c r="AK3" s="23" t="s">
        <v>9</v>
      </c>
      <c r="AL3" s="23" t="s">
        <v>10</v>
      </c>
      <c r="AM3" s="90" t="s">
        <v>8</v>
      </c>
      <c r="AN3" s="90" t="s">
        <v>9</v>
      </c>
      <c r="AO3" s="90" t="s">
        <v>10</v>
      </c>
      <c r="AP3" s="90" t="s">
        <v>8</v>
      </c>
      <c r="AQ3" s="90" t="s">
        <v>9</v>
      </c>
      <c r="AR3" s="90" t="s">
        <v>10</v>
      </c>
      <c r="AS3" s="23" t="s">
        <v>8</v>
      </c>
      <c r="AT3" s="23" t="s">
        <v>9</v>
      </c>
      <c r="AU3" s="23" t="s">
        <v>10</v>
      </c>
      <c r="AV3" s="23" t="s">
        <v>8</v>
      </c>
      <c r="AW3" s="23" t="s">
        <v>9</v>
      </c>
      <c r="AX3" s="23" t="s">
        <v>10</v>
      </c>
      <c r="AY3" s="23" t="s">
        <v>8</v>
      </c>
      <c r="AZ3" s="23" t="s">
        <v>9</v>
      </c>
      <c r="BA3" s="23" t="s">
        <v>10</v>
      </c>
      <c r="BB3" s="23" t="s">
        <v>8</v>
      </c>
      <c r="BC3" s="23" t="s">
        <v>9</v>
      </c>
      <c r="BD3" s="23" t="s">
        <v>10</v>
      </c>
      <c r="BE3" s="23" t="s">
        <v>8</v>
      </c>
      <c r="BF3" s="23" t="s">
        <v>9</v>
      </c>
      <c r="BG3" s="23" t="s">
        <v>10</v>
      </c>
      <c r="BH3" s="91" t="s">
        <v>8</v>
      </c>
      <c r="BI3" s="91" t="s">
        <v>9</v>
      </c>
      <c r="BJ3" s="91" t="s">
        <v>10</v>
      </c>
      <c r="BK3" s="23" t="s">
        <v>8</v>
      </c>
      <c r="BL3" s="23" t="s">
        <v>9</v>
      </c>
      <c r="BM3" s="23" t="s">
        <v>10</v>
      </c>
      <c r="BN3" s="91" t="s">
        <v>8</v>
      </c>
      <c r="BO3" s="91" t="s">
        <v>9</v>
      </c>
      <c r="BP3" s="91" t="s">
        <v>10</v>
      </c>
      <c r="BQ3" s="23" t="s">
        <v>8</v>
      </c>
      <c r="BR3" s="23" t="s">
        <v>9</v>
      </c>
      <c r="BS3" s="23" t="s">
        <v>10</v>
      </c>
      <c r="BT3" s="91" t="s">
        <v>8</v>
      </c>
      <c r="BU3" s="91" t="s">
        <v>9</v>
      </c>
      <c r="BV3" s="91" t="s">
        <v>10</v>
      </c>
      <c r="BW3" s="119" t="s">
        <v>8</v>
      </c>
      <c r="BX3" s="119" t="s">
        <v>9</v>
      </c>
      <c r="BY3" s="119" t="s">
        <v>10</v>
      </c>
      <c r="BZ3" s="23" t="s">
        <v>8</v>
      </c>
      <c r="CA3" s="23" t="s">
        <v>9</v>
      </c>
      <c r="CB3" s="23" t="s">
        <v>10</v>
      </c>
      <c r="CC3" s="119" t="s">
        <v>8</v>
      </c>
      <c r="CD3" s="119" t="s">
        <v>9</v>
      </c>
      <c r="CE3" s="119" t="s">
        <v>10</v>
      </c>
      <c r="CF3" s="23" t="s">
        <v>8</v>
      </c>
      <c r="CG3" s="23" t="s">
        <v>9</v>
      </c>
      <c r="CH3" s="23" t="s">
        <v>10</v>
      </c>
      <c r="CI3" s="23" t="s">
        <v>8</v>
      </c>
      <c r="CJ3" s="23" t="s">
        <v>9</v>
      </c>
      <c r="CK3" s="23" t="s">
        <v>10</v>
      </c>
      <c r="CL3" s="91" t="s">
        <v>8</v>
      </c>
      <c r="CM3" s="91" t="s">
        <v>9</v>
      </c>
      <c r="CN3" s="91" t="s">
        <v>10</v>
      </c>
      <c r="CO3" s="23" t="s">
        <v>8</v>
      </c>
      <c r="CP3" s="23" t="s">
        <v>9</v>
      </c>
      <c r="CQ3" s="23" t="s">
        <v>10</v>
      </c>
      <c r="CR3" s="91" t="s">
        <v>8</v>
      </c>
      <c r="CS3" s="91" t="s">
        <v>9</v>
      </c>
      <c r="CT3" s="91" t="s">
        <v>10</v>
      </c>
      <c r="CU3" s="23" t="s">
        <v>8</v>
      </c>
      <c r="CV3" s="23" t="s">
        <v>9</v>
      </c>
      <c r="CW3" s="23" t="s">
        <v>10</v>
      </c>
      <c r="CX3" s="91" t="s">
        <v>8</v>
      </c>
      <c r="CY3" s="91" t="s">
        <v>9</v>
      </c>
      <c r="CZ3" s="91" t="s">
        <v>10</v>
      </c>
      <c r="DA3" s="23" t="s">
        <v>8</v>
      </c>
      <c r="DB3" s="23" t="s">
        <v>9</v>
      </c>
      <c r="DC3" s="23" t="s">
        <v>10</v>
      </c>
      <c r="DD3" s="91" t="s">
        <v>8</v>
      </c>
      <c r="DE3" s="91" t="s">
        <v>9</v>
      </c>
      <c r="DF3" s="91" t="s">
        <v>10</v>
      </c>
      <c r="DG3" s="23" t="s">
        <v>8</v>
      </c>
      <c r="DH3" s="23" t="s">
        <v>9</v>
      </c>
      <c r="DI3" s="23" t="s">
        <v>10</v>
      </c>
      <c r="DJ3" s="120" t="s">
        <v>8</v>
      </c>
      <c r="DK3" s="120" t="s">
        <v>9</v>
      </c>
      <c r="DL3" s="120" t="s">
        <v>10</v>
      </c>
      <c r="DM3" s="23" t="s">
        <v>8</v>
      </c>
      <c r="DN3" s="23" t="s">
        <v>9</v>
      </c>
      <c r="DO3" s="23" t="s">
        <v>10</v>
      </c>
      <c r="DP3" s="23" t="s">
        <v>8</v>
      </c>
      <c r="DQ3" s="23" t="s">
        <v>9</v>
      </c>
      <c r="DR3" s="23" t="s">
        <v>10</v>
      </c>
      <c r="DS3" s="91" t="s">
        <v>8</v>
      </c>
      <c r="DT3" s="91" t="s">
        <v>9</v>
      </c>
      <c r="DU3" s="91" t="s">
        <v>10</v>
      </c>
      <c r="DV3" s="91" t="s">
        <v>8</v>
      </c>
      <c r="DW3" s="91" t="s">
        <v>9</v>
      </c>
      <c r="DX3" s="91" t="s">
        <v>10</v>
      </c>
      <c r="DY3" s="23" t="s">
        <v>8</v>
      </c>
      <c r="DZ3" s="23" t="s">
        <v>9</v>
      </c>
      <c r="EA3" s="23" t="s">
        <v>10</v>
      </c>
      <c r="EB3" s="91" t="s">
        <v>8</v>
      </c>
      <c r="EC3" s="91" t="s">
        <v>9</v>
      </c>
      <c r="ED3" s="91" t="s">
        <v>10</v>
      </c>
      <c r="EE3" s="23" t="s">
        <v>8</v>
      </c>
      <c r="EF3" s="23" t="s">
        <v>9</v>
      </c>
      <c r="EG3" s="23" t="s">
        <v>10</v>
      </c>
      <c r="EH3" s="91" t="s">
        <v>8</v>
      </c>
      <c r="EI3" s="91" t="s">
        <v>9</v>
      </c>
      <c r="EJ3" s="91" t="s">
        <v>10</v>
      </c>
      <c r="EK3" s="23" t="s">
        <v>8</v>
      </c>
      <c r="EL3" s="23" t="s">
        <v>9</v>
      </c>
      <c r="EM3" s="23" t="s">
        <v>10</v>
      </c>
      <c r="EN3" s="91" t="s">
        <v>8</v>
      </c>
      <c r="EO3" s="91" t="s">
        <v>9</v>
      </c>
      <c r="EP3" s="91" t="s">
        <v>10</v>
      </c>
      <c r="EQ3" s="23" t="s">
        <v>8</v>
      </c>
      <c r="ER3" s="23" t="s">
        <v>9</v>
      </c>
      <c r="ES3" s="23" t="s">
        <v>10</v>
      </c>
      <c r="ET3" s="91" t="s">
        <v>8</v>
      </c>
      <c r="EU3" s="91" t="s">
        <v>9</v>
      </c>
      <c r="EV3" s="91" t="s">
        <v>10</v>
      </c>
      <c r="EW3" s="23" t="s">
        <v>8</v>
      </c>
      <c r="EX3" s="23" t="s">
        <v>9</v>
      </c>
      <c r="EY3" s="23" t="s">
        <v>10</v>
      </c>
      <c r="EZ3" s="91" t="s">
        <v>8</v>
      </c>
      <c r="FA3" s="91" t="s">
        <v>9</v>
      </c>
      <c r="FB3" s="91" t="s">
        <v>10</v>
      </c>
      <c r="FC3" s="91" t="s">
        <v>8</v>
      </c>
      <c r="FD3" s="91" t="s">
        <v>9</v>
      </c>
      <c r="FE3" s="91" t="s">
        <v>10</v>
      </c>
      <c r="FF3" s="91" t="s">
        <v>8</v>
      </c>
      <c r="FG3" s="91" t="s">
        <v>9</v>
      </c>
      <c r="FH3" s="91" t="s">
        <v>10</v>
      </c>
      <c r="FI3" s="23" t="s">
        <v>8</v>
      </c>
      <c r="FJ3" s="23" t="s">
        <v>9</v>
      </c>
      <c r="FK3" s="23" t="s">
        <v>10</v>
      </c>
      <c r="FL3" s="23" t="s">
        <v>8</v>
      </c>
      <c r="FM3" s="23" t="s">
        <v>9</v>
      </c>
      <c r="FN3" s="23" t="s">
        <v>10</v>
      </c>
      <c r="FO3" s="23" t="s">
        <v>8</v>
      </c>
      <c r="FP3" s="23" t="s">
        <v>9</v>
      </c>
      <c r="FQ3" s="23" t="s">
        <v>10</v>
      </c>
      <c r="FR3" s="23" t="s">
        <v>8</v>
      </c>
      <c r="FS3" s="23" t="s">
        <v>9</v>
      </c>
      <c r="FT3" s="23" t="s">
        <v>10</v>
      </c>
      <c r="FU3" s="23" t="s">
        <v>8</v>
      </c>
      <c r="FV3" s="23" t="s">
        <v>9</v>
      </c>
      <c r="FW3" s="23" t="s">
        <v>10</v>
      </c>
      <c r="FX3" s="91" t="s">
        <v>8</v>
      </c>
      <c r="FY3" s="91" t="s">
        <v>9</v>
      </c>
      <c r="FZ3" s="91" t="s">
        <v>10</v>
      </c>
    </row>
    <row r="4" spans="1:182" s="25" customFormat="1" ht="79.5" customHeight="1" x14ac:dyDescent="0.2">
      <c r="A4" s="24" t="s">
        <v>80</v>
      </c>
      <c r="B4" s="24"/>
      <c r="C4" s="24" t="str">
        <f>+CONCATENATE(C2,C3)</f>
        <v>WhiskyNacionales</v>
      </c>
      <c r="D4" s="24" t="str">
        <f>+CONCATENATE(C2,D3)</f>
        <v>WhiskyImportados</v>
      </c>
      <c r="E4" s="24" t="str">
        <f>+CONCATENATE(C2,E3)</f>
        <v>WhiskyTotal</v>
      </c>
      <c r="F4" s="24" t="str">
        <f>+CONCATENATE(F2,F3)</f>
        <v>CervezaNacionales</v>
      </c>
      <c r="G4" s="24" t="str">
        <f>+CONCATENATE(F2,G3)</f>
        <v>CervezaImportados</v>
      </c>
      <c r="H4" s="24" t="str">
        <f>+CONCATENATE(F2,H3)</f>
        <v>CervezaTotal</v>
      </c>
      <c r="I4" s="24" t="str">
        <f>+CONCATENATE(I2,I3)</f>
        <v>Bebidas Base JugosNacionales</v>
      </c>
      <c r="J4" s="24" t="str">
        <f>+CONCATENATE(I2,J3)</f>
        <v>Bebidas Base JugosImportados</v>
      </c>
      <c r="K4" s="24" t="str">
        <f>+CONCATENATE(I2,K3)</f>
        <v>Bebidas Base JugosTotal</v>
      </c>
      <c r="L4" s="24" t="str">
        <f>+CONCATENATE(L2,L3)</f>
        <v>Bebidas Cola y otros refrescosNacionales</v>
      </c>
      <c r="M4" s="24" t="str">
        <f>+CONCATENATE(L2,M3)</f>
        <v>Bebidas Cola y otros refrescosImportados</v>
      </c>
      <c r="N4" s="24" t="str">
        <f>+CONCATENATE(L2,N3)</f>
        <v>Bebidas Cola y otros refrescosTotal</v>
      </c>
      <c r="O4" s="24" t="str">
        <f>+CONCATENATE(O2,O3)</f>
        <v>Agua Mineral y sodasNacionales</v>
      </c>
      <c r="P4" s="24" t="str">
        <f>+CONCATENATE(O2,P3)</f>
        <v>Agua Mineral y sodasImportados</v>
      </c>
      <c r="Q4" s="24" t="str">
        <f>+CONCATENATE(O2,Q3)</f>
        <v>Agua Mineral y sodasTotal</v>
      </c>
      <c r="R4" s="24" t="str">
        <f>+CONCATENATE(R2,R3)</f>
        <v>MaltasNacionales</v>
      </c>
      <c r="S4" s="24" t="str">
        <f>+CONCATENATE(R2,S3)</f>
        <v>MaltasImportados</v>
      </c>
      <c r="T4" s="24" t="str">
        <f>+CONCATENATE(R2,T3)</f>
        <v>MaltasTotal</v>
      </c>
      <c r="U4" s="24" t="str">
        <f>+CONCATENATE(U2,U3)</f>
        <v>ChampagneNacionales</v>
      </c>
      <c r="V4" s="24" t="str">
        <f>+CONCATENATE(U2,V3)</f>
        <v>ChampagneImportados</v>
      </c>
      <c r="W4" s="24" t="str">
        <f>+CONCATENATE(U2,W3)</f>
        <v>ChampagneTotal</v>
      </c>
      <c r="X4" s="24" t="str">
        <f>+CONCATENATE(X2,X3)</f>
        <v>VermouthNacionales</v>
      </c>
      <c r="Y4" s="24" t="str">
        <f>+CONCATENATE(X2,Y3)</f>
        <v>VermouthImportados</v>
      </c>
      <c r="Z4" s="24" t="str">
        <f>+CONCATENATE(X2,Z3)</f>
        <v>VermouthTotal</v>
      </c>
      <c r="AA4" s="24" t="str">
        <f>+CONCATENATE(AA2,AA3)</f>
        <v>Grappas Cañas y AmargasNacionales</v>
      </c>
      <c r="AB4" s="24" t="str">
        <f>+CONCATENATE(AA2,AB3)</f>
        <v>Grappas Cañas y AmargasImportados</v>
      </c>
      <c r="AC4" s="24" t="str">
        <f>+CONCATENATE(AA2,AC3)</f>
        <v>Grappas Cañas y AmargasTotal</v>
      </c>
      <c r="AD4" s="24" t="str">
        <f>+CONCATENATE(AD2,AD3)</f>
        <v>Demás Bienes Num. 1Nacionales</v>
      </c>
      <c r="AE4" s="24" t="str">
        <f>+CONCATENATE(AD2,AE3)</f>
        <v>Demás Bienes Num. 1Importados</v>
      </c>
      <c r="AF4" s="24" t="str">
        <f>+CONCATENATE(AD2,AF3)</f>
        <v>Demás Bienes Num. 1Total</v>
      </c>
      <c r="AG4" s="24" t="str">
        <f>+CONCATENATE(AG2,AG3)</f>
        <v>Demás Bienes Num. 4Nacionales</v>
      </c>
      <c r="AH4" s="24" t="str">
        <f>+CONCATENATE(AG2,AH3)</f>
        <v>Demás Bienes Num. 4Importados</v>
      </c>
      <c r="AI4" s="24" t="str">
        <f>+CONCATENATE(AG2,AI3)</f>
        <v>Demás Bienes Num. 4Total</v>
      </c>
      <c r="AJ4" s="24" t="str">
        <f>+CONCATENATE(AJ2,AJ3)</f>
        <v>Amargos y aperitivos sin alcoholNacionales</v>
      </c>
      <c r="AK4" s="24" t="str">
        <f>+CONCATENATE(AJ2,AK3)</f>
        <v>Amargos y aperitivos sin alcoholImportados</v>
      </c>
      <c r="AL4" s="24" t="str">
        <f>+CONCATENATE(AJ2,AL3)</f>
        <v>Amargos y aperitivos sin alcoholTotal</v>
      </c>
      <c r="AM4" s="24" t="s">
        <v>148</v>
      </c>
      <c r="AN4" s="24" t="s">
        <v>149</v>
      </c>
      <c r="AO4" s="24" t="s">
        <v>150</v>
      </c>
      <c r="AP4" s="24" t="s">
        <v>153</v>
      </c>
      <c r="AQ4" s="24" t="s">
        <v>154</v>
      </c>
      <c r="AR4" s="24" t="s">
        <v>155</v>
      </c>
      <c r="AS4" s="24" t="str">
        <f>+CONCATENATE(AS2,AS3)</f>
        <v>LubricantesNacionales</v>
      </c>
      <c r="AT4" s="24" t="str">
        <f>+CONCATENATE(AS2,AT3)</f>
        <v>LubricantesImportados</v>
      </c>
      <c r="AU4" s="24" t="str">
        <f>+CONCATENATE(AS2,AU3)</f>
        <v>LubricantesTotal</v>
      </c>
      <c r="AV4" s="24" t="str">
        <f>+CONCATENATE(AV2,AV3)</f>
        <v>Grasas lubricantesNacionales</v>
      </c>
      <c r="AW4" s="24" t="str">
        <f>+CONCATENATE(AV2,AW3)</f>
        <v>Grasas lubricantesImportados</v>
      </c>
      <c r="AX4" s="24" t="str">
        <f>+CONCATENATE(AV2,AX3)</f>
        <v>Grasas lubricantesTotal</v>
      </c>
      <c r="AY4" s="24" t="str">
        <f>+CONCATENATE(AY2,AY3)</f>
        <v>CigarrillosNacionales</v>
      </c>
      <c r="AZ4" s="24" t="str">
        <f>+CONCATENATE(AY2,AZ3)</f>
        <v>CigarrillosImportados</v>
      </c>
      <c r="BA4" s="24" t="str">
        <f>+CONCATENATE(AY2,BA3)</f>
        <v>CigarrillosTotal</v>
      </c>
      <c r="BB4" s="24" t="str">
        <f>+CONCATENATE(BB2,BB3)</f>
        <v>TabacosNacionales</v>
      </c>
      <c r="BC4" s="24" t="str">
        <f>+CONCATENATE(BB2,BC3)</f>
        <v>TabacosImportados</v>
      </c>
      <c r="BD4" s="24" t="str">
        <f>+CONCATENATE(BB2,BD3)</f>
        <v>TabacosTotal</v>
      </c>
      <c r="BE4" s="24" t="str">
        <f>+CONCATENATE(BE2,BE3)</f>
        <v>Camiones y tracto camiones no eléctricos (Cat. A1)Nacionales</v>
      </c>
      <c r="BF4" s="24" t="str">
        <f>+CONCATENATE(BE2,BF3)</f>
        <v>Camiones y tracto camiones no eléctricos (Cat. A1)Importados</v>
      </c>
      <c r="BG4" s="24" t="str">
        <f>+CONCATENATE(BE2,BG3)</f>
        <v>Camiones y tracto camiones no eléctricos (Cat. A1)Total</v>
      </c>
      <c r="BH4" s="24" t="str">
        <f>+CONCATENATE(BH2,BH3)</f>
        <v>Camiones y tracto camiones eléctricos (Cat. A1-E)Nacionales</v>
      </c>
      <c r="BI4" s="24" t="str">
        <f>+CONCATENATE(BH2,BI3)</f>
        <v>Camiones y tracto camiones eléctricos (Cat. A1-E)Importados</v>
      </c>
      <c r="BJ4" s="24" t="str">
        <f>+CONCATENATE(BH2,BJ3)</f>
        <v>Camiones y tracto camiones eléctricos (Cat. A1-E)Total</v>
      </c>
      <c r="BK4" s="24" t="str">
        <f>+CONCATENATE(BK2,BK3)</f>
        <v>Vehiculos de transporte de carga y pasajeros no eléctricos no comprendidos en A1 y A6 (Cat. A2)Nacionales</v>
      </c>
      <c r="BL4" s="24" t="str">
        <f>+CONCATENATE(BK2,BL3)</f>
        <v>Vehiculos de transporte de carga y pasajeros no eléctricos no comprendidos en A1 y A6 (Cat. A2)Importados</v>
      </c>
      <c r="BM4" s="24" t="str">
        <f>+CONCATENATE(BK2,BM3)</f>
        <v>Vehiculos de transporte de carga y pasajeros no eléctricos no comprendidos en A1 y A6 (Cat. A2)Total</v>
      </c>
      <c r="BN4" s="24" t="str">
        <f>+CONCATENATE(BN2,BN3)</f>
        <v>Vehiculos de transporte de carga y pasajeros eléctricos no comprendidos en A1 y A6 (Cat. A2-E)Nacionales</v>
      </c>
      <c r="BO4" s="24" t="str">
        <f>+CONCATENATE(BN2,BO3)</f>
        <v>Vehiculos de transporte de carga y pasajeros eléctricos no comprendidos en A1 y A6 (Cat. A2-E)Importados</v>
      </c>
      <c r="BP4" s="24" t="str">
        <f>+CONCATENATE(BN2,BP3)</f>
        <v>Vehiculos de transporte de carga y pasajeros eléctricos no comprendidos en A1 y A6 (Cat. A2-E)Total</v>
      </c>
      <c r="BQ4" s="24" t="str">
        <f>+CONCATENATE(BQ2,BQ3)</f>
        <v>Vehiculos de transporte de carga y pasajeros con motor hasta 1.600 cc no eléctricos (Cat. A3)Nacionales</v>
      </c>
      <c r="BR4" s="24" t="str">
        <f>+CONCATENATE(BQ2,BR3)</f>
        <v>Vehiculos de transporte de carga y pasajeros con motor hasta 1.600 cc no eléctricos (Cat. A3)Importados</v>
      </c>
      <c r="BS4" s="24" t="str">
        <f>+CONCATENATE(BQ2,BS3)</f>
        <v>Vehiculos de transporte de carga y pasajeros con motor hasta 1.600 cc no eléctricos (Cat. A3)Total</v>
      </c>
      <c r="BT4" s="24" t="str">
        <f>+CONCATENATE(BT2,BT3)</f>
        <v>Vehiculos de transporte de carga y pasajeros con motor hasta 1.600 cc eléctricos (Cat. A3-E)Nacionales</v>
      </c>
      <c r="BU4" s="24" t="str">
        <f>+CONCATENATE(BT2,BU3)</f>
        <v>Vehiculos de transporte de carga y pasajeros con motor hasta 1.600 cc eléctricos (Cat. A3-E)Importados</v>
      </c>
      <c r="BV4" s="24" t="str">
        <f>+CONCATENATE(BT2,BV3)</f>
        <v>Vehiculos de transporte de carga y pasajeros con motor hasta 1.600 cc eléctricos (Cat. A3-E)Total</v>
      </c>
      <c r="BW4" s="24" t="str">
        <f>+CONCATENATE(BW2,BW3)</f>
        <v>Vehiculos de transporte de carga y pasajeros con motor hasta 1.600 cc híbridos (Cat. A3-H)Nacionales</v>
      </c>
      <c r="BX4" s="24" t="str">
        <f>+CONCATENATE(BW2,BX3)</f>
        <v>Vehiculos de transporte de carga y pasajeros con motor hasta 1.600 cc híbridos (Cat. A3-H)Importados</v>
      </c>
      <c r="BY4" s="24" t="str">
        <f>+CONCATENATE(BW2,BY3)</f>
        <v>Vehiculos de transporte de carga y pasajeros con motor hasta 1.600 cc híbridos (Cat. A3-H)Total</v>
      </c>
      <c r="BZ4" s="24" t="str">
        <f>+CONCATENATE(BZ2,BZ3)</f>
        <v>Vehiculos de transporte de carga y pasajeros con motor de más de 1.600 cc y hasta 3.500 cc no eléctricos (Cat. A4)Nacionales</v>
      </c>
      <c r="CA4" s="24" t="str">
        <f>+CONCATENATE(BZ2,CA3)</f>
        <v>Vehiculos de transporte de carga y pasajeros con motor de más de 1.600 cc y hasta 3.500 cc no eléctricos (Cat. A4)Importados</v>
      </c>
      <c r="CB4" s="24" t="str">
        <f>+CONCATENATE(BZ2,CB3)</f>
        <v>Vehiculos de transporte de carga y pasajeros con motor de más de 1.600 cc y hasta 3.500 cc no eléctricos (Cat. A4)Total</v>
      </c>
      <c r="CC4" s="24" t="str">
        <f>+CONCATENATE(CC2,CC3)</f>
        <v>Vehiculos de transporte de carga y pasajeros con motor de más de 1.600 cc y hasta 3.500 cc híbridos (Cat. A4-H)Nacionales</v>
      </c>
      <c r="CD4" s="24" t="str">
        <f>+CONCATENATE(CC2,CD3)</f>
        <v>Vehiculos de transporte de carga y pasajeros con motor de más de 1.600 cc y hasta 3.500 cc híbridos (Cat. A4-H)Importados</v>
      </c>
      <c r="CE4" s="24" t="str">
        <f>+CONCATENATE(CC2,CE3)</f>
        <v>Vehiculos de transporte de carga y pasajeros con motor de más de 1.600 cc y hasta 3.500 cc híbridos (Cat. A4-H)Total</v>
      </c>
      <c r="CF4" s="24" t="str">
        <f>+CONCATENATE(CF2,CF3)</f>
        <v>Vehiculos de transporte de carga y pasajeros con motor de más de 3.500 cc no eléctricos (Cat. A5)Nacionales</v>
      </c>
      <c r="CG4" s="24" t="str">
        <f>+CONCATENATE(CF2,CG3)</f>
        <v>Vehiculos de transporte de carga y pasajeros con motor de más de 3.500 cc no eléctricos (Cat. A5)Importados</v>
      </c>
      <c r="CH4" s="24" t="str">
        <f>+CONCATENATE(CF2,CH3)</f>
        <v>Vehiculos de transporte de carga y pasajeros con motor de más de 3.500 cc no eléctricos (Cat. A5)Total</v>
      </c>
      <c r="CI4" s="24" t="str">
        <f>+CONCATENATE(CI2,CI3)</f>
        <v>Triciclos motorizados con tara mayor a 250 kg no eléctricos (Cat. A6)Nacionales</v>
      </c>
      <c r="CJ4" s="24" t="str">
        <f>+CONCATENATE(CI2,CJ3)</f>
        <v>Triciclos motorizados con tara mayor a 250 kg no eléctricos (Cat. A6)Importados</v>
      </c>
      <c r="CK4" s="24" t="str">
        <f>+CONCATENATE(CI2,CK3)</f>
        <v>Triciclos motorizados con tara mayor a 250 kg no eléctricos (Cat. A6)Total</v>
      </c>
      <c r="CL4" s="24" t="str">
        <f>+CONCATENATE(CL2,CL3)</f>
        <v>Triciclos motorizados con tara mayor a 250 kg eléctricos (Cat. A6-E)Nacionales</v>
      </c>
      <c r="CM4" s="24" t="str">
        <f>+CONCATENATE(CL2,CM3)</f>
        <v>Triciclos motorizados con tara mayor a 250 kg eléctricos (Cat. A6-E)Importados</v>
      </c>
      <c r="CN4" s="24" t="str">
        <f>+CONCATENATE(CL2,CN3)</f>
        <v>Triciclos motorizados con tara mayor a 250 kg eléctricos (Cat. A6-E)Total</v>
      </c>
      <c r="CO4" s="24" t="str">
        <f>+CONCATENATE(CO2,CO3)</f>
        <v>Furgones de tara superior a 1.850 kg no eléctricos (Cat. B1)Nacionales</v>
      </c>
      <c r="CP4" s="24" t="str">
        <f>+CONCATENATE(CO2,CP3)</f>
        <v>Furgones de tara superior a 1.850 kg no eléctricos (Cat. B1)Importados</v>
      </c>
      <c r="CQ4" s="24" t="str">
        <f>+CONCATENATE(CO2,CQ3)</f>
        <v>Furgones de tara superior a 1.850 kg no eléctricos (Cat. B1)Total</v>
      </c>
      <c r="CR4" s="24" t="str">
        <f>+CONCATENATE(CR2,CR3)</f>
        <v>Furgones de tara superior a 1.850 kg eléctricos (Cat. B1-E)Nacionales</v>
      </c>
      <c r="CS4" s="24" t="str">
        <f>+CONCATENATE(CR2,CS3)</f>
        <v>Furgones de tara superior a 1.850 kg eléctricos (Cat. B1-E)Importados</v>
      </c>
      <c r="CT4" s="24" t="str">
        <f>+CONCATENATE(CR2,CT3)</f>
        <v>Furgones de tara superior a 1.850 kg eléctricos (Cat. B1-E)Total</v>
      </c>
      <c r="CU4" s="24" t="str">
        <f>+CONCATENATE(CU2,CU3)</f>
        <v>Furgones de tara hasta 1.850 kg no eléctricos (Cat. B2)Nacionales</v>
      </c>
      <c r="CV4" s="24" t="str">
        <f>+CONCATENATE(CU2,CV3)</f>
        <v>Furgones de tara hasta 1.850 kg no eléctricos (Cat. B2)Importados</v>
      </c>
      <c r="CW4" s="24" t="str">
        <f>+CONCATENATE(CU2,CW3)</f>
        <v>Furgones de tara hasta 1.850 kg no eléctricos (Cat. B2)Total</v>
      </c>
      <c r="CX4" s="24" t="str">
        <f>+CONCATENATE(CX2,CX3)</f>
        <v>Furgones de tara hasta 1.850 kg eléctricos (Cat. B2-E)Nacionales</v>
      </c>
      <c r="CY4" s="24" t="str">
        <f>+CONCATENATE(CX2,CY3)</f>
        <v>Furgones de tara hasta 1.850 kg eléctricos (Cat. B2-E)Importados</v>
      </c>
      <c r="CZ4" s="24" t="str">
        <f>+CONCATENATE(CX2,CZ3)</f>
        <v>Furgones de tara hasta 1.850 kg eléctricos (Cat. B2-E)Total</v>
      </c>
      <c r="DA4" s="24" t="str">
        <f>+CONCATENATE(DA2,DA3)</f>
        <v>Ómnibus y microómnibus no eléctricos (Cat. C)Nacionales</v>
      </c>
      <c r="DB4" s="24" t="str">
        <f>+CONCATENATE(DA2,DB3)</f>
        <v>Ómnibus y microómnibus no eléctricos (Cat. C)Importados</v>
      </c>
      <c r="DC4" s="24" t="str">
        <f>+CONCATENATE(DA2,DC3)</f>
        <v>Ómnibus y microómnibus no eléctricos (Cat. C)Total</v>
      </c>
      <c r="DD4" s="24" t="str">
        <f>+CONCATENATE(DD2,DD3)</f>
        <v>Ómnibus y microómnibus eléctricos (Cat. C-E)Nacionales</v>
      </c>
      <c r="DE4" s="24" t="str">
        <f>+CONCATENATE(DD2,DE3)</f>
        <v>Ómnibus y microómnibus eléctricos (Cat. C-E)Importados</v>
      </c>
      <c r="DF4" s="24" t="str">
        <f>+CONCATENATE(DD2,DF3)</f>
        <v>Ómnibus y microómnibus eléctricos (Cat. C-E)Total</v>
      </c>
      <c r="DG4" s="24" t="str">
        <f>+CONCATENATE(DG2,DG3)</f>
        <v>Maquinaria industrial, de construcción, vial, agropecuaria no eléctrica (Cat. D)Nacionales</v>
      </c>
      <c r="DH4" s="24" t="str">
        <f>+CONCATENATE(DG2,DH3)</f>
        <v>Maquinaria industrial, de construcción, vial, agropecuaria no eléctrica (Cat. D)Importados</v>
      </c>
      <c r="DI4" s="24" t="str">
        <f>+CONCATENATE(DG2,DI3)</f>
        <v>Maquinaria industrial, de construcción, vial, agropecuaria no eléctrica (Cat. D)Total</v>
      </c>
      <c r="DJ4" s="24" t="str">
        <f>+CONCATENATE(DJ2,DJ3)</f>
        <v>Maquinaria industrial, de construcción, vial, agropecuaria eléctrica (Cat. D-E)Nacionales</v>
      </c>
      <c r="DK4" s="24" t="str">
        <f>+CONCATENATE(DJ2,DK3)</f>
        <v>Maquinaria industrial, de construcción, vial, agropecuaria eléctrica (Cat. D-E)Importados</v>
      </c>
      <c r="DL4" s="24" t="str">
        <f>+CONCATENATE(DJ2,DL3)</f>
        <v>Maquinaria industrial, de construcción, vial, agropecuaria eléctrica (Cat. D-E)Total</v>
      </c>
      <c r="DM4" s="24" t="str">
        <f>+CONCATENATE(DM2,DM3)</f>
        <v>Locomotoras, automotores para vías férreas (Cat. E)Nacionales</v>
      </c>
      <c r="DN4" s="24" t="str">
        <f>+CONCATENATE(DM2,DN3)</f>
        <v>Locomotoras, automotores para vías férreas (Cat. E)Importados</v>
      </c>
      <c r="DO4" s="24" t="str">
        <f>+CONCATENATE(DM2,DO3)</f>
        <v>Locomotoras, automotores para vías férreas (Cat. E)Total</v>
      </c>
      <c r="DP4" s="24" t="str">
        <f>+CONCATENATE(DP2,DP3)</f>
        <v>Automóviles de pasajeros y sus derivados no eléctricos, no híbridos (Cat. F) Nacionales</v>
      </c>
      <c r="DQ4" s="24" t="str">
        <f>+CONCATENATE(DP2,DQ3)</f>
        <v>Automóviles de pasajeros y sus derivados no eléctricos, no híbridos (Cat. F) Importados</v>
      </c>
      <c r="DR4" s="24" t="str">
        <f>+CONCATENATE(DP2,DR3)</f>
        <v>Automóviles de pasajeros y sus derivados no eléctricos, no híbridos (Cat. F) Total</v>
      </c>
      <c r="DS4" s="24" t="str">
        <f>+CONCATENATE(DS2,DS3)</f>
        <v>Automóviles de pasajeros y sus derivados eléctricos (Cat. F-E) Nacionales</v>
      </c>
      <c r="DT4" s="24" t="str">
        <f>+CONCATENATE(DS2,DT3)</f>
        <v>Automóviles de pasajeros y sus derivados eléctricos (Cat. F-E) Importados</v>
      </c>
      <c r="DU4" s="24" t="str">
        <f>+CONCATENATE(DS2,DU3)</f>
        <v>Automóviles de pasajeros y sus derivados eléctricos (Cat. F-E) Total</v>
      </c>
      <c r="DV4" s="24" t="str">
        <f>+CONCATENATE(DV2,DV3)</f>
        <v>Automóviles de pasajeros y sus derivados híbridos (Cat. F-H) Nacionales</v>
      </c>
      <c r="DW4" s="24" t="str">
        <f>+CONCATENATE(DV2,DW3)</f>
        <v>Automóviles de pasajeros y sus derivados híbridos (Cat. F-H) Importados</v>
      </c>
      <c r="DX4" s="24" t="str">
        <f>+CONCATENATE(DV2,DX3)</f>
        <v>Automóviles de pasajeros y sus derivados híbridos (Cat. F-H) Total</v>
      </c>
      <c r="DY4" s="24" t="str">
        <f>+CONCATENATE(DY2,DY3)</f>
        <v>Automóviles con cilindrada de hasta 1.000 cc no híbridos (Cat. F1)Nacionales</v>
      </c>
      <c r="DZ4" s="24" t="str">
        <f>+CONCATENATE(DY2,DZ3)</f>
        <v>Automóviles con cilindrada de hasta 1.000 cc no híbridos (Cat. F1)Importados</v>
      </c>
      <c r="EA4" s="24" t="str">
        <f>+CONCATENATE(DY2,EA3)</f>
        <v>Automóviles con cilindrada de hasta 1.000 cc no híbridos (Cat. F1)Total</v>
      </c>
      <c r="EB4" s="24" t="str">
        <f>+CONCATENATE(EB2,EB3)</f>
        <v>Automóviles con cilindrada de hasta 1.000 cc híbridos (Cat. F1-H)Nacionales</v>
      </c>
      <c r="EC4" s="24" t="str">
        <f>+CONCATENATE(EB2,EC3)</f>
        <v>Automóviles con cilindrada de hasta 1.000 cc híbridos (Cat. F1-H)Importados</v>
      </c>
      <c r="ED4" s="24" t="str">
        <f>+CONCATENATE(EB2,ED3)</f>
        <v>Automóviles con cilindrada de hasta 1.000 cc híbridos (Cat. F1-H)Total</v>
      </c>
      <c r="EE4" s="24" t="str">
        <f>+CONCATENATE(EE2,EE3)</f>
        <v>Automóviles con cilindrada de más de 1.000 cc y hasta 1.500 cc no híbridos (Cat. F2)Nacionales</v>
      </c>
      <c r="EF4" s="24" t="str">
        <f>+CONCATENATE(EE2,EF3)</f>
        <v>Automóviles con cilindrada de más de 1.000 cc y hasta 1.500 cc no híbridos (Cat. F2)Importados</v>
      </c>
      <c r="EG4" s="24" t="str">
        <f>+CONCATENATE(EE2,EG3)</f>
        <v>Automóviles con cilindrada de más de 1.000 cc y hasta 1.500 cc no híbridos (Cat. F2)Total</v>
      </c>
      <c r="EH4" s="24" t="str">
        <f>+CONCATENATE(EH2,EH3)</f>
        <v>Automóviles con cilindrada de más de 1.000 cc y hasta 1.500 cc híbridos (Cat. F2-H)Nacionales</v>
      </c>
      <c r="EI4" s="24" t="str">
        <f>+CONCATENATE(EH2,EI3)</f>
        <v>Automóviles con cilindrada de más de 1.000 cc y hasta 1.500 cc híbridos (Cat. F2-H)Importados</v>
      </c>
      <c r="EJ4" s="24" t="str">
        <f>+CONCATENATE(EH2,EJ3)</f>
        <v>Automóviles con cilindrada de más de 1.000 cc y hasta 1.500 cc híbridos (Cat. F2-H)Total</v>
      </c>
      <c r="EK4" s="24" t="str">
        <f>+CONCATENATE(EK2,EK3)</f>
        <v>Automóviles con cilindrada de más de 1.500 cc y hasta 2.000 cc no híbridos (Cat. F3)Nacionales</v>
      </c>
      <c r="EL4" s="24" t="str">
        <f>+CONCATENATE(EK2,EL3)</f>
        <v>Automóviles con cilindrada de más de 1.500 cc y hasta 2.000 cc no híbridos (Cat. F3)Importados</v>
      </c>
      <c r="EM4" s="24" t="str">
        <f>+CONCATENATE(EK2,EM3)</f>
        <v>Automóviles con cilindrada de más de 1.500 cc y hasta 2.000 cc no híbridos (Cat. F3)Total</v>
      </c>
      <c r="EN4" s="24" t="str">
        <f>+CONCATENATE(EN2,EN3)</f>
        <v>Automóviles con cilindrada de más de 1.500 cc y hasta 2.000 cc híbridos (Cat. F3-H)Nacionales</v>
      </c>
      <c r="EO4" s="24" t="str">
        <f>+CONCATENATE(EN2,EO3)</f>
        <v>Automóviles con cilindrada de más de 1.500 cc y hasta 2.000 cc híbridos (Cat. F3-H)Importados</v>
      </c>
      <c r="EP4" s="24" t="str">
        <f>+CONCATENATE(EN2,EP3)</f>
        <v>Automóviles con cilindrada de más de 1.500 cc y hasta 2.000 cc híbridos (Cat. F3-H)Total</v>
      </c>
      <c r="EQ4" s="24" t="str">
        <f>+CONCATENATE(EQ2,EQ3)</f>
        <v>Automóviles con cilindrada de más de 2.000 cc y hasta 2.500 cc no híbridos (Cat. F4)Nacionales</v>
      </c>
      <c r="ER4" s="24" t="str">
        <f>+CONCATENATE(EQ2,ER3)</f>
        <v>Automóviles con cilindrada de más de 2.000 cc y hasta 2.500 cc no híbridos (Cat. F4)Importados</v>
      </c>
      <c r="ES4" s="24" t="str">
        <f>+CONCATENATE(EQ2,ES3)</f>
        <v>Automóviles con cilindrada de más de 2.000 cc y hasta 2.500 cc no híbridos (Cat. F4)Total</v>
      </c>
      <c r="ET4" s="24" t="str">
        <f>+CONCATENATE(ET2,ET3)</f>
        <v>Automóviles con cilindrada de más de 2.000 cc y hasta 2.500 cc híbridos (Cat. F4-H)Nacionales</v>
      </c>
      <c r="EU4" s="24" t="str">
        <f>+CONCATENATE(ET2,EU3)</f>
        <v>Automóviles con cilindrada de más de 2.000 cc y hasta 2.500 cc híbridos (Cat. F4-H)Importados</v>
      </c>
      <c r="EV4" s="24" t="str">
        <f>+CONCATENATE(ET2,EV3)</f>
        <v>Automóviles con cilindrada de más de 2.000 cc y hasta 2.500 cc híbridos (Cat. F4-H)Total</v>
      </c>
      <c r="EW4" s="24" t="str">
        <f>+CONCATENATE(EW2,EW3)</f>
        <v>Automóviles con cilindrada de más de 2.500 cc y hasta 3.000 cc no híbridos (Cat. F5)Nacionales</v>
      </c>
      <c r="EX4" s="24" t="str">
        <f>+CONCATENATE(EW2,EX3)</f>
        <v>Automóviles con cilindrada de más de 2.500 cc y hasta 3.000 cc no híbridos (Cat. F5)Importados</v>
      </c>
      <c r="EY4" s="24" t="str">
        <f>+CONCATENATE(EW2,EY3)</f>
        <v>Automóviles con cilindrada de más de 2.500 cc y hasta 3.000 cc no híbridos (Cat. F5)Total</v>
      </c>
      <c r="EZ4" s="24" t="str">
        <f>+CONCATENATE(EZ2,EZ3)</f>
        <v>Automóviles con cilindrada de más de 2.500 cc y hasta 3.000 cc híbridos (Cat. F5-H)Nacionales</v>
      </c>
      <c r="FA4" s="24" t="str">
        <f>+CONCATENATE(EZ2,FA3)</f>
        <v>Automóviles con cilindrada de más de 2.500 cc y hasta 3.000 cc híbridos (Cat. F5-H)Importados</v>
      </c>
      <c r="FB4" s="24" t="str">
        <f>+CONCATENATE(EZ2,FB3)</f>
        <v>Automóviles con cilindrada de más de 2.500 cc y hasta 3.000 cc híbridos (Cat. F5-H)Total</v>
      </c>
      <c r="FC4" s="24" t="str">
        <f>+CONCATENATE(FC2,FC3)</f>
        <v>Automóviles con cilindrada de más de 3.000 cc no híbridos (Cat. F6)Nacionales</v>
      </c>
      <c r="FD4" s="24" t="str">
        <f>+CONCATENATE(FC2,FD3)</f>
        <v>Automóviles con cilindrada de más de 3.000 cc no híbridos (Cat. F6)Importados</v>
      </c>
      <c r="FE4" s="24" t="str">
        <f>+CONCATENATE(FC2,FE3)</f>
        <v>Automóviles con cilindrada de más de 3.000 cc no híbridos (Cat. F6)Total</v>
      </c>
      <c r="FF4" s="24" t="str">
        <f>+CONCATENATE(FF2,FF3)</f>
        <v>Automóviles con cilindrada de más de 3.000 cc híbridos (Cat. F6-H)Nacionales</v>
      </c>
      <c r="FG4" s="24" t="str">
        <f>+CONCATENATE(FF2,FG3)</f>
        <v>Automóviles con cilindrada de más de 3.000 cc híbridos (Cat. F6-H)Importados</v>
      </c>
      <c r="FH4" s="24" t="str">
        <f>+CONCATENATE(FF2,FH3)</f>
        <v>Automóviles con cilindrada de más de 3.000 cc híbridos (Cat. F6-H)Total</v>
      </c>
      <c r="FI4" s="24" t="str">
        <f>+CONCATENATE(FI2,FI3)</f>
        <v>Motocicletas y similares eléctricos (Cat. G-E)Nacionales</v>
      </c>
      <c r="FJ4" s="24" t="str">
        <f>+CONCATENATE(FI2,FJ3)</f>
        <v>Motocicletas y similares eléctricos (Cat. G-E)Importados</v>
      </c>
      <c r="FK4" s="24" t="str">
        <f>+CONCATENATE(FI2,FK3)</f>
        <v>Motocicletas y similares eléctricos (Cat. G-E)Total</v>
      </c>
      <c r="FL4" s="24" t="str">
        <f>+CONCATENATE(FL2,FL3)</f>
        <v>Motocicletas y similares con cilindarada de hasta 125 cc no híbridos (Cat. G1)Nacionales</v>
      </c>
      <c r="FM4" s="24" t="str">
        <f>+CONCATENATE(FL2,FM3)</f>
        <v>Motocicletas y similares con cilindarada de hasta 125 cc no híbridos (Cat. G1)Importados</v>
      </c>
      <c r="FN4" s="24" t="str">
        <f>+CONCATENATE(FL2,FN3)</f>
        <v>Motocicletas y similares con cilindarada de hasta 125 cc no híbridos (Cat. G1)Total</v>
      </c>
      <c r="FO4" s="24" t="str">
        <f>+CONCATENATE(FO2,FO3)</f>
        <v>Motocicletas y similares con cilindarada de más de 125 cc no híbridos (Cat. G2)Nacionales</v>
      </c>
      <c r="FP4" s="24" t="str">
        <f>+CONCATENATE(FO2,FP3)</f>
        <v>Motocicletas y similares con cilindarada de más de 125 cc no híbridos (Cat. G2)Importados</v>
      </c>
      <c r="FQ4" s="24" t="str">
        <f>+CONCATENATE(FO2,FQ3)</f>
        <v>Motocicletas y similares con cilindarada de más de 125 cc no híbridos (Cat. G2)Total</v>
      </c>
      <c r="FR4" s="24" t="str">
        <f>+CONCATENATE(FR2,FR3)</f>
        <v>Sillas para discapacitados eléctricas (Cat. H-E)Nacionales</v>
      </c>
      <c r="FS4" s="24" t="str">
        <f>+CONCATENATE(FR2,FS3)</f>
        <v>Sillas para discapacitados eléctricas (Cat. H-E)Importados</v>
      </c>
      <c r="FT4" s="24" t="str">
        <f>+CONCATENATE(FR2,FT3)</f>
        <v>Sillas para discapacitados eléctricas (Cat. H-E)Total</v>
      </c>
      <c r="FU4" s="24" t="str">
        <f>+CONCATENATE(FU2,FU3)</f>
        <v>Restantes automotores no eléctricos, no híbridos (Cat. I)Nacionales</v>
      </c>
      <c r="FV4" s="24" t="str">
        <f>+CONCATENATE(FU2,FV3)</f>
        <v>Restantes automotores no eléctricos, no híbridos (Cat. I)Importados</v>
      </c>
      <c r="FW4" s="24" t="str">
        <f>+CONCATENATE(FU2,FW3)</f>
        <v>Restantes automotores no eléctricos, no híbridos (Cat. I)Total</v>
      </c>
      <c r="FX4" s="24" t="str">
        <f>+CONCATENATE(FX2,FX3)</f>
        <v>Restantes automotores eléctricos (Cat. I-E)Nacionales</v>
      </c>
      <c r="FY4" s="24" t="str">
        <f>+CONCATENATE(FX2,FY3)</f>
        <v>Restantes automotores eléctricos (Cat. I-E)Importados</v>
      </c>
      <c r="FZ4" s="24" t="str">
        <f>+CONCATENATE(FX2,FZ3)</f>
        <v>Restantes automotores eléctricos (Cat. I-E)Total</v>
      </c>
    </row>
    <row r="5" spans="1:182" s="25" customFormat="1" ht="51" customHeight="1" x14ac:dyDescent="0.2">
      <c r="A5" s="24" t="s">
        <v>85</v>
      </c>
      <c r="B5" s="24"/>
      <c r="C5" s="24" t="s">
        <v>88</v>
      </c>
      <c r="D5" s="24" t="s">
        <v>88</v>
      </c>
      <c r="E5" s="24" t="s">
        <v>88</v>
      </c>
      <c r="F5" s="24" t="s">
        <v>88</v>
      </c>
      <c r="G5" s="24" t="s">
        <v>88</v>
      </c>
      <c r="H5" s="24" t="s">
        <v>88</v>
      </c>
      <c r="I5" s="24" t="s">
        <v>88</v>
      </c>
      <c r="J5" s="24" t="s">
        <v>88</v>
      </c>
      <c r="K5" s="24" t="s">
        <v>88</v>
      </c>
      <c r="L5" s="24" t="s">
        <v>88</v>
      </c>
      <c r="M5" s="24" t="s">
        <v>88</v>
      </c>
      <c r="N5" s="24" t="s">
        <v>88</v>
      </c>
      <c r="O5" s="24" t="s">
        <v>88</v>
      </c>
      <c r="P5" s="24" t="s">
        <v>88</v>
      </c>
      <c r="Q5" s="24" t="s">
        <v>88</v>
      </c>
      <c r="R5" s="24" t="s">
        <v>88</v>
      </c>
      <c r="S5" s="24" t="s">
        <v>88</v>
      </c>
      <c r="T5" s="24" t="s">
        <v>88</v>
      </c>
      <c r="U5" s="24" t="s">
        <v>88</v>
      </c>
      <c r="V5" s="24" t="s">
        <v>88</v>
      </c>
      <c r="W5" s="24" t="s">
        <v>88</v>
      </c>
      <c r="X5" s="24" t="s">
        <v>88</v>
      </c>
      <c r="Y5" s="24" t="s">
        <v>88</v>
      </c>
      <c r="Z5" s="24" t="s">
        <v>88</v>
      </c>
      <c r="AA5" s="24" t="s">
        <v>88</v>
      </c>
      <c r="AB5" s="24" t="s">
        <v>88</v>
      </c>
      <c r="AC5" s="24" t="s">
        <v>88</v>
      </c>
      <c r="AD5" s="24" t="s">
        <v>88</v>
      </c>
      <c r="AE5" s="24" t="s">
        <v>88</v>
      </c>
      <c r="AF5" s="24" t="s">
        <v>88</v>
      </c>
      <c r="AG5" s="24" t="s">
        <v>88</v>
      </c>
      <c r="AH5" s="24" t="s">
        <v>88</v>
      </c>
      <c r="AI5" s="24" t="s">
        <v>88</v>
      </c>
      <c r="AJ5" s="24" t="s">
        <v>88</v>
      </c>
      <c r="AK5" s="24" t="s">
        <v>88</v>
      </c>
      <c r="AL5" s="24" t="s">
        <v>88</v>
      </c>
      <c r="AM5" s="24" t="s">
        <v>88</v>
      </c>
      <c r="AN5" s="24" t="s">
        <v>88</v>
      </c>
      <c r="AO5" s="24" t="s">
        <v>88</v>
      </c>
      <c r="AP5" s="24" t="s">
        <v>88</v>
      </c>
      <c r="AQ5" s="24" t="s">
        <v>88</v>
      </c>
      <c r="AR5" s="24" t="s">
        <v>88</v>
      </c>
      <c r="AS5" s="24" t="s">
        <v>88</v>
      </c>
      <c r="AT5" s="24" t="s">
        <v>88</v>
      </c>
      <c r="AU5" s="24" t="s">
        <v>88</v>
      </c>
      <c r="AV5" s="24" t="s">
        <v>142</v>
      </c>
      <c r="AW5" s="24" t="s">
        <v>142</v>
      </c>
      <c r="AX5" s="24" t="s">
        <v>142</v>
      </c>
      <c r="AY5" s="24" t="s">
        <v>90</v>
      </c>
      <c r="AZ5" s="24" t="s">
        <v>90</v>
      </c>
      <c r="BA5" s="24" t="s">
        <v>90</v>
      </c>
      <c r="BB5" s="24" t="s">
        <v>145</v>
      </c>
      <c r="BC5" s="24" t="s">
        <v>145</v>
      </c>
      <c r="BD5" s="24" t="s">
        <v>145</v>
      </c>
      <c r="BE5" s="24" t="s">
        <v>89</v>
      </c>
      <c r="BF5" s="24" t="s">
        <v>89</v>
      </c>
      <c r="BG5" s="24" t="s">
        <v>89</v>
      </c>
      <c r="BH5" s="24" t="s">
        <v>89</v>
      </c>
      <c r="BI5" s="24" t="s">
        <v>89</v>
      </c>
      <c r="BJ5" s="24" t="s">
        <v>89</v>
      </c>
      <c r="BK5" s="24" t="s">
        <v>89</v>
      </c>
      <c r="BL5" s="24" t="s">
        <v>89</v>
      </c>
      <c r="BM5" s="24" t="s">
        <v>89</v>
      </c>
      <c r="BN5" s="24" t="s">
        <v>89</v>
      </c>
      <c r="BO5" s="24" t="s">
        <v>89</v>
      </c>
      <c r="BP5" s="24" t="s">
        <v>89</v>
      </c>
      <c r="BQ5" s="24" t="s">
        <v>89</v>
      </c>
      <c r="BR5" s="24" t="s">
        <v>89</v>
      </c>
      <c r="BS5" s="24" t="s">
        <v>89</v>
      </c>
      <c r="BT5" s="24" t="s">
        <v>89</v>
      </c>
      <c r="BU5" s="24" t="s">
        <v>89</v>
      </c>
      <c r="BV5" s="24" t="s">
        <v>89</v>
      </c>
      <c r="BW5" s="24" t="s">
        <v>89</v>
      </c>
      <c r="BX5" s="24" t="s">
        <v>89</v>
      </c>
      <c r="BY5" s="24" t="s">
        <v>89</v>
      </c>
      <c r="BZ5" s="24" t="s">
        <v>89</v>
      </c>
      <c r="CA5" s="24" t="s">
        <v>89</v>
      </c>
      <c r="CB5" s="24" t="s">
        <v>89</v>
      </c>
      <c r="CC5" s="24" t="s">
        <v>89</v>
      </c>
      <c r="CD5" s="24" t="s">
        <v>89</v>
      </c>
      <c r="CE5" s="24" t="s">
        <v>89</v>
      </c>
      <c r="CF5" s="24" t="s">
        <v>89</v>
      </c>
      <c r="CG5" s="24" t="s">
        <v>89</v>
      </c>
      <c r="CH5" s="24" t="s">
        <v>89</v>
      </c>
      <c r="CI5" s="24" t="s">
        <v>89</v>
      </c>
      <c r="CJ5" s="24" t="s">
        <v>89</v>
      </c>
      <c r="CK5" s="24" t="s">
        <v>89</v>
      </c>
      <c r="CL5" s="24" t="s">
        <v>89</v>
      </c>
      <c r="CM5" s="24" t="s">
        <v>89</v>
      </c>
      <c r="CN5" s="24" t="s">
        <v>89</v>
      </c>
      <c r="CO5" s="24" t="s">
        <v>89</v>
      </c>
      <c r="CP5" s="24" t="s">
        <v>89</v>
      </c>
      <c r="CQ5" s="24" t="s">
        <v>89</v>
      </c>
      <c r="CR5" s="24" t="s">
        <v>89</v>
      </c>
      <c r="CS5" s="24" t="s">
        <v>89</v>
      </c>
      <c r="CT5" s="24" t="s">
        <v>89</v>
      </c>
      <c r="CU5" s="24" t="s">
        <v>89</v>
      </c>
      <c r="CV5" s="24" t="s">
        <v>89</v>
      </c>
      <c r="CW5" s="24" t="s">
        <v>89</v>
      </c>
      <c r="CX5" s="24" t="s">
        <v>89</v>
      </c>
      <c r="CY5" s="24" t="s">
        <v>89</v>
      </c>
      <c r="CZ5" s="24" t="s">
        <v>89</v>
      </c>
      <c r="DA5" s="24" t="s">
        <v>89</v>
      </c>
      <c r="DB5" s="24" t="s">
        <v>89</v>
      </c>
      <c r="DC5" s="24" t="s">
        <v>89</v>
      </c>
      <c r="DD5" s="24" t="s">
        <v>89</v>
      </c>
      <c r="DE5" s="24" t="s">
        <v>89</v>
      </c>
      <c r="DF5" s="24" t="s">
        <v>89</v>
      </c>
      <c r="DG5" s="24" t="s">
        <v>89</v>
      </c>
      <c r="DH5" s="24" t="s">
        <v>89</v>
      </c>
      <c r="DI5" s="24" t="s">
        <v>89</v>
      </c>
      <c r="DJ5" s="24" t="s">
        <v>89</v>
      </c>
      <c r="DK5" s="24" t="s">
        <v>89</v>
      </c>
      <c r="DL5" s="24" t="s">
        <v>89</v>
      </c>
      <c r="DM5" s="24" t="s">
        <v>89</v>
      </c>
      <c r="DN5" s="24" t="s">
        <v>89</v>
      </c>
      <c r="DO5" s="24" t="s">
        <v>89</v>
      </c>
      <c r="DP5" s="24" t="s">
        <v>89</v>
      </c>
      <c r="DQ5" s="24" t="s">
        <v>89</v>
      </c>
      <c r="DR5" s="24" t="s">
        <v>89</v>
      </c>
      <c r="DS5" s="24" t="s">
        <v>89</v>
      </c>
      <c r="DT5" s="24" t="s">
        <v>89</v>
      </c>
      <c r="DU5" s="24" t="s">
        <v>89</v>
      </c>
      <c r="DV5" s="24" t="s">
        <v>89</v>
      </c>
      <c r="DW5" s="24" t="s">
        <v>89</v>
      </c>
      <c r="DX5" s="24" t="s">
        <v>89</v>
      </c>
      <c r="DY5" s="24" t="s">
        <v>89</v>
      </c>
      <c r="DZ5" s="24" t="s">
        <v>89</v>
      </c>
      <c r="EA5" s="24" t="s">
        <v>89</v>
      </c>
      <c r="EB5" s="24" t="s">
        <v>89</v>
      </c>
      <c r="EC5" s="24" t="s">
        <v>89</v>
      </c>
      <c r="ED5" s="24" t="s">
        <v>89</v>
      </c>
      <c r="EE5" s="24" t="s">
        <v>89</v>
      </c>
      <c r="EF5" s="24" t="s">
        <v>89</v>
      </c>
      <c r="EG5" s="24" t="s">
        <v>89</v>
      </c>
      <c r="EH5" s="24" t="s">
        <v>89</v>
      </c>
      <c r="EI5" s="24" t="s">
        <v>89</v>
      </c>
      <c r="EJ5" s="24" t="s">
        <v>89</v>
      </c>
      <c r="EK5" s="24" t="s">
        <v>89</v>
      </c>
      <c r="EL5" s="24" t="s">
        <v>89</v>
      </c>
      <c r="EM5" s="24" t="s">
        <v>89</v>
      </c>
      <c r="EN5" s="24" t="s">
        <v>89</v>
      </c>
      <c r="EO5" s="24" t="s">
        <v>89</v>
      </c>
      <c r="EP5" s="24" t="s">
        <v>89</v>
      </c>
      <c r="EQ5" s="24" t="s">
        <v>89</v>
      </c>
      <c r="ER5" s="24" t="s">
        <v>89</v>
      </c>
      <c r="ES5" s="24" t="s">
        <v>89</v>
      </c>
      <c r="ET5" s="24" t="s">
        <v>89</v>
      </c>
      <c r="EU5" s="24" t="s">
        <v>89</v>
      </c>
      <c r="EV5" s="24" t="s">
        <v>89</v>
      </c>
      <c r="EW5" s="24" t="s">
        <v>89</v>
      </c>
      <c r="EX5" s="24" t="s">
        <v>89</v>
      </c>
      <c r="EY5" s="24" t="s">
        <v>89</v>
      </c>
      <c r="EZ5" s="24" t="s">
        <v>89</v>
      </c>
      <c r="FA5" s="24" t="s">
        <v>89</v>
      </c>
      <c r="FB5" s="24" t="s">
        <v>89</v>
      </c>
      <c r="FC5" s="24" t="s">
        <v>89</v>
      </c>
      <c r="FD5" s="24" t="s">
        <v>89</v>
      </c>
      <c r="FE5" s="24" t="s">
        <v>89</v>
      </c>
      <c r="FF5" s="24" t="s">
        <v>89</v>
      </c>
      <c r="FG5" s="24" t="s">
        <v>89</v>
      </c>
      <c r="FH5" s="24" t="s">
        <v>89</v>
      </c>
      <c r="FI5" s="24" t="s">
        <v>89</v>
      </c>
      <c r="FJ5" s="24" t="s">
        <v>89</v>
      </c>
      <c r="FK5" s="24" t="s">
        <v>89</v>
      </c>
      <c r="FL5" s="24" t="s">
        <v>89</v>
      </c>
      <c r="FM5" s="24" t="s">
        <v>89</v>
      </c>
      <c r="FN5" s="24" t="s">
        <v>89</v>
      </c>
      <c r="FO5" s="24" t="s">
        <v>89</v>
      </c>
      <c r="FP5" s="24" t="s">
        <v>89</v>
      </c>
      <c r="FQ5" s="24" t="s">
        <v>89</v>
      </c>
      <c r="FR5" s="24" t="s">
        <v>89</v>
      </c>
      <c r="FS5" s="24" t="s">
        <v>89</v>
      </c>
      <c r="FT5" s="24" t="s">
        <v>89</v>
      </c>
      <c r="FU5" s="24" t="s">
        <v>89</v>
      </c>
      <c r="FV5" s="24" t="s">
        <v>89</v>
      </c>
      <c r="FW5" s="24" t="s">
        <v>89</v>
      </c>
      <c r="FX5" s="24" t="s">
        <v>89</v>
      </c>
      <c r="FY5" s="24" t="s">
        <v>89</v>
      </c>
      <c r="FZ5" s="24" t="s">
        <v>89</v>
      </c>
    </row>
    <row r="6" spans="1:182" s="27" customFormat="1" ht="42.75" customHeight="1" x14ac:dyDescent="0.2">
      <c r="A6" s="26" t="s">
        <v>82</v>
      </c>
      <c r="B6" s="26"/>
      <c r="C6" s="125" t="s">
        <v>103</v>
      </c>
      <c r="D6" s="125"/>
      <c r="E6" s="125"/>
      <c r="F6" s="125" t="s">
        <v>104</v>
      </c>
      <c r="G6" s="125"/>
      <c r="H6" s="125"/>
      <c r="I6" s="125" t="s">
        <v>136</v>
      </c>
      <c r="J6" s="125"/>
      <c r="K6" s="125"/>
      <c r="L6" s="125" t="s">
        <v>136</v>
      </c>
      <c r="M6" s="125"/>
      <c r="N6" s="125"/>
      <c r="O6" s="125" t="s">
        <v>136</v>
      </c>
      <c r="P6" s="125"/>
      <c r="Q6" s="125"/>
      <c r="R6" s="125" t="s">
        <v>136</v>
      </c>
      <c r="S6" s="125"/>
      <c r="T6" s="125"/>
      <c r="U6" s="125" t="s">
        <v>137</v>
      </c>
      <c r="V6" s="125"/>
      <c r="W6" s="125"/>
      <c r="X6" s="125" t="s">
        <v>139</v>
      </c>
      <c r="Y6" s="125"/>
      <c r="Z6" s="125"/>
      <c r="AA6" s="125" t="s">
        <v>139</v>
      </c>
      <c r="AB6" s="125"/>
      <c r="AC6" s="125"/>
      <c r="AD6" s="125" t="s">
        <v>139</v>
      </c>
      <c r="AE6" s="125"/>
      <c r="AF6" s="125"/>
      <c r="AG6" s="125" t="s">
        <v>139</v>
      </c>
      <c r="AH6" s="125"/>
      <c r="AI6" s="125"/>
      <c r="AJ6" s="125" t="s">
        <v>140</v>
      </c>
      <c r="AK6" s="125"/>
      <c r="AL6" s="125"/>
      <c r="AM6" s="125" t="s">
        <v>152</v>
      </c>
      <c r="AN6" s="125"/>
      <c r="AO6" s="125"/>
      <c r="AP6" s="125" t="s">
        <v>151</v>
      </c>
      <c r="AQ6" s="125"/>
      <c r="AR6" s="125"/>
      <c r="AS6" s="125" t="s">
        <v>140</v>
      </c>
      <c r="AT6" s="125"/>
      <c r="AU6" s="125"/>
      <c r="AV6" s="125" t="s">
        <v>140</v>
      </c>
      <c r="AW6" s="125"/>
      <c r="AX6" s="125"/>
      <c r="AY6" s="125" t="s">
        <v>138</v>
      </c>
      <c r="AZ6" s="125"/>
      <c r="BA6" s="125"/>
      <c r="BB6" s="125" t="s">
        <v>138</v>
      </c>
      <c r="BC6" s="125"/>
      <c r="BD6" s="125"/>
      <c r="BE6" s="125" t="s">
        <v>130</v>
      </c>
      <c r="BF6" s="125"/>
      <c r="BG6" s="125"/>
      <c r="BH6" s="125" t="s">
        <v>130</v>
      </c>
      <c r="BI6" s="125"/>
      <c r="BJ6" s="125"/>
      <c r="BK6" s="125" t="s">
        <v>130</v>
      </c>
      <c r="BL6" s="125"/>
      <c r="BM6" s="125"/>
      <c r="BN6" s="125" t="s">
        <v>130</v>
      </c>
      <c r="BO6" s="125"/>
      <c r="BP6" s="125"/>
      <c r="BQ6" s="125" t="s">
        <v>130</v>
      </c>
      <c r="BR6" s="125"/>
      <c r="BS6" s="125"/>
      <c r="BT6" s="125" t="s">
        <v>130</v>
      </c>
      <c r="BU6" s="125"/>
      <c r="BV6" s="125"/>
      <c r="BW6" s="125" t="s">
        <v>130</v>
      </c>
      <c r="BX6" s="125"/>
      <c r="BY6" s="125"/>
      <c r="BZ6" s="125" t="s">
        <v>130</v>
      </c>
      <c r="CA6" s="125"/>
      <c r="CB6" s="125"/>
      <c r="CC6" s="125" t="s">
        <v>130</v>
      </c>
      <c r="CD6" s="125"/>
      <c r="CE6" s="125"/>
      <c r="CF6" s="125" t="s">
        <v>130</v>
      </c>
      <c r="CG6" s="125"/>
      <c r="CH6" s="125"/>
      <c r="CI6" s="125" t="s">
        <v>130</v>
      </c>
      <c r="CJ6" s="125"/>
      <c r="CK6" s="125"/>
      <c r="CL6" s="125" t="s">
        <v>130</v>
      </c>
      <c r="CM6" s="125"/>
      <c r="CN6" s="125"/>
      <c r="CO6" s="125" t="s">
        <v>130</v>
      </c>
      <c r="CP6" s="125"/>
      <c r="CQ6" s="125"/>
      <c r="CR6" s="125" t="s">
        <v>130</v>
      </c>
      <c r="CS6" s="125"/>
      <c r="CT6" s="125"/>
      <c r="CU6" s="125" t="s">
        <v>130</v>
      </c>
      <c r="CV6" s="125"/>
      <c r="CW6" s="125"/>
      <c r="CX6" s="125" t="s">
        <v>130</v>
      </c>
      <c r="CY6" s="125"/>
      <c r="CZ6" s="125"/>
      <c r="DA6" s="125" t="s">
        <v>130</v>
      </c>
      <c r="DB6" s="125"/>
      <c r="DC6" s="125"/>
      <c r="DD6" s="125" t="s">
        <v>130</v>
      </c>
      <c r="DE6" s="125"/>
      <c r="DF6" s="125"/>
      <c r="DG6" s="125" t="s">
        <v>130</v>
      </c>
      <c r="DH6" s="125"/>
      <c r="DI6" s="125"/>
      <c r="DJ6" s="125" t="s">
        <v>130</v>
      </c>
      <c r="DK6" s="125"/>
      <c r="DL6" s="125"/>
      <c r="DM6" s="125" t="s">
        <v>130</v>
      </c>
      <c r="DN6" s="125"/>
      <c r="DO6" s="125"/>
      <c r="DP6" s="125" t="s">
        <v>130</v>
      </c>
      <c r="DQ6" s="125"/>
      <c r="DR6" s="125"/>
      <c r="DS6" s="125" t="s">
        <v>130</v>
      </c>
      <c r="DT6" s="125"/>
      <c r="DU6" s="125"/>
      <c r="DV6" s="125" t="s">
        <v>130</v>
      </c>
      <c r="DW6" s="125"/>
      <c r="DX6" s="125"/>
      <c r="DY6" s="125" t="s">
        <v>130</v>
      </c>
      <c r="DZ6" s="125"/>
      <c r="EA6" s="125"/>
      <c r="EB6" s="125" t="s">
        <v>130</v>
      </c>
      <c r="EC6" s="125"/>
      <c r="ED6" s="125"/>
      <c r="EE6" s="125" t="s">
        <v>130</v>
      </c>
      <c r="EF6" s="125"/>
      <c r="EG6" s="125"/>
      <c r="EH6" s="125" t="s">
        <v>130</v>
      </c>
      <c r="EI6" s="125"/>
      <c r="EJ6" s="125"/>
      <c r="EK6" s="125" t="s">
        <v>130</v>
      </c>
      <c r="EL6" s="125"/>
      <c r="EM6" s="125"/>
      <c r="EN6" s="125" t="s">
        <v>130</v>
      </c>
      <c r="EO6" s="125"/>
      <c r="EP6" s="125"/>
      <c r="EQ6" s="125" t="s">
        <v>130</v>
      </c>
      <c r="ER6" s="125"/>
      <c r="ES6" s="125"/>
      <c r="ET6" s="125" t="s">
        <v>130</v>
      </c>
      <c r="EU6" s="125"/>
      <c r="EV6" s="125"/>
      <c r="EW6" s="125" t="s">
        <v>130</v>
      </c>
      <c r="EX6" s="125"/>
      <c r="EY6" s="125"/>
      <c r="EZ6" s="125" t="s">
        <v>130</v>
      </c>
      <c r="FA6" s="125"/>
      <c r="FB6" s="125"/>
      <c r="FC6" s="125" t="s">
        <v>130</v>
      </c>
      <c r="FD6" s="125"/>
      <c r="FE6" s="125"/>
      <c r="FF6" s="125" t="s">
        <v>130</v>
      </c>
      <c r="FG6" s="125"/>
      <c r="FH6" s="125"/>
      <c r="FI6" s="125" t="s">
        <v>130</v>
      </c>
      <c r="FJ6" s="125"/>
      <c r="FK6" s="125"/>
      <c r="FL6" s="125" t="s">
        <v>130</v>
      </c>
      <c r="FM6" s="125"/>
      <c r="FN6" s="125"/>
      <c r="FO6" s="125" t="s">
        <v>130</v>
      </c>
      <c r="FP6" s="125"/>
      <c r="FQ6" s="125"/>
      <c r="FR6" s="125" t="s">
        <v>130</v>
      </c>
      <c r="FS6" s="125"/>
      <c r="FT6" s="125"/>
      <c r="FU6" s="125" t="s">
        <v>130</v>
      </c>
      <c r="FV6" s="125"/>
      <c r="FW6" s="125"/>
      <c r="FX6" s="125" t="s">
        <v>130</v>
      </c>
      <c r="FY6" s="125"/>
      <c r="FZ6" s="125"/>
    </row>
    <row r="7" spans="1:182" x14ac:dyDescent="0.2">
      <c r="A7" s="28">
        <v>31778</v>
      </c>
      <c r="B7" s="28"/>
      <c r="C7" s="29">
        <v>239527</v>
      </c>
      <c r="D7" s="29">
        <v>22539</v>
      </c>
      <c r="E7" s="29">
        <f>+C7+D7</f>
        <v>262066</v>
      </c>
      <c r="F7" s="30">
        <v>8256687</v>
      </c>
      <c r="G7" s="30">
        <v>0</v>
      </c>
      <c r="H7" s="30">
        <f>+G7+F7</f>
        <v>8256687</v>
      </c>
      <c r="I7" s="42" t="s">
        <v>75</v>
      </c>
      <c r="J7" s="42" t="s">
        <v>75</v>
      </c>
      <c r="K7" s="32">
        <v>1132399</v>
      </c>
      <c r="L7" s="31" t="s">
        <v>75</v>
      </c>
      <c r="M7" s="31" t="s">
        <v>75</v>
      </c>
      <c r="N7" s="30">
        <v>13066742</v>
      </c>
      <c r="O7" s="31" t="s">
        <v>75</v>
      </c>
      <c r="P7" s="31" t="s">
        <v>75</v>
      </c>
      <c r="Q7" s="30">
        <v>8863610</v>
      </c>
      <c r="R7" s="31" t="s">
        <v>75</v>
      </c>
      <c r="S7" s="31" t="s">
        <v>75</v>
      </c>
      <c r="T7" s="32">
        <v>88567</v>
      </c>
      <c r="U7" s="31" t="s">
        <v>75</v>
      </c>
      <c r="V7" s="31" t="s">
        <v>75</v>
      </c>
      <c r="W7" s="31" t="s">
        <v>75</v>
      </c>
      <c r="X7" s="31" t="s">
        <v>75</v>
      </c>
      <c r="Y7" s="31" t="s">
        <v>75</v>
      </c>
      <c r="Z7" s="30">
        <v>124577</v>
      </c>
      <c r="AA7" s="31" t="s">
        <v>75</v>
      </c>
      <c r="AB7" s="31" t="s">
        <v>75</v>
      </c>
      <c r="AC7" s="30">
        <v>347740</v>
      </c>
      <c r="AD7" s="31" t="s">
        <v>75</v>
      </c>
      <c r="AE7" s="31" t="s">
        <v>75</v>
      </c>
      <c r="AF7" s="30">
        <v>21899</v>
      </c>
      <c r="AG7" s="42" t="s">
        <v>75</v>
      </c>
      <c r="AH7" s="42" t="s">
        <v>75</v>
      </c>
      <c r="AI7" s="32">
        <v>122372</v>
      </c>
      <c r="AJ7" s="31" t="s">
        <v>75</v>
      </c>
      <c r="AK7" s="31" t="s">
        <v>75</v>
      </c>
      <c r="AL7" s="31" t="s">
        <v>75</v>
      </c>
      <c r="AM7" s="31"/>
      <c r="AN7" s="31"/>
      <c r="AO7" s="31"/>
      <c r="AP7" s="31"/>
      <c r="AQ7" s="31"/>
      <c r="AR7" s="31"/>
      <c r="AS7" s="31" t="s">
        <v>75</v>
      </c>
      <c r="AT7" s="31" t="s">
        <v>75</v>
      </c>
      <c r="AU7" s="31" t="s">
        <v>75</v>
      </c>
      <c r="AV7" s="31" t="s">
        <v>75</v>
      </c>
      <c r="AW7" s="31" t="s">
        <v>75</v>
      </c>
      <c r="AX7" s="31" t="s">
        <v>75</v>
      </c>
      <c r="AY7" s="31" t="s">
        <v>75</v>
      </c>
      <c r="AZ7" s="31" t="s">
        <v>75</v>
      </c>
      <c r="BA7" s="31" t="s">
        <v>75</v>
      </c>
      <c r="BB7" s="31" t="s">
        <v>75</v>
      </c>
      <c r="BC7" s="31" t="s">
        <v>75</v>
      </c>
      <c r="BD7" s="31" t="s">
        <v>75</v>
      </c>
      <c r="BE7" s="113">
        <v>0</v>
      </c>
      <c r="BF7" s="113">
        <v>0</v>
      </c>
      <c r="BG7" s="113">
        <v>0</v>
      </c>
      <c r="BH7" s="113">
        <v>0</v>
      </c>
      <c r="BI7" s="113">
        <v>0</v>
      </c>
      <c r="BJ7" s="113">
        <v>0</v>
      </c>
      <c r="BK7" s="113">
        <v>0</v>
      </c>
      <c r="BL7" s="113">
        <v>0</v>
      </c>
      <c r="BM7" s="113">
        <v>0</v>
      </c>
      <c r="BN7" s="113">
        <v>0</v>
      </c>
      <c r="BO7" s="113">
        <v>0</v>
      </c>
      <c r="BP7" s="113">
        <v>0</v>
      </c>
      <c r="BQ7" s="113">
        <v>0</v>
      </c>
      <c r="BR7" s="113">
        <v>0</v>
      </c>
      <c r="BS7" s="113">
        <v>0</v>
      </c>
      <c r="BT7" s="113">
        <v>0</v>
      </c>
      <c r="BU7" s="113">
        <v>0</v>
      </c>
      <c r="BV7" s="113">
        <v>0</v>
      </c>
      <c r="BW7" s="113"/>
      <c r="BX7" s="113"/>
      <c r="BY7" s="113"/>
      <c r="BZ7" s="113">
        <v>0</v>
      </c>
      <c r="CA7" s="113">
        <v>0</v>
      </c>
      <c r="CB7" s="113">
        <v>0</v>
      </c>
      <c r="CC7" s="113"/>
      <c r="CD7" s="113"/>
      <c r="CE7" s="113"/>
      <c r="CF7" s="113">
        <v>0</v>
      </c>
      <c r="CG7" s="113">
        <v>0</v>
      </c>
      <c r="CH7" s="113">
        <v>0</v>
      </c>
      <c r="CI7" s="113">
        <v>0</v>
      </c>
      <c r="CJ7" s="113">
        <v>0</v>
      </c>
      <c r="CK7" s="113">
        <v>0</v>
      </c>
      <c r="CL7" s="113">
        <v>0</v>
      </c>
      <c r="CM7" s="113">
        <v>0</v>
      </c>
      <c r="CN7" s="113">
        <v>0</v>
      </c>
      <c r="CO7" s="113">
        <v>0</v>
      </c>
      <c r="CP7" s="113">
        <v>0</v>
      </c>
      <c r="CQ7" s="113">
        <v>0</v>
      </c>
      <c r="CR7" s="113">
        <v>0</v>
      </c>
      <c r="CS7" s="113">
        <v>0</v>
      </c>
      <c r="CT7" s="113">
        <v>0</v>
      </c>
      <c r="CU7" s="113">
        <v>0</v>
      </c>
      <c r="CV7" s="113">
        <v>0</v>
      </c>
      <c r="CW7" s="113">
        <v>0</v>
      </c>
      <c r="CX7" s="113">
        <v>0</v>
      </c>
      <c r="CY7" s="113">
        <v>0</v>
      </c>
      <c r="CZ7" s="113">
        <v>0</v>
      </c>
      <c r="DA7" s="113">
        <v>0</v>
      </c>
      <c r="DB7" s="113">
        <v>0</v>
      </c>
      <c r="DC7" s="113">
        <v>0</v>
      </c>
      <c r="DD7" s="113">
        <v>0</v>
      </c>
      <c r="DE7" s="113">
        <v>0</v>
      </c>
      <c r="DF7" s="113">
        <v>0</v>
      </c>
      <c r="DG7" s="113">
        <v>0</v>
      </c>
      <c r="DH7" s="113">
        <v>0</v>
      </c>
      <c r="DI7" s="113">
        <v>0</v>
      </c>
      <c r="DJ7" s="113">
        <v>0</v>
      </c>
      <c r="DK7" s="113">
        <v>0</v>
      </c>
      <c r="DL7" s="113">
        <v>0</v>
      </c>
      <c r="DM7" s="113">
        <v>0</v>
      </c>
      <c r="DN7" s="113">
        <v>0</v>
      </c>
      <c r="DO7" s="113">
        <v>0</v>
      </c>
      <c r="DP7" s="113">
        <v>0</v>
      </c>
      <c r="DQ7" s="113">
        <v>0</v>
      </c>
      <c r="DR7" s="113">
        <v>0</v>
      </c>
      <c r="DS7" s="113">
        <v>0</v>
      </c>
      <c r="DT7" s="113">
        <v>0</v>
      </c>
      <c r="DU7" s="113">
        <v>0</v>
      </c>
      <c r="DV7" s="113">
        <v>0</v>
      </c>
      <c r="DW7" s="113">
        <v>0</v>
      </c>
      <c r="DX7" s="113">
        <v>0</v>
      </c>
      <c r="DY7" s="113">
        <v>0</v>
      </c>
      <c r="DZ7" s="113">
        <v>0</v>
      </c>
      <c r="EA7" s="113">
        <v>0</v>
      </c>
      <c r="EB7" s="113">
        <v>0</v>
      </c>
      <c r="EC7" s="113">
        <v>0</v>
      </c>
      <c r="ED7" s="113">
        <v>0</v>
      </c>
      <c r="EE7" s="113">
        <v>0</v>
      </c>
      <c r="EF7" s="113">
        <v>0</v>
      </c>
      <c r="EG7" s="113">
        <v>0</v>
      </c>
      <c r="EH7" s="113">
        <v>0</v>
      </c>
      <c r="EI7" s="113">
        <v>0</v>
      </c>
      <c r="EJ7" s="113">
        <v>0</v>
      </c>
      <c r="EK7" s="113">
        <v>0</v>
      </c>
      <c r="EL7" s="113">
        <v>0</v>
      </c>
      <c r="EM7" s="113">
        <v>0</v>
      </c>
      <c r="EN7" s="113">
        <v>0</v>
      </c>
      <c r="EO7" s="113">
        <v>0</v>
      </c>
      <c r="EP7" s="113">
        <v>0</v>
      </c>
      <c r="EQ7" s="113">
        <v>0</v>
      </c>
      <c r="ER7" s="113">
        <v>0</v>
      </c>
      <c r="ES7" s="113">
        <v>0</v>
      </c>
      <c r="ET7" s="113">
        <v>0</v>
      </c>
      <c r="EU7" s="113">
        <v>0</v>
      </c>
      <c r="EV7" s="113">
        <v>0</v>
      </c>
      <c r="EW7" s="113">
        <v>0</v>
      </c>
      <c r="EX7" s="113">
        <v>0</v>
      </c>
      <c r="EY7" s="113">
        <v>0</v>
      </c>
      <c r="EZ7" s="113">
        <v>0</v>
      </c>
      <c r="FA7" s="113">
        <v>0</v>
      </c>
      <c r="FB7" s="113">
        <v>0</v>
      </c>
      <c r="FC7" s="113">
        <v>0</v>
      </c>
      <c r="FD7" s="113">
        <v>0</v>
      </c>
      <c r="FE7" s="113">
        <v>0</v>
      </c>
      <c r="FF7" s="113">
        <v>0</v>
      </c>
      <c r="FG7" s="113">
        <v>0</v>
      </c>
      <c r="FH7" s="113">
        <v>0</v>
      </c>
      <c r="FI7" s="113">
        <v>0</v>
      </c>
      <c r="FJ7" s="113">
        <v>0</v>
      </c>
      <c r="FK7" s="113">
        <v>0</v>
      </c>
      <c r="FL7" s="113">
        <v>0</v>
      </c>
      <c r="FM7" s="113">
        <v>0</v>
      </c>
      <c r="FN7" s="113">
        <v>0</v>
      </c>
      <c r="FO7" s="113">
        <v>0</v>
      </c>
      <c r="FP7" s="113">
        <v>0</v>
      </c>
      <c r="FQ7" s="113">
        <v>0</v>
      </c>
      <c r="FR7" s="113">
        <v>0</v>
      </c>
      <c r="FS7" s="113">
        <v>0</v>
      </c>
      <c r="FT7" s="113">
        <v>0</v>
      </c>
      <c r="FU7" s="113">
        <v>0</v>
      </c>
      <c r="FV7" s="113">
        <v>0</v>
      </c>
      <c r="FW7" s="113">
        <v>0</v>
      </c>
      <c r="FX7" s="32">
        <v>0</v>
      </c>
      <c r="FY7" s="30">
        <v>0</v>
      </c>
      <c r="FZ7" s="30">
        <v>0</v>
      </c>
    </row>
    <row r="8" spans="1:182" x14ac:dyDescent="0.2">
      <c r="A8" s="28">
        <v>31809</v>
      </c>
      <c r="B8" s="28"/>
      <c r="C8" s="29">
        <v>360297</v>
      </c>
      <c r="D8" s="29">
        <v>70272</v>
      </c>
      <c r="E8" s="29">
        <f t="shared" ref="E8:E71" si="0">+C8+D8</f>
        <v>430569</v>
      </c>
      <c r="F8" s="30">
        <v>8153467</v>
      </c>
      <c r="G8" s="30">
        <v>0</v>
      </c>
      <c r="H8" s="30">
        <f t="shared" ref="H8:H71" si="1">+G8+F8</f>
        <v>8153467</v>
      </c>
      <c r="I8" s="42" t="s">
        <v>75</v>
      </c>
      <c r="J8" s="42" t="s">
        <v>75</v>
      </c>
      <c r="K8" s="32">
        <v>1185236</v>
      </c>
      <c r="L8" s="31" t="s">
        <v>75</v>
      </c>
      <c r="M8" s="31" t="s">
        <v>75</v>
      </c>
      <c r="N8" s="30">
        <v>10998462</v>
      </c>
      <c r="O8" s="31" t="s">
        <v>75</v>
      </c>
      <c r="P8" s="31" t="s">
        <v>75</v>
      </c>
      <c r="Q8" s="30">
        <v>11488075</v>
      </c>
      <c r="R8" s="31" t="s">
        <v>75</v>
      </c>
      <c r="S8" s="31" t="s">
        <v>75</v>
      </c>
      <c r="T8" s="32">
        <v>99717</v>
      </c>
      <c r="U8" s="31" t="s">
        <v>75</v>
      </c>
      <c r="V8" s="31" t="s">
        <v>75</v>
      </c>
      <c r="W8" s="31" t="s">
        <v>75</v>
      </c>
      <c r="X8" s="31" t="s">
        <v>75</v>
      </c>
      <c r="Y8" s="31" t="s">
        <v>75</v>
      </c>
      <c r="Z8" s="30">
        <v>127655</v>
      </c>
      <c r="AA8" s="31" t="s">
        <v>75</v>
      </c>
      <c r="AB8" s="31" t="s">
        <v>75</v>
      </c>
      <c r="AC8" s="30">
        <v>443586</v>
      </c>
      <c r="AD8" s="31" t="s">
        <v>75</v>
      </c>
      <c r="AE8" s="31" t="s">
        <v>75</v>
      </c>
      <c r="AF8" s="30">
        <v>9695</v>
      </c>
      <c r="AG8" s="42" t="s">
        <v>75</v>
      </c>
      <c r="AH8" s="42" t="s">
        <v>75</v>
      </c>
      <c r="AI8" s="32">
        <v>136288</v>
      </c>
      <c r="AJ8" s="31" t="s">
        <v>75</v>
      </c>
      <c r="AK8" s="31" t="s">
        <v>75</v>
      </c>
      <c r="AL8" s="31" t="s">
        <v>75</v>
      </c>
      <c r="AM8" s="31"/>
      <c r="AN8" s="31"/>
      <c r="AO8" s="31"/>
      <c r="AP8" s="31"/>
      <c r="AQ8" s="31"/>
      <c r="AR8" s="31"/>
      <c r="AS8" s="31" t="s">
        <v>75</v>
      </c>
      <c r="AT8" s="31" t="s">
        <v>75</v>
      </c>
      <c r="AU8" s="31" t="s">
        <v>75</v>
      </c>
      <c r="AV8" s="31" t="s">
        <v>75</v>
      </c>
      <c r="AW8" s="31" t="s">
        <v>75</v>
      </c>
      <c r="AX8" s="31" t="s">
        <v>75</v>
      </c>
      <c r="AY8" s="31" t="s">
        <v>75</v>
      </c>
      <c r="AZ8" s="31" t="s">
        <v>75</v>
      </c>
      <c r="BA8" s="31" t="s">
        <v>75</v>
      </c>
      <c r="BB8" s="31" t="s">
        <v>75</v>
      </c>
      <c r="BC8" s="31" t="s">
        <v>75</v>
      </c>
      <c r="BD8" s="31" t="s">
        <v>75</v>
      </c>
      <c r="BE8" s="113">
        <v>0</v>
      </c>
      <c r="BF8" s="113">
        <v>0</v>
      </c>
      <c r="BG8" s="113">
        <v>0</v>
      </c>
      <c r="BH8" s="113">
        <v>0</v>
      </c>
      <c r="BI8" s="113">
        <v>0</v>
      </c>
      <c r="BJ8" s="113">
        <v>0</v>
      </c>
      <c r="BK8" s="113">
        <v>0</v>
      </c>
      <c r="BL8" s="113">
        <v>0</v>
      </c>
      <c r="BM8" s="113">
        <v>0</v>
      </c>
      <c r="BN8" s="113">
        <v>0</v>
      </c>
      <c r="BO8" s="113">
        <v>0</v>
      </c>
      <c r="BP8" s="113">
        <v>0</v>
      </c>
      <c r="BQ8" s="113">
        <v>0</v>
      </c>
      <c r="BR8" s="113">
        <v>0</v>
      </c>
      <c r="BS8" s="113">
        <v>0</v>
      </c>
      <c r="BT8" s="113">
        <v>0</v>
      </c>
      <c r="BU8" s="113">
        <v>0</v>
      </c>
      <c r="BV8" s="113">
        <v>0</v>
      </c>
      <c r="BW8" s="113"/>
      <c r="BX8" s="113"/>
      <c r="BY8" s="113"/>
      <c r="BZ8" s="113">
        <v>0</v>
      </c>
      <c r="CA8" s="113">
        <v>0</v>
      </c>
      <c r="CB8" s="113">
        <v>0</v>
      </c>
      <c r="CC8" s="113"/>
      <c r="CD8" s="113"/>
      <c r="CE8" s="113"/>
      <c r="CF8" s="113">
        <v>0</v>
      </c>
      <c r="CG8" s="113">
        <v>0</v>
      </c>
      <c r="CH8" s="113">
        <v>0</v>
      </c>
      <c r="CI8" s="113">
        <v>0</v>
      </c>
      <c r="CJ8" s="113">
        <v>0</v>
      </c>
      <c r="CK8" s="113">
        <v>0</v>
      </c>
      <c r="CL8" s="113">
        <v>0</v>
      </c>
      <c r="CM8" s="113">
        <v>0</v>
      </c>
      <c r="CN8" s="113">
        <v>0</v>
      </c>
      <c r="CO8" s="113">
        <v>0</v>
      </c>
      <c r="CP8" s="113">
        <v>0</v>
      </c>
      <c r="CQ8" s="113">
        <v>0</v>
      </c>
      <c r="CR8" s="113">
        <v>0</v>
      </c>
      <c r="CS8" s="113">
        <v>0</v>
      </c>
      <c r="CT8" s="113">
        <v>0</v>
      </c>
      <c r="CU8" s="113">
        <v>0</v>
      </c>
      <c r="CV8" s="113">
        <v>0</v>
      </c>
      <c r="CW8" s="113">
        <v>0</v>
      </c>
      <c r="CX8" s="113">
        <v>0</v>
      </c>
      <c r="CY8" s="113">
        <v>0</v>
      </c>
      <c r="CZ8" s="113">
        <v>0</v>
      </c>
      <c r="DA8" s="113">
        <v>0</v>
      </c>
      <c r="DB8" s="113">
        <v>0</v>
      </c>
      <c r="DC8" s="113">
        <v>0</v>
      </c>
      <c r="DD8" s="113">
        <v>0</v>
      </c>
      <c r="DE8" s="113">
        <v>0</v>
      </c>
      <c r="DF8" s="113">
        <v>0</v>
      </c>
      <c r="DG8" s="113">
        <v>0</v>
      </c>
      <c r="DH8" s="113">
        <v>0</v>
      </c>
      <c r="DI8" s="113">
        <v>0</v>
      </c>
      <c r="DJ8" s="113">
        <v>0</v>
      </c>
      <c r="DK8" s="113">
        <v>0</v>
      </c>
      <c r="DL8" s="113">
        <v>0</v>
      </c>
      <c r="DM8" s="113">
        <v>0</v>
      </c>
      <c r="DN8" s="113">
        <v>0</v>
      </c>
      <c r="DO8" s="113">
        <v>0</v>
      </c>
      <c r="DP8" s="113">
        <v>0</v>
      </c>
      <c r="DQ8" s="113">
        <v>0</v>
      </c>
      <c r="DR8" s="113">
        <v>0</v>
      </c>
      <c r="DS8" s="113">
        <v>0</v>
      </c>
      <c r="DT8" s="113">
        <v>0</v>
      </c>
      <c r="DU8" s="113">
        <v>0</v>
      </c>
      <c r="DV8" s="113">
        <v>0</v>
      </c>
      <c r="DW8" s="113">
        <v>0</v>
      </c>
      <c r="DX8" s="113">
        <v>0</v>
      </c>
      <c r="DY8" s="113">
        <v>0</v>
      </c>
      <c r="DZ8" s="113">
        <v>0</v>
      </c>
      <c r="EA8" s="113">
        <v>0</v>
      </c>
      <c r="EB8" s="113">
        <v>0</v>
      </c>
      <c r="EC8" s="113">
        <v>0</v>
      </c>
      <c r="ED8" s="113">
        <v>0</v>
      </c>
      <c r="EE8" s="113">
        <v>0</v>
      </c>
      <c r="EF8" s="113">
        <v>0</v>
      </c>
      <c r="EG8" s="113">
        <v>0</v>
      </c>
      <c r="EH8" s="113">
        <v>0</v>
      </c>
      <c r="EI8" s="113">
        <v>0</v>
      </c>
      <c r="EJ8" s="113">
        <v>0</v>
      </c>
      <c r="EK8" s="113">
        <v>0</v>
      </c>
      <c r="EL8" s="113">
        <v>0</v>
      </c>
      <c r="EM8" s="113">
        <v>0</v>
      </c>
      <c r="EN8" s="113">
        <v>0</v>
      </c>
      <c r="EO8" s="113">
        <v>0</v>
      </c>
      <c r="EP8" s="113">
        <v>0</v>
      </c>
      <c r="EQ8" s="113">
        <v>0</v>
      </c>
      <c r="ER8" s="113">
        <v>0</v>
      </c>
      <c r="ES8" s="113">
        <v>0</v>
      </c>
      <c r="ET8" s="113">
        <v>0</v>
      </c>
      <c r="EU8" s="113">
        <v>0</v>
      </c>
      <c r="EV8" s="113">
        <v>0</v>
      </c>
      <c r="EW8" s="113">
        <v>0</v>
      </c>
      <c r="EX8" s="113">
        <v>0</v>
      </c>
      <c r="EY8" s="113">
        <v>0</v>
      </c>
      <c r="EZ8" s="113">
        <v>0</v>
      </c>
      <c r="FA8" s="113">
        <v>0</v>
      </c>
      <c r="FB8" s="113">
        <v>0</v>
      </c>
      <c r="FC8" s="113">
        <v>0</v>
      </c>
      <c r="FD8" s="113">
        <v>0</v>
      </c>
      <c r="FE8" s="113">
        <v>0</v>
      </c>
      <c r="FF8" s="113">
        <v>0</v>
      </c>
      <c r="FG8" s="113">
        <v>0</v>
      </c>
      <c r="FH8" s="113">
        <v>0</v>
      </c>
      <c r="FI8" s="113">
        <v>0</v>
      </c>
      <c r="FJ8" s="113">
        <v>0</v>
      </c>
      <c r="FK8" s="113">
        <v>0</v>
      </c>
      <c r="FL8" s="113">
        <v>0</v>
      </c>
      <c r="FM8" s="113">
        <v>0</v>
      </c>
      <c r="FN8" s="113">
        <v>0</v>
      </c>
      <c r="FO8" s="113">
        <v>0</v>
      </c>
      <c r="FP8" s="113">
        <v>0</v>
      </c>
      <c r="FQ8" s="113">
        <v>0</v>
      </c>
      <c r="FR8" s="113">
        <v>0</v>
      </c>
      <c r="FS8" s="113">
        <v>0</v>
      </c>
      <c r="FT8" s="113">
        <v>0</v>
      </c>
      <c r="FU8" s="113">
        <v>0</v>
      </c>
      <c r="FV8" s="113">
        <v>0</v>
      </c>
      <c r="FW8" s="113">
        <v>0</v>
      </c>
      <c r="FX8" s="32">
        <v>0</v>
      </c>
      <c r="FY8" s="30">
        <v>0</v>
      </c>
      <c r="FZ8" s="30">
        <v>0</v>
      </c>
    </row>
    <row r="9" spans="1:182" x14ac:dyDescent="0.2">
      <c r="A9" s="28">
        <v>31837</v>
      </c>
      <c r="B9" s="28"/>
      <c r="C9" s="29">
        <v>284021</v>
      </c>
      <c r="D9" s="29">
        <v>65298</v>
      </c>
      <c r="E9" s="29">
        <f t="shared" si="0"/>
        <v>349319</v>
      </c>
      <c r="F9" s="30">
        <v>6185773</v>
      </c>
      <c r="G9" s="30">
        <v>0</v>
      </c>
      <c r="H9" s="30">
        <f t="shared" si="1"/>
        <v>6185773</v>
      </c>
      <c r="I9" s="42" t="s">
        <v>75</v>
      </c>
      <c r="J9" s="42" t="s">
        <v>75</v>
      </c>
      <c r="K9" s="32">
        <v>827920</v>
      </c>
      <c r="L9" s="31" t="s">
        <v>75</v>
      </c>
      <c r="M9" s="31" t="s">
        <v>75</v>
      </c>
      <c r="N9" s="30">
        <v>10728690</v>
      </c>
      <c r="O9" s="31" t="s">
        <v>75</v>
      </c>
      <c r="P9" s="31" t="s">
        <v>75</v>
      </c>
      <c r="Q9" s="30">
        <v>10014533</v>
      </c>
      <c r="R9" s="31" t="s">
        <v>75</v>
      </c>
      <c r="S9" s="31" t="s">
        <v>75</v>
      </c>
      <c r="T9" s="32">
        <v>308499</v>
      </c>
      <c r="U9" s="31" t="s">
        <v>75</v>
      </c>
      <c r="V9" s="31" t="s">
        <v>75</v>
      </c>
      <c r="W9" s="31" t="s">
        <v>75</v>
      </c>
      <c r="X9" s="31" t="s">
        <v>75</v>
      </c>
      <c r="Y9" s="31" t="s">
        <v>75</v>
      </c>
      <c r="Z9" s="30">
        <v>100092</v>
      </c>
      <c r="AA9" s="31" t="s">
        <v>75</v>
      </c>
      <c r="AB9" s="31" t="s">
        <v>75</v>
      </c>
      <c r="AC9" s="30">
        <v>389376</v>
      </c>
      <c r="AD9" s="31" t="s">
        <v>75</v>
      </c>
      <c r="AE9" s="31" t="s">
        <v>75</v>
      </c>
      <c r="AF9" s="30">
        <v>24359</v>
      </c>
      <c r="AG9" s="42" t="s">
        <v>75</v>
      </c>
      <c r="AH9" s="42" t="s">
        <v>75</v>
      </c>
      <c r="AI9" s="32">
        <v>131781</v>
      </c>
      <c r="AJ9" s="31" t="s">
        <v>75</v>
      </c>
      <c r="AK9" s="31" t="s">
        <v>75</v>
      </c>
      <c r="AL9" s="31" t="s">
        <v>75</v>
      </c>
      <c r="AM9" s="31"/>
      <c r="AN9" s="31"/>
      <c r="AO9" s="31"/>
      <c r="AP9" s="31"/>
      <c r="AQ9" s="31"/>
      <c r="AR9" s="31"/>
      <c r="AS9" s="31" t="s">
        <v>75</v>
      </c>
      <c r="AT9" s="31" t="s">
        <v>75</v>
      </c>
      <c r="AU9" s="31" t="s">
        <v>75</v>
      </c>
      <c r="AV9" s="31" t="s">
        <v>75</v>
      </c>
      <c r="AW9" s="31" t="s">
        <v>75</v>
      </c>
      <c r="AX9" s="31" t="s">
        <v>75</v>
      </c>
      <c r="AY9" s="31" t="s">
        <v>75</v>
      </c>
      <c r="AZ9" s="31" t="s">
        <v>75</v>
      </c>
      <c r="BA9" s="31" t="s">
        <v>75</v>
      </c>
      <c r="BB9" s="31" t="s">
        <v>75</v>
      </c>
      <c r="BC9" s="31" t="s">
        <v>75</v>
      </c>
      <c r="BD9" s="31" t="s">
        <v>75</v>
      </c>
      <c r="BE9" s="113">
        <v>0</v>
      </c>
      <c r="BF9" s="113">
        <v>0</v>
      </c>
      <c r="BG9" s="113">
        <v>0</v>
      </c>
      <c r="BH9" s="113">
        <v>0</v>
      </c>
      <c r="BI9" s="113">
        <v>0</v>
      </c>
      <c r="BJ9" s="113">
        <v>0</v>
      </c>
      <c r="BK9" s="113">
        <v>0</v>
      </c>
      <c r="BL9" s="113">
        <v>0</v>
      </c>
      <c r="BM9" s="113">
        <v>0</v>
      </c>
      <c r="BN9" s="113">
        <v>0</v>
      </c>
      <c r="BO9" s="113">
        <v>0</v>
      </c>
      <c r="BP9" s="113">
        <v>0</v>
      </c>
      <c r="BQ9" s="113">
        <v>0</v>
      </c>
      <c r="BR9" s="113">
        <v>0</v>
      </c>
      <c r="BS9" s="113">
        <v>0</v>
      </c>
      <c r="BT9" s="113">
        <v>0</v>
      </c>
      <c r="BU9" s="113">
        <v>0</v>
      </c>
      <c r="BV9" s="113">
        <v>0</v>
      </c>
      <c r="BW9" s="113"/>
      <c r="BX9" s="113"/>
      <c r="BY9" s="113"/>
      <c r="BZ9" s="113">
        <v>0</v>
      </c>
      <c r="CA9" s="113">
        <v>0</v>
      </c>
      <c r="CB9" s="113">
        <v>0</v>
      </c>
      <c r="CC9" s="113"/>
      <c r="CD9" s="113"/>
      <c r="CE9" s="113"/>
      <c r="CF9" s="113">
        <v>0</v>
      </c>
      <c r="CG9" s="113">
        <v>0</v>
      </c>
      <c r="CH9" s="113">
        <v>0</v>
      </c>
      <c r="CI9" s="113">
        <v>0</v>
      </c>
      <c r="CJ9" s="113">
        <v>0</v>
      </c>
      <c r="CK9" s="113">
        <v>0</v>
      </c>
      <c r="CL9" s="113">
        <v>0</v>
      </c>
      <c r="CM9" s="113">
        <v>0</v>
      </c>
      <c r="CN9" s="113">
        <v>0</v>
      </c>
      <c r="CO9" s="113">
        <v>0</v>
      </c>
      <c r="CP9" s="113">
        <v>0</v>
      </c>
      <c r="CQ9" s="113">
        <v>0</v>
      </c>
      <c r="CR9" s="113">
        <v>0</v>
      </c>
      <c r="CS9" s="113">
        <v>0</v>
      </c>
      <c r="CT9" s="113">
        <v>0</v>
      </c>
      <c r="CU9" s="113">
        <v>0</v>
      </c>
      <c r="CV9" s="113">
        <v>0</v>
      </c>
      <c r="CW9" s="113">
        <v>0</v>
      </c>
      <c r="CX9" s="113">
        <v>0</v>
      </c>
      <c r="CY9" s="113">
        <v>0</v>
      </c>
      <c r="CZ9" s="113">
        <v>0</v>
      </c>
      <c r="DA9" s="113">
        <v>0</v>
      </c>
      <c r="DB9" s="113">
        <v>0</v>
      </c>
      <c r="DC9" s="113">
        <v>0</v>
      </c>
      <c r="DD9" s="113">
        <v>0</v>
      </c>
      <c r="DE9" s="113">
        <v>0</v>
      </c>
      <c r="DF9" s="113">
        <v>0</v>
      </c>
      <c r="DG9" s="113">
        <v>0</v>
      </c>
      <c r="DH9" s="113">
        <v>0</v>
      </c>
      <c r="DI9" s="113">
        <v>0</v>
      </c>
      <c r="DJ9" s="113">
        <v>0</v>
      </c>
      <c r="DK9" s="113">
        <v>0</v>
      </c>
      <c r="DL9" s="113">
        <v>0</v>
      </c>
      <c r="DM9" s="113">
        <v>0</v>
      </c>
      <c r="DN9" s="113">
        <v>0</v>
      </c>
      <c r="DO9" s="113">
        <v>0</v>
      </c>
      <c r="DP9" s="113">
        <v>0</v>
      </c>
      <c r="DQ9" s="113">
        <v>0</v>
      </c>
      <c r="DR9" s="113">
        <v>0</v>
      </c>
      <c r="DS9" s="113">
        <v>0</v>
      </c>
      <c r="DT9" s="113">
        <v>0</v>
      </c>
      <c r="DU9" s="113">
        <v>0</v>
      </c>
      <c r="DV9" s="113">
        <v>0</v>
      </c>
      <c r="DW9" s="113">
        <v>0</v>
      </c>
      <c r="DX9" s="113">
        <v>0</v>
      </c>
      <c r="DY9" s="113">
        <v>0</v>
      </c>
      <c r="DZ9" s="113">
        <v>0</v>
      </c>
      <c r="EA9" s="113">
        <v>0</v>
      </c>
      <c r="EB9" s="113">
        <v>0</v>
      </c>
      <c r="EC9" s="113">
        <v>0</v>
      </c>
      <c r="ED9" s="113">
        <v>0</v>
      </c>
      <c r="EE9" s="113">
        <v>0</v>
      </c>
      <c r="EF9" s="113">
        <v>0</v>
      </c>
      <c r="EG9" s="113">
        <v>0</v>
      </c>
      <c r="EH9" s="113">
        <v>0</v>
      </c>
      <c r="EI9" s="113">
        <v>0</v>
      </c>
      <c r="EJ9" s="113">
        <v>0</v>
      </c>
      <c r="EK9" s="113">
        <v>0</v>
      </c>
      <c r="EL9" s="113">
        <v>0</v>
      </c>
      <c r="EM9" s="113">
        <v>0</v>
      </c>
      <c r="EN9" s="113">
        <v>0</v>
      </c>
      <c r="EO9" s="113">
        <v>0</v>
      </c>
      <c r="EP9" s="113">
        <v>0</v>
      </c>
      <c r="EQ9" s="113">
        <v>0</v>
      </c>
      <c r="ER9" s="113">
        <v>0</v>
      </c>
      <c r="ES9" s="113">
        <v>0</v>
      </c>
      <c r="ET9" s="113">
        <v>0</v>
      </c>
      <c r="EU9" s="113">
        <v>0</v>
      </c>
      <c r="EV9" s="113">
        <v>0</v>
      </c>
      <c r="EW9" s="113">
        <v>0</v>
      </c>
      <c r="EX9" s="113">
        <v>0</v>
      </c>
      <c r="EY9" s="113">
        <v>0</v>
      </c>
      <c r="EZ9" s="113">
        <v>0</v>
      </c>
      <c r="FA9" s="113">
        <v>0</v>
      </c>
      <c r="FB9" s="113">
        <v>0</v>
      </c>
      <c r="FC9" s="113">
        <v>0</v>
      </c>
      <c r="FD9" s="113">
        <v>0</v>
      </c>
      <c r="FE9" s="113">
        <v>0</v>
      </c>
      <c r="FF9" s="113">
        <v>0</v>
      </c>
      <c r="FG9" s="113">
        <v>0</v>
      </c>
      <c r="FH9" s="113">
        <v>0</v>
      </c>
      <c r="FI9" s="113">
        <v>0</v>
      </c>
      <c r="FJ9" s="113">
        <v>0</v>
      </c>
      <c r="FK9" s="113">
        <v>0</v>
      </c>
      <c r="FL9" s="113">
        <v>0</v>
      </c>
      <c r="FM9" s="113">
        <v>0</v>
      </c>
      <c r="FN9" s="113">
        <v>0</v>
      </c>
      <c r="FO9" s="113">
        <v>0</v>
      </c>
      <c r="FP9" s="113">
        <v>0</v>
      </c>
      <c r="FQ9" s="113">
        <v>0</v>
      </c>
      <c r="FR9" s="113">
        <v>0</v>
      </c>
      <c r="FS9" s="113">
        <v>0</v>
      </c>
      <c r="FT9" s="113">
        <v>0</v>
      </c>
      <c r="FU9" s="113">
        <v>0</v>
      </c>
      <c r="FV9" s="113">
        <v>0</v>
      </c>
      <c r="FW9" s="113">
        <v>0</v>
      </c>
      <c r="FX9" s="32">
        <v>0</v>
      </c>
      <c r="FY9" s="30">
        <v>0</v>
      </c>
      <c r="FZ9" s="30">
        <v>0</v>
      </c>
    </row>
    <row r="10" spans="1:182" x14ac:dyDescent="0.2">
      <c r="A10" s="28">
        <v>31868</v>
      </c>
      <c r="B10" s="28"/>
      <c r="C10" s="29">
        <v>304912</v>
      </c>
      <c r="D10" s="29">
        <v>59611</v>
      </c>
      <c r="E10" s="29">
        <f t="shared" si="0"/>
        <v>364523</v>
      </c>
      <c r="F10" s="30">
        <v>3794214</v>
      </c>
      <c r="G10" s="30">
        <v>0</v>
      </c>
      <c r="H10" s="30">
        <f t="shared" si="1"/>
        <v>3794214</v>
      </c>
      <c r="I10" s="42" t="s">
        <v>75</v>
      </c>
      <c r="J10" s="42" t="s">
        <v>75</v>
      </c>
      <c r="K10" s="32">
        <v>639387</v>
      </c>
      <c r="L10" s="31" t="s">
        <v>75</v>
      </c>
      <c r="M10" s="31" t="s">
        <v>75</v>
      </c>
      <c r="N10" s="30">
        <v>9355476</v>
      </c>
      <c r="O10" s="31" t="s">
        <v>75</v>
      </c>
      <c r="P10" s="31" t="s">
        <v>75</v>
      </c>
      <c r="Q10" s="30">
        <v>6701485</v>
      </c>
      <c r="R10" s="31" t="s">
        <v>75</v>
      </c>
      <c r="S10" s="31" t="s">
        <v>75</v>
      </c>
      <c r="T10" s="32">
        <v>326704</v>
      </c>
      <c r="U10" s="31" t="s">
        <v>75</v>
      </c>
      <c r="V10" s="31" t="s">
        <v>75</v>
      </c>
      <c r="W10" s="31" t="s">
        <v>75</v>
      </c>
      <c r="X10" s="31" t="s">
        <v>75</v>
      </c>
      <c r="Y10" s="31" t="s">
        <v>75</v>
      </c>
      <c r="Z10" s="30">
        <v>159087</v>
      </c>
      <c r="AA10" s="31" t="s">
        <v>75</v>
      </c>
      <c r="AB10" s="31" t="s">
        <v>75</v>
      </c>
      <c r="AC10" s="30">
        <v>518270</v>
      </c>
      <c r="AD10" s="31" t="s">
        <v>75</v>
      </c>
      <c r="AE10" s="31" t="s">
        <v>75</v>
      </c>
      <c r="AF10" s="30">
        <v>4787</v>
      </c>
      <c r="AG10" s="42" t="s">
        <v>75</v>
      </c>
      <c r="AH10" s="42" t="s">
        <v>75</v>
      </c>
      <c r="AI10" s="32">
        <v>150707</v>
      </c>
      <c r="AJ10" s="31" t="s">
        <v>75</v>
      </c>
      <c r="AK10" s="31" t="s">
        <v>75</v>
      </c>
      <c r="AL10" s="31" t="s">
        <v>75</v>
      </c>
      <c r="AM10" s="31"/>
      <c r="AN10" s="31"/>
      <c r="AO10" s="31"/>
      <c r="AP10" s="31"/>
      <c r="AQ10" s="31"/>
      <c r="AR10" s="31"/>
      <c r="AS10" s="31" t="s">
        <v>75</v>
      </c>
      <c r="AT10" s="31" t="s">
        <v>75</v>
      </c>
      <c r="AU10" s="31" t="s">
        <v>75</v>
      </c>
      <c r="AV10" s="31" t="s">
        <v>75</v>
      </c>
      <c r="AW10" s="31" t="s">
        <v>75</v>
      </c>
      <c r="AX10" s="31" t="s">
        <v>75</v>
      </c>
      <c r="AY10" s="31" t="s">
        <v>75</v>
      </c>
      <c r="AZ10" s="31" t="s">
        <v>75</v>
      </c>
      <c r="BA10" s="31" t="s">
        <v>75</v>
      </c>
      <c r="BB10" s="31" t="s">
        <v>75</v>
      </c>
      <c r="BC10" s="31" t="s">
        <v>75</v>
      </c>
      <c r="BD10" s="31" t="s">
        <v>75</v>
      </c>
      <c r="BE10" s="113">
        <v>0</v>
      </c>
      <c r="BF10" s="113">
        <v>0</v>
      </c>
      <c r="BG10" s="113">
        <v>0</v>
      </c>
      <c r="BH10" s="113">
        <v>0</v>
      </c>
      <c r="BI10" s="113">
        <v>0</v>
      </c>
      <c r="BJ10" s="113">
        <v>0</v>
      </c>
      <c r="BK10" s="113">
        <v>0</v>
      </c>
      <c r="BL10" s="113">
        <v>0</v>
      </c>
      <c r="BM10" s="113">
        <v>0</v>
      </c>
      <c r="BN10" s="113">
        <v>0</v>
      </c>
      <c r="BO10" s="113">
        <v>0</v>
      </c>
      <c r="BP10" s="113">
        <v>0</v>
      </c>
      <c r="BQ10" s="113">
        <v>0</v>
      </c>
      <c r="BR10" s="113">
        <v>0</v>
      </c>
      <c r="BS10" s="113">
        <v>0</v>
      </c>
      <c r="BT10" s="113">
        <v>0</v>
      </c>
      <c r="BU10" s="113">
        <v>0</v>
      </c>
      <c r="BV10" s="113">
        <v>0</v>
      </c>
      <c r="BW10" s="113"/>
      <c r="BX10" s="113"/>
      <c r="BY10" s="113"/>
      <c r="BZ10" s="113">
        <v>0</v>
      </c>
      <c r="CA10" s="113">
        <v>0</v>
      </c>
      <c r="CB10" s="113">
        <v>0</v>
      </c>
      <c r="CC10" s="113"/>
      <c r="CD10" s="113"/>
      <c r="CE10" s="113"/>
      <c r="CF10" s="113">
        <v>0</v>
      </c>
      <c r="CG10" s="113">
        <v>0</v>
      </c>
      <c r="CH10" s="113">
        <v>0</v>
      </c>
      <c r="CI10" s="113">
        <v>0</v>
      </c>
      <c r="CJ10" s="113">
        <v>0</v>
      </c>
      <c r="CK10" s="113">
        <v>0</v>
      </c>
      <c r="CL10" s="113">
        <v>0</v>
      </c>
      <c r="CM10" s="113">
        <v>0</v>
      </c>
      <c r="CN10" s="113">
        <v>0</v>
      </c>
      <c r="CO10" s="113">
        <v>0</v>
      </c>
      <c r="CP10" s="113">
        <v>0</v>
      </c>
      <c r="CQ10" s="113">
        <v>0</v>
      </c>
      <c r="CR10" s="113">
        <v>0</v>
      </c>
      <c r="CS10" s="113">
        <v>0</v>
      </c>
      <c r="CT10" s="113">
        <v>0</v>
      </c>
      <c r="CU10" s="113">
        <v>0</v>
      </c>
      <c r="CV10" s="113">
        <v>0</v>
      </c>
      <c r="CW10" s="113">
        <v>0</v>
      </c>
      <c r="CX10" s="113">
        <v>0</v>
      </c>
      <c r="CY10" s="113">
        <v>0</v>
      </c>
      <c r="CZ10" s="113">
        <v>0</v>
      </c>
      <c r="DA10" s="113">
        <v>0</v>
      </c>
      <c r="DB10" s="113">
        <v>0</v>
      </c>
      <c r="DC10" s="113">
        <v>0</v>
      </c>
      <c r="DD10" s="113">
        <v>0</v>
      </c>
      <c r="DE10" s="113">
        <v>0</v>
      </c>
      <c r="DF10" s="113">
        <v>0</v>
      </c>
      <c r="DG10" s="113">
        <v>0</v>
      </c>
      <c r="DH10" s="113">
        <v>0</v>
      </c>
      <c r="DI10" s="113">
        <v>0</v>
      </c>
      <c r="DJ10" s="113">
        <v>0</v>
      </c>
      <c r="DK10" s="113">
        <v>0</v>
      </c>
      <c r="DL10" s="113">
        <v>0</v>
      </c>
      <c r="DM10" s="113">
        <v>0</v>
      </c>
      <c r="DN10" s="113">
        <v>0</v>
      </c>
      <c r="DO10" s="113">
        <v>0</v>
      </c>
      <c r="DP10" s="113">
        <v>0</v>
      </c>
      <c r="DQ10" s="113">
        <v>0</v>
      </c>
      <c r="DR10" s="113">
        <v>0</v>
      </c>
      <c r="DS10" s="113">
        <v>0</v>
      </c>
      <c r="DT10" s="113">
        <v>0</v>
      </c>
      <c r="DU10" s="113">
        <v>0</v>
      </c>
      <c r="DV10" s="113">
        <v>0</v>
      </c>
      <c r="DW10" s="113">
        <v>0</v>
      </c>
      <c r="DX10" s="113">
        <v>0</v>
      </c>
      <c r="DY10" s="113">
        <v>0</v>
      </c>
      <c r="DZ10" s="113">
        <v>0</v>
      </c>
      <c r="EA10" s="113">
        <v>0</v>
      </c>
      <c r="EB10" s="113">
        <v>0</v>
      </c>
      <c r="EC10" s="113">
        <v>0</v>
      </c>
      <c r="ED10" s="113">
        <v>0</v>
      </c>
      <c r="EE10" s="113">
        <v>0</v>
      </c>
      <c r="EF10" s="113">
        <v>0</v>
      </c>
      <c r="EG10" s="113">
        <v>0</v>
      </c>
      <c r="EH10" s="113">
        <v>0</v>
      </c>
      <c r="EI10" s="113">
        <v>0</v>
      </c>
      <c r="EJ10" s="113">
        <v>0</v>
      </c>
      <c r="EK10" s="113">
        <v>0</v>
      </c>
      <c r="EL10" s="113">
        <v>0</v>
      </c>
      <c r="EM10" s="113">
        <v>0</v>
      </c>
      <c r="EN10" s="113">
        <v>0</v>
      </c>
      <c r="EO10" s="113">
        <v>0</v>
      </c>
      <c r="EP10" s="113">
        <v>0</v>
      </c>
      <c r="EQ10" s="113">
        <v>0</v>
      </c>
      <c r="ER10" s="113">
        <v>0</v>
      </c>
      <c r="ES10" s="113">
        <v>0</v>
      </c>
      <c r="ET10" s="113">
        <v>0</v>
      </c>
      <c r="EU10" s="113">
        <v>0</v>
      </c>
      <c r="EV10" s="113">
        <v>0</v>
      </c>
      <c r="EW10" s="113">
        <v>0</v>
      </c>
      <c r="EX10" s="113">
        <v>0</v>
      </c>
      <c r="EY10" s="113">
        <v>0</v>
      </c>
      <c r="EZ10" s="113">
        <v>0</v>
      </c>
      <c r="FA10" s="113">
        <v>0</v>
      </c>
      <c r="FB10" s="113">
        <v>0</v>
      </c>
      <c r="FC10" s="113">
        <v>0</v>
      </c>
      <c r="FD10" s="113">
        <v>0</v>
      </c>
      <c r="FE10" s="113">
        <v>0</v>
      </c>
      <c r="FF10" s="113">
        <v>0</v>
      </c>
      <c r="FG10" s="113">
        <v>0</v>
      </c>
      <c r="FH10" s="113">
        <v>0</v>
      </c>
      <c r="FI10" s="113">
        <v>0</v>
      </c>
      <c r="FJ10" s="113">
        <v>0</v>
      </c>
      <c r="FK10" s="113">
        <v>0</v>
      </c>
      <c r="FL10" s="113">
        <v>0</v>
      </c>
      <c r="FM10" s="113">
        <v>0</v>
      </c>
      <c r="FN10" s="113">
        <v>0</v>
      </c>
      <c r="FO10" s="113">
        <v>0</v>
      </c>
      <c r="FP10" s="113">
        <v>0</v>
      </c>
      <c r="FQ10" s="113">
        <v>0</v>
      </c>
      <c r="FR10" s="113">
        <v>0</v>
      </c>
      <c r="FS10" s="113">
        <v>0</v>
      </c>
      <c r="FT10" s="113">
        <v>0</v>
      </c>
      <c r="FU10" s="113">
        <v>0</v>
      </c>
      <c r="FV10" s="113">
        <v>0</v>
      </c>
      <c r="FW10" s="113">
        <v>0</v>
      </c>
      <c r="FX10" s="32">
        <v>0</v>
      </c>
      <c r="FY10" s="30">
        <v>0</v>
      </c>
      <c r="FZ10" s="30">
        <v>0</v>
      </c>
    </row>
    <row r="11" spans="1:182" x14ac:dyDescent="0.2">
      <c r="A11" s="28">
        <v>31898</v>
      </c>
      <c r="B11" s="28"/>
      <c r="C11" s="29">
        <v>289308</v>
      </c>
      <c r="D11" s="29">
        <v>96230</v>
      </c>
      <c r="E11" s="29">
        <f t="shared" si="0"/>
        <v>385538</v>
      </c>
      <c r="F11" s="30">
        <v>2280589</v>
      </c>
      <c r="G11" s="30">
        <v>0</v>
      </c>
      <c r="H11" s="30">
        <f t="shared" si="1"/>
        <v>2280589</v>
      </c>
      <c r="I11" s="42" t="s">
        <v>75</v>
      </c>
      <c r="J11" s="42" t="s">
        <v>75</v>
      </c>
      <c r="K11" s="32">
        <v>443299</v>
      </c>
      <c r="L11" s="31" t="s">
        <v>75</v>
      </c>
      <c r="M11" s="31" t="s">
        <v>75</v>
      </c>
      <c r="N11" s="30">
        <v>6807065</v>
      </c>
      <c r="O11" s="31" t="s">
        <v>75</v>
      </c>
      <c r="P11" s="31" t="s">
        <v>75</v>
      </c>
      <c r="Q11" s="30">
        <v>5450456</v>
      </c>
      <c r="R11" s="31" t="s">
        <v>75</v>
      </c>
      <c r="S11" s="31" t="s">
        <v>75</v>
      </c>
      <c r="T11" s="32">
        <v>271870</v>
      </c>
      <c r="U11" s="31" t="s">
        <v>75</v>
      </c>
      <c r="V11" s="31" t="s">
        <v>75</v>
      </c>
      <c r="W11" s="31" t="s">
        <v>75</v>
      </c>
      <c r="X11" s="31" t="s">
        <v>75</v>
      </c>
      <c r="Y11" s="31" t="s">
        <v>75</v>
      </c>
      <c r="Z11" s="30">
        <v>80517</v>
      </c>
      <c r="AA11" s="31" t="s">
        <v>75</v>
      </c>
      <c r="AB11" s="31" t="s">
        <v>75</v>
      </c>
      <c r="AC11" s="30">
        <v>455373</v>
      </c>
      <c r="AD11" s="31" t="s">
        <v>75</v>
      </c>
      <c r="AE11" s="31" t="s">
        <v>75</v>
      </c>
      <c r="AF11" s="30">
        <v>7629</v>
      </c>
      <c r="AG11" s="42" t="s">
        <v>75</v>
      </c>
      <c r="AH11" s="42" t="s">
        <v>75</v>
      </c>
      <c r="AI11" s="32">
        <v>117763</v>
      </c>
      <c r="AJ11" s="31" t="s">
        <v>75</v>
      </c>
      <c r="AK11" s="31" t="s">
        <v>75</v>
      </c>
      <c r="AL11" s="31" t="s">
        <v>75</v>
      </c>
      <c r="AM11" s="31"/>
      <c r="AN11" s="31"/>
      <c r="AO11" s="31"/>
      <c r="AP11" s="31"/>
      <c r="AQ11" s="31"/>
      <c r="AR11" s="31"/>
      <c r="AS11" s="31" t="s">
        <v>75</v>
      </c>
      <c r="AT11" s="31" t="s">
        <v>75</v>
      </c>
      <c r="AU11" s="31" t="s">
        <v>75</v>
      </c>
      <c r="AV11" s="31" t="s">
        <v>75</v>
      </c>
      <c r="AW11" s="31" t="s">
        <v>75</v>
      </c>
      <c r="AX11" s="31" t="s">
        <v>75</v>
      </c>
      <c r="AY11" s="31" t="s">
        <v>75</v>
      </c>
      <c r="AZ11" s="31" t="s">
        <v>75</v>
      </c>
      <c r="BA11" s="31" t="s">
        <v>75</v>
      </c>
      <c r="BB11" s="31" t="s">
        <v>75</v>
      </c>
      <c r="BC11" s="31" t="s">
        <v>75</v>
      </c>
      <c r="BD11" s="31" t="s">
        <v>75</v>
      </c>
      <c r="BE11" s="113">
        <v>0</v>
      </c>
      <c r="BF11" s="113">
        <v>0</v>
      </c>
      <c r="BG11" s="113">
        <v>0</v>
      </c>
      <c r="BH11" s="113">
        <v>0</v>
      </c>
      <c r="BI11" s="113">
        <v>0</v>
      </c>
      <c r="BJ11" s="113">
        <v>0</v>
      </c>
      <c r="BK11" s="113">
        <v>0</v>
      </c>
      <c r="BL11" s="113">
        <v>0</v>
      </c>
      <c r="BM11" s="113">
        <v>0</v>
      </c>
      <c r="BN11" s="113">
        <v>0</v>
      </c>
      <c r="BO11" s="113">
        <v>0</v>
      </c>
      <c r="BP11" s="113">
        <v>0</v>
      </c>
      <c r="BQ11" s="113">
        <v>0</v>
      </c>
      <c r="BR11" s="113">
        <v>0</v>
      </c>
      <c r="BS11" s="113">
        <v>0</v>
      </c>
      <c r="BT11" s="113">
        <v>0</v>
      </c>
      <c r="BU11" s="113">
        <v>0</v>
      </c>
      <c r="BV11" s="113">
        <v>0</v>
      </c>
      <c r="BW11" s="113"/>
      <c r="BX11" s="113"/>
      <c r="BY11" s="113"/>
      <c r="BZ11" s="113">
        <v>0</v>
      </c>
      <c r="CA11" s="113">
        <v>0</v>
      </c>
      <c r="CB11" s="113">
        <v>0</v>
      </c>
      <c r="CC11" s="113"/>
      <c r="CD11" s="113"/>
      <c r="CE11" s="113"/>
      <c r="CF11" s="113">
        <v>0</v>
      </c>
      <c r="CG11" s="113">
        <v>0</v>
      </c>
      <c r="CH11" s="113">
        <v>0</v>
      </c>
      <c r="CI11" s="113">
        <v>0</v>
      </c>
      <c r="CJ11" s="113">
        <v>0</v>
      </c>
      <c r="CK11" s="113">
        <v>0</v>
      </c>
      <c r="CL11" s="113">
        <v>0</v>
      </c>
      <c r="CM11" s="113">
        <v>0</v>
      </c>
      <c r="CN11" s="113">
        <v>0</v>
      </c>
      <c r="CO11" s="113">
        <v>0</v>
      </c>
      <c r="CP11" s="113">
        <v>0</v>
      </c>
      <c r="CQ11" s="113">
        <v>0</v>
      </c>
      <c r="CR11" s="113">
        <v>0</v>
      </c>
      <c r="CS11" s="113">
        <v>0</v>
      </c>
      <c r="CT11" s="113">
        <v>0</v>
      </c>
      <c r="CU11" s="113">
        <v>0</v>
      </c>
      <c r="CV11" s="113">
        <v>0</v>
      </c>
      <c r="CW11" s="113">
        <v>0</v>
      </c>
      <c r="CX11" s="113">
        <v>0</v>
      </c>
      <c r="CY11" s="113">
        <v>0</v>
      </c>
      <c r="CZ11" s="113">
        <v>0</v>
      </c>
      <c r="DA11" s="113">
        <v>0</v>
      </c>
      <c r="DB11" s="113">
        <v>0</v>
      </c>
      <c r="DC11" s="113">
        <v>0</v>
      </c>
      <c r="DD11" s="113">
        <v>0</v>
      </c>
      <c r="DE11" s="113">
        <v>0</v>
      </c>
      <c r="DF11" s="113">
        <v>0</v>
      </c>
      <c r="DG11" s="113">
        <v>0</v>
      </c>
      <c r="DH11" s="113">
        <v>0</v>
      </c>
      <c r="DI11" s="113">
        <v>0</v>
      </c>
      <c r="DJ11" s="113">
        <v>0</v>
      </c>
      <c r="DK11" s="113">
        <v>0</v>
      </c>
      <c r="DL11" s="113">
        <v>0</v>
      </c>
      <c r="DM11" s="113">
        <v>0</v>
      </c>
      <c r="DN11" s="113">
        <v>0</v>
      </c>
      <c r="DO11" s="113">
        <v>0</v>
      </c>
      <c r="DP11" s="113">
        <v>0</v>
      </c>
      <c r="DQ11" s="113">
        <v>0</v>
      </c>
      <c r="DR11" s="113">
        <v>0</v>
      </c>
      <c r="DS11" s="113">
        <v>0</v>
      </c>
      <c r="DT11" s="113">
        <v>0</v>
      </c>
      <c r="DU11" s="113">
        <v>0</v>
      </c>
      <c r="DV11" s="113">
        <v>0</v>
      </c>
      <c r="DW11" s="113">
        <v>0</v>
      </c>
      <c r="DX11" s="113">
        <v>0</v>
      </c>
      <c r="DY11" s="113">
        <v>0</v>
      </c>
      <c r="DZ11" s="113">
        <v>0</v>
      </c>
      <c r="EA11" s="113">
        <v>0</v>
      </c>
      <c r="EB11" s="113">
        <v>0</v>
      </c>
      <c r="EC11" s="113">
        <v>0</v>
      </c>
      <c r="ED11" s="113">
        <v>0</v>
      </c>
      <c r="EE11" s="113">
        <v>0</v>
      </c>
      <c r="EF11" s="113">
        <v>0</v>
      </c>
      <c r="EG11" s="113">
        <v>0</v>
      </c>
      <c r="EH11" s="113">
        <v>0</v>
      </c>
      <c r="EI11" s="113">
        <v>0</v>
      </c>
      <c r="EJ11" s="113">
        <v>0</v>
      </c>
      <c r="EK11" s="113">
        <v>0</v>
      </c>
      <c r="EL11" s="113">
        <v>0</v>
      </c>
      <c r="EM11" s="113">
        <v>0</v>
      </c>
      <c r="EN11" s="113">
        <v>0</v>
      </c>
      <c r="EO11" s="113">
        <v>0</v>
      </c>
      <c r="EP11" s="113">
        <v>0</v>
      </c>
      <c r="EQ11" s="113">
        <v>0</v>
      </c>
      <c r="ER11" s="113">
        <v>0</v>
      </c>
      <c r="ES11" s="113">
        <v>0</v>
      </c>
      <c r="ET11" s="113">
        <v>0</v>
      </c>
      <c r="EU11" s="113">
        <v>0</v>
      </c>
      <c r="EV11" s="113">
        <v>0</v>
      </c>
      <c r="EW11" s="113">
        <v>0</v>
      </c>
      <c r="EX11" s="113">
        <v>0</v>
      </c>
      <c r="EY11" s="113">
        <v>0</v>
      </c>
      <c r="EZ11" s="113">
        <v>0</v>
      </c>
      <c r="FA11" s="113">
        <v>0</v>
      </c>
      <c r="FB11" s="113">
        <v>0</v>
      </c>
      <c r="FC11" s="113">
        <v>0</v>
      </c>
      <c r="FD11" s="113">
        <v>0</v>
      </c>
      <c r="FE11" s="113">
        <v>0</v>
      </c>
      <c r="FF11" s="113">
        <v>0</v>
      </c>
      <c r="FG11" s="113">
        <v>0</v>
      </c>
      <c r="FH11" s="113">
        <v>0</v>
      </c>
      <c r="FI11" s="113">
        <v>0</v>
      </c>
      <c r="FJ11" s="113">
        <v>0</v>
      </c>
      <c r="FK11" s="113">
        <v>0</v>
      </c>
      <c r="FL11" s="113">
        <v>0</v>
      </c>
      <c r="FM11" s="113">
        <v>0</v>
      </c>
      <c r="FN11" s="113">
        <v>0</v>
      </c>
      <c r="FO11" s="113">
        <v>0</v>
      </c>
      <c r="FP11" s="113">
        <v>0</v>
      </c>
      <c r="FQ11" s="113">
        <v>0</v>
      </c>
      <c r="FR11" s="113">
        <v>0</v>
      </c>
      <c r="FS11" s="113">
        <v>0</v>
      </c>
      <c r="FT11" s="113">
        <v>0</v>
      </c>
      <c r="FU11" s="113">
        <v>0</v>
      </c>
      <c r="FV11" s="113">
        <v>0</v>
      </c>
      <c r="FW11" s="113">
        <v>0</v>
      </c>
      <c r="FX11" s="32">
        <v>0</v>
      </c>
      <c r="FY11" s="30">
        <v>0</v>
      </c>
      <c r="FZ11" s="30">
        <v>0</v>
      </c>
    </row>
    <row r="12" spans="1:182" x14ac:dyDescent="0.2">
      <c r="A12" s="28">
        <v>31929</v>
      </c>
      <c r="B12" s="28"/>
      <c r="C12" s="29">
        <v>388125</v>
      </c>
      <c r="D12" s="29">
        <v>143007</v>
      </c>
      <c r="E12" s="29">
        <f t="shared" si="0"/>
        <v>531132</v>
      </c>
      <c r="F12" s="30">
        <v>2167733</v>
      </c>
      <c r="G12" s="30">
        <v>0</v>
      </c>
      <c r="H12" s="30">
        <f t="shared" si="1"/>
        <v>2167733</v>
      </c>
      <c r="I12" s="42" t="s">
        <v>75</v>
      </c>
      <c r="J12" s="42" t="s">
        <v>75</v>
      </c>
      <c r="K12" s="32">
        <v>485049</v>
      </c>
      <c r="L12" s="31" t="s">
        <v>75</v>
      </c>
      <c r="M12" s="31" t="s">
        <v>75</v>
      </c>
      <c r="N12" s="30">
        <v>7998291</v>
      </c>
      <c r="O12" s="31" t="s">
        <v>75</v>
      </c>
      <c r="P12" s="31" t="s">
        <v>75</v>
      </c>
      <c r="Q12" s="30">
        <v>5318873</v>
      </c>
      <c r="R12" s="31" t="s">
        <v>75</v>
      </c>
      <c r="S12" s="31" t="s">
        <v>75</v>
      </c>
      <c r="T12" s="32">
        <v>306764</v>
      </c>
      <c r="U12" s="31" t="s">
        <v>75</v>
      </c>
      <c r="V12" s="31" t="s">
        <v>75</v>
      </c>
      <c r="W12" s="31" t="s">
        <v>75</v>
      </c>
      <c r="X12" s="31" t="s">
        <v>75</v>
      </c>
      <c r="Y12" s="31" t="s">
        <v>75</v>
      </c>
      <c r="Z12" s="30">
        <v>116621</v>
      </c>
      <c r="AA12" s="31" t="s">
        <v>75</v>
      </c>
      <c r="AB12" s="31" t="s">
        <v>75</v>
      </c>
      <c r="AC12" s="30">
        <v>619043</v>
      </c>
      <c r="AD12" s="31" t="s">
        <v>75</v>
      </c>
      <c r="AE12" s="31" t="s">
        <v>75</v>
      </c>
      <c r="AF12" s="30">
        <v>13261</v>
      </c>
      <c r="AG12" s="42" t="s">
        <v>75</v>
      </c>
      <c r="AH12" s="42" t="s">
        <v>75</v>
      </c>
      <c r="AI12" s="32">
        <v>114967</v>
      </c>
      <c r="AJ12" s="31" t="s">
        <v>75</v>
      </c>
      <c r="AK12" s="31" t="s">
        <v>75</v>
      </c>
      <c r="AL12" s="31" t="s">
        <v>75</v>
      </c>
      <c r="AM12" s="31"/>
      <c r="AN12" s="31"/>
      <c r="AO12" s="31"/>
      <c r="AP12" s="31"/>
      <c r="AQ12" s="31"/>
      <c r="AR12" s="31"/>
      <c r="AS12" s="31" t="s">
        <v>75</v>
      </c>
      <c r="AT12" s="31" t="s">
        <v>75</v>
      </c>
      <c r="AU12" s="31" t="s">
        <v>75</v>
      </c>
      <c r="AV12" s="31" t="s">
        <v>75</v>
      </c>
      <c r="AW12" s="31" t="s">
        <v>75</v>
      </c>
      <c r="AX12" s="31" t="s">
        <v>75</v>
      </c>
      <c r="AY12" s="31" t="s">
        <v>75</v>
      </c>
      <c r="AZ12" s="31" t="s">
        <v>75</v>
      </c>
      <c r="BA12" s="31" t="s">
        <v>75</v>
      </c>
      <c r="BB12" s="31" t="s">
        <v>75</v>
      </c>
      <c r="BC12" s="31" t="s">
        <v>75</v>
      </c>
      <c r="BD12" s="31" t="s">
        <v>75</v>
      </c>
      <c r="BE12" s="113">
        <v>0</v>
      </c>
      <c r="BF12" s="113">
        <v>0</v>
      </c>
      <c r="BG12" s="113">
        <v>0</v>
      </c>
      <c r="BH12" s="113">
        <v>0</v>
      </c>
      <c r="BI12" s="113">
        <v>0</v>
      </c>
      <c r="BJ12" s="113">
        <v>0</v>
      </c>
      <c r="BK12" s="113">
        <v>0</v>
      </c>
      <c r="BL12" s="113">
        <v>0</v>
      </c>
      <c r="BM12" s="113">
        <v>0</v>
      </c>
      <c r="BN12" s="113">
        <v>0</v>
      </c>
      <c r="BO12" s="113">
        <v>0</v>
      </c>
      <c r="BP12" s="113">
        <v>0</v>
      </c>
      <c r="BQ12" s="113">
        <v>0</v>
      </c>
      <c r="BR12" s="113">
        <v>0</v>
      </c>
      <c r="BS12" s="113">
        <v>0</v>
      </c>
      <c r="BT12" s="113">
        <v>0</v>
      </c>
      <c r="BU12" s="113">
        <v>0</v>
      </c>
      <c r="BV12" s="113">
        <v>0</v>
      </c>
      <c r="BW12" s="113"/>
      <c r="BX12" s="113"/>
      <c r="BY12" s="113"/>
      <c r="BZ12" s="113">
        <v>0</v>
      </c>
      <c r="CA12" s="113">
        <v>0</v>
      </c>
      <c r="CB12" s="113">
        <v>0</v>
      </c>
      <c r="CC12" s="113"/>
      <c r="CD12" s="113"/>
      <c r="CE12" s="113"/>
      <c r="CF12" s="113">
        <v>0</v>
      </c>
      <c r="CG12" s="113">
        <v>0</v>
      </c>
      <c r="CH12" s="113">
        <v>0</v>
      </c>
      <c r="CI12" s="113">
        <v>0</v>
      </c>
      <c r="CJ12" s="113">
        <v>0</v>
      </c>
      <c r="CK12" s="113">
        <v>0</v>
      </c>
      <c r="CL12" s="113">
        <v>0</v>
      </c>
      <c r="CM12" s="113">
        <v>0</v>
      </c>
      <c r="CN12" s="113">
        <v>0</v>
      </c>
      <c r="CO12" s="113">
        <v>0</v>
      </c>
      <c r="CP12" s="113">
        <v>0</v>
      </c>
      <c r="CQ12" s="113">
        <v>0</v>
      </c>
      <c r="CR12" s="113">
        <v>0</v>
      </c>
      <c r="CS12" s="113">
        <v>0</v>
      </c>
      <c r="CT12" s="113">
        <v>0</v>
      </c>
      <c r="CU12" s="113">
        <v>0</v>
      </c>
      <c r="CV12" s="113">
        <v>0</v>
      </c>
      <c r="CW12" s="113">
        <v>0</v>
      </c>
      <c r="CX12" s="113">
        <v>0</v>
      </c>
      <c r="CY12" s="113">
        <v>0</v>
      </c>
      <c r="CZ12" s="113">
        <v>0</v>
      </c>
      <c r="DA12" s="113">
        <v>0</v>
      </c>
      <c r="DB12" s="113">
        <v>0</v>
      </c>
      <c r="DC12" s="113">
        <v>0</v>
      </c>
      <c r="DD12" s="113">
        <v>0</v>
      </c>
      <c r="DE12" s="113">
        <v>0</v>
      </c>
      <c r="DF12" s="113">
        <v>0</v>
      </c>
      <c r="DG12" s="113">
        <v>0</v>
      </c>
      <c r="DH12" s="113">
        <v>0</v>
      </c>
      <c r="DI12" s="113">
        <v>0</v>
      </c>
      <c r="DJ12" s="113">
        <v>0</v>
      </c>
      <c r="DK12" s="113">
        <v>0</v>
      </c>
      <c r="DL12" s="113">
        <v>0</v>
      </c>
      <c r="DM12" s="113">
        <v>0</v>
      </c>
      <c r="DN12" s="113">
        <v>0</v>
      </c>
      <c r="DO12" s="113">
        <v>0</v>
      </c>
      <c r="DP12" s="113">
        <v>0</v>
      </c>
      <c r="DQ12" s="113">
        <v>0</v>
      </c>
      <c r="DR12" s="113">
        <v>0</v>
      </c>
      <c r="DS12" s="113">
        <v>0</v>
      </c>
      <c r="DT12" s="113">
        <v>0</v>
      </c>
      <c r="DU12" s="113">
        <v>0</v>
      </c>
      <c r="DV12" s="113">
        <v>0</v>
      </c>
      <c r="DW12" s="113">
        <v>0</v>
      </c>
      <c r="DX12" s="113">
        <v>0</v>
      </c>
      <c r="DY12" s="113">
        <v>0</v>
      </c>
      <c r="DZ12" s="113">
        <v>0</v>
      </c>
      <c r="EA12" s="113">
        <v>0</v>
      </c>
      <c r="EB12" s="113">
        <v>0</v>
      </c>
      <c r="EC12" s="113">
        <v>0</v>
      </c>
      <c r="ED12" s="113">
        <v>0</v>
      </c>
      <c r="EE12" s="113">
        <v>0</v>
      </c>
      <c r="EF12" s="113">
        <v>0</v>
      </c>
      <c r="EG12" s="113">
        <v>0</v>
      </c>
      <c r="EH12" s="113">
        <v>0</v>
      </c>
      <c r="EI12" s="113">
        <v>0</v>
      </c>
      <c r="EJ12" s="113">
        <v>0</v>
      </c>
      <c r="EK12" s="113">
        <v>0</v>
      </c>
      <c r="EL12" s="113">
        <v>0</v>
      </c>
      <c r="EM12" s="113">
        <v>0</v>
      </c>
      <c r="EN12" s="113">
        <v>0</v>
      </c>
      <c r="EO12" s="113">
        <v>0</v>
      </c>
      <c r="EP12" s="113">
        <v>0</v>
      </c>
      <c r="EQ12" s="113">
        <v>0</v>
      </c>
      <c r="ER12" s="113">
        <v>0</v>
      </c>
      <c r="ES12" s="113">
        <v>0</v>
      </c>
      <c r="ET12" s="113">
        <v>0</v>
      </c>
      <c r="EU12" s="113">
        <v>0</v>
      </c>
      <c r="EV12" s="113">
        <v>0</v>
      </c>
      <c r="EW12" s="113">
        <v>0</v>
      </c>
      <c r="EX12" s="113">
        <v>0</v>
      </c>
      <c r="EY12" s="113">
        <v>0</v>
      </c>
      <c r="EZ12" s="113">
        <v>0</v>
      </c>
      <c r="FA12" s="113">
        <v>0</v>
      </c>
      <c r="FB12" s="113">
        <v>0</v>
      </c>
      <c r="FC12" s="113">
        <v>0</v>
      </c>
      <c r="FD12" s="113">
        <v>0</v>
      </c>
      <c r="FE12" s="113">
        <v>0</v>
      </c>
      <c r="FF12" s="113">
        <v>0</v>
      </c>
      <c r="FG12" s="113">
        <v>0</v>
      </c>
      <c r="FH12" s="113">
        <v>0</v>
      </c>
      <c r="FI12" s="113">
        <v>0</v>
      </c>
      <c r="FJ12" s="113">
        <v>0</v>
      </c>
      <c r="FK12" s="113">
        <v>0</v>
      </c>
      <c r="FL12" s="113">
        <v>0</v>
      </c>
      <c r="FM12" s="113">
        <v>0</v>
      </c>
      <c r="FN12" s="113">
        <v>0</v>
      </c>
      <c r="FO12" s="113">
        <v>0</v>
      </c>
      <c r="FP12" s="113">
        <v>0</v>
      </c>
      <c r="FQ12" s="113">
        <v>0</v>
      </c>
      <c r="FR12" s="113">
        <v>0</v>
      </c>
      <c r="FS12" s="113">
        <v>0</v>
      </c>
      <c r="FT12" s="113">
        <v>0</v>
      </c>
      <c r="FU12" s="113">
        <v>0</v>
      </c>
      <c r="FV12" s="113">
        <v>0</v>
      </c>
      <c r="FW12" s="113">
        <v>0</v>
      </c>
      <c r="FX12" s="32">
        <v>0</v>
      </c>
      <c r="FY12" s="30">
        <v>0</v>
      </c>
      <c r="FZ12" s="30">
        <v>0</v>
      </c>
    </row>
    <row r="13" spans="1:182" x14ac:dyDescent="0.2">
      <c r="A13" s="28">
        <v>31959</v>
      </c>
      <c r="B13" s="28"/>
      <c r="C13" s="29">
        <v>295091</v>
      </c>
      <c r="D13" s="29">
        <v>121646</v>
      </c>
      <c r="E13" s="29">
        <f t="shared" si="0"/>
        <v>416737</v>
      </c>
      <c r="F13" s="30">
        <v>1976841</v>
      </c>
      <c r="G13" s="30">
        <v>0</v>
      </c>
      <c r="H13" s="30">
        <f t="shared" si="1"/>
        <v>1976841</v>
      </c>
      <c r="I13" s="42" t="s">
        <v>75</v>
      </c>
      <c r="J13" s="42" t="s">
        <v>75</v>
      </c>
      <c r="K13" s="32">
        <v>541373</v>
      </c>
      <c r="L13" s="31" t="s">
        <v>75</v>
      </c>
      <c r="M13" s="31" t="s">
        <v>75</v>
      </c>
      <c r="N13" s="30">
        <v>8761528</v>
      </c>
      <c r="O13" s="31" t="s">
        <v>75</v>
      </c>
      <c r="P13" s="31" t="s">
        <v>75</v>
      </c>
      <c r="Q13" s="30">
        <v>5437568</v>
      </c>
      <c r="R13" s="31" t="s">
        <v>75</v>
      </c>
      <c r="S13" s="31" t="s">
        <v>75</v>
      </c>
      <c r="T13" s="32">
        <v>170382</v>
      </c>
      <c r="U13" s="31" t="s">
        <v>75</v>
      </c>
      <c r="V13" s="31" t="s">
        <v>75</v>
      </c>
      <c r="W13" s="31" t="s">
        <v>75</v>
      </c>
      <c r="X13" s="31" t="s">
        <v>75</v>
      </c>
      <c r="Y13" s="31" t="s">
        <v>75</v>
      </c>
      <c r="Z13" s="30">
        <v>146361</v>
      </c>
      <c r="AA13" s="31" t="s">
        <v>75</v>
      </c>
      <c r="AB13" s="31" t="s">
        <v>75</v>
      </c>
      <c r="AC13" s="30">
        <v>532619</v>
      </c>
      <c r="AD13" s="31" t="s">
        <v>75</v>
      </c>
      <c r="AE13" s="31" t="s">
        <v>75</v>
      </c>
      <c r="AF13" s="30">
        <v>17898</v>
      </c>
      <c r="AG13" s="42" t="s">
        <v>75</v>
      </c>
      <c r="AH13" s="42" t="s">
        <v>75</v>
      </c>
      <c r="AI13" s="32">
        <v>127840</v>
      </c>
      <c r="AJ13" s="31" t="s">
        <v>75</v>
      </c>
      <c r="AK13" s="31" t="s">
        <v>75</v>
      </c>
      <c r="AL13" s="31" t="s">
        <v>75</v>
      </c>
      <c r="AM13" s="31"/>
      <c r="AN13" s="31"/>
      <c r="AO13" s="31"/>
      <c r="AP13" s="31"/>
      <c r="AQ13" s="31"/>
      <c r="AR13" s="31"/>
      <c r="AS13" s="31" t="s">
        <v>75</v>
      </c>
      <c r="AT13" s="31" t="s">
        <v>75</v>
      </c>
      <c r="AU13" s="31" t="s">
        <v>75</v>
      </c>
      <c r="AV13" s="31" t="s">
        <v>75</v>
      </c>
      <c r="AW13" s="31" t="s">
        <v>75</v>
      </c>
      <c r="AX13" s="31" t="s">
        <v>75</v>
      </c>
      <c r="AY13" s="31" t="s">
        <v>75</v>
      </c>
      <c r="AZ13" s="31" t="s">
        <v>75</v>
      </c>
      <c r="BA13" s="31" t="s">
        <v>75</v>
      </c>
      <c r="BB13" s="31" t="s">
        <v>75</v>
      </c>
      <c r="BC13" s="31" t="s">
        <v>75</v>
      </c>
      <c r="BD13" s="31" t="s">
        <v>75</v>
      </c>
      <c r="BE13" s="113">
        <v>0</v>
      </c>
      <c r="BF13" s="113">
        <v>0</v>
      </c>
      <c r="BG13" s="113">
        <v>0</v>
      </c>
      <c r="BH13" s="113">
        <v>0</v>
      </c>
      <c r="BI13" s="113">
        <v>0</v>
      </c>
      <c r="BJ13" s="113">
        <v>0</v>
      </c>
      <c r="BK13" s="113">
        <v>0</v>
      </c>
      <c r="BL13" s="113">
        <v>0</v>
      </c>
      <c r="BM13" s="113">
        <v>0</v>
      </c>
      <c r="BN13" s="113">
        <v>0</v>
      </c>
      <c r="BO13" s="113">
        <v>0</v>
      </c>
      <c r="BP13" s="113">
        <v>0</v>
      </c>
      <c r="BQ13" s="113">
        <v>0</v>
      </c>
      <c r="BR13" s="113">
        <v>0</v>
      </c>
      <c r="BS13" s="113">
        <v>0</v>
      </c>
      <c r="BT13" s="113">
        <v>0</v>
      </c>
      <c r="BU13" s="113">
        <v>0</v>
      </c>
      <c r="BV13" s="113">
        <v>0</v>
      </c>
      <c r="BW13" s="113"/>
      <c r="BX13" s="113"/>
      <c r="BY13" s="113"/>
      <c r="BZ13" s="113">
        <v>0</v>
      </c>
      <c r="CA13" s="113">
        <v>0</v>
      </c>
      <c r="CB13" s="113">
        <v>0</v>
      </c>
      <c r="CC13" s="113"/>
      <c r="CD13" s="113"/>
      <c r="CE13" s="113"/>
      <c r="CF13" s="113">
        <v>0</v>
      </c>
      <c r="CG13" s="113">
        <v>0</v>
      </c>
      <c r="CH13" s="113">
        <v>0</v>
      </c>
      <c r="CI13" s="113">
        <v>0</v>
      </c>
      <c r="CJ13" s="113">
        <v>0</v>
      </c>
      <c r="CK13" s="113">
        <v>0</v>
      </c>
      <c r="CL13" s="113">
        <v>0</v>
      </c>
      <c r="CM13" s="113">
        <v>0</v>
      </c>
      <c r="CN13" s="113">
        <v>0</v>
      </c>
      <c r="CO13" s="113">
        <v>0</v>
      </c>
      <c r="CP13" s="113">
        <v>0</v>
      </c>
      <c r="CQ13" s="113">
        <v>0</v>
      </c>
      <c r="CR13" s="113">
        <v>0</v>
      </c>
      <c r="CS13" s="113">
        <v>0</v>
      </c>
      <c r="CT13" s="113">
        <v>0</v>
      </c>
      <c r="CU13" s="113">
        <v>0</v>
      </c>
      <c r="CV13" s="113">
        <v>0</v>
      </c>
      <c r="CW13" s="113">
        <v>0</v>
      </c>
      <c r="CX13" s="113">
        <v>0</v>
      </c>
      <c r="CY13" s="113">
        <v>0</v>
      </c>
      <c r="CZ13" s="113">
        <v>0</v>
      </c>
      <c r="DA13" s="113">
        <v>0</v>
      </c>
      <c r="DB13" s="113">
        <v>0</v>
      </c>
      <c r="DC13" s="113">
        <v>0</v>
      </c>
      <c r="DD13" s="113">
        <v>0</v>
      </c>
      <c r="DE13" s="113">
        <v>0</v>
      </c>
      <c r="DF13" s="113">
        <v>0</v>
      </c>
      <c r="DG13" s="113">
        <v>0</v>
      </c>
      <c r="DH13" s="113">
        <v>0</v>
      </c>
      <c r="DI13" s="113">
        <v>0</v>
      </c>
      <c r="DJ13" s="113">
        <v>0</v>
      </c>
      <c r="DK13" s="113">
        <v>0</v>
      </c>
      <c r="DL13" s="113">
        <v>0</v>
      </c>
      <c r="DM13" s="113">
        <v>0</v>
      </c>
      <c r="DN13" s="113">
        <v>0</v>
      </c>
      <c r="DO13" s="113">
        <v>0</v>
      </c>
      <c r="DP13" s="113">
        <v>0</v>
      </c>
      <c r="DQ13" s="113">
        <v>0</v>
      </c>
      <c r="DR13" s="113">
        <v>0</v>
      </c>
      <c r="DS13" s="113">
        <v>0</v>
      </c>
      <c r="DT13" s="113">
        <v>0</v>
      </c>
      <c r="DU13" s="113">
        <v>0</v>
      </c>
      <c r="DV13" s="113">
        <v>0</v>
      </c>
      <c r="DW13" s="113">
        <v>0</v>
      </c>
      <c r="DX13" s="113">
        <v>0</v>
      </c>
      <c r="DY13" s="113">
        <v>0</v>
      </c>
      <c r="DZ13" s="113">
        <v>0</v>
      </c>
      <c r="EA13" s="113">
        <v>0</v>
      </c>
      <c r="EB13" s="113">
        <v>0</v>
      </c>
      <c r="EC13" s="113">
        <v>0</v>
      </c>
      <c r="ED13" s="113">
        <v>0</v>
      </c>
      <c r="EE13" s="113">
        <v>0</v>
      </c>
      <c r="EF13" s="113">
        <v>0</v>
      </c>
      <c r="EG13" s="113">
        <v>0</v>
      </c>
      <c r="EH13" s="113">
        <v>0</v>
      </c>
      <c r="EI13" s="113">
        <v>0</v>
      </c>
      <c r="EJ13" s="113">
        <v>0</v>
      </c>
      <c r="EK13" s="113">
        <v>0</v>
      </c>
      <c r="EL13" s="113">
        <v>0</v>
      </c>
      <c r="EM13" s="113">
        <v>0</v>
      </c>
      <c r="EN13" s="113">
        <v>0</v>
      </c>
      <c r="EO13" s="113">
        <v>0</v>
      </c>
      <c r="EP13" s="113">
        <v>0</v>
      </c>
      <c r="EQ13" s="113">
        <v>0</v>
      </c>
      <c r="ER13" s="113">
        <v>0</v>
      </c>
      <c r="ES13" s="113">
        <v>0</v>
      </c>
      <c r="ET13" s="113">
        <v>0</v>
      </c>
      <c r="EU13" s="113">
        <v>0</v>
      </c>
      <c r="EV13" s="113">
        <v>0</v>
      </c>
      <c r="EW13" s="113">
        <v>0</v>
      </c>
      <c r="EX13" s="113">
        <v>0</v>
      </c>
      <c r="EY13" s="113">
        <v>0</v>
      </c>
      <c r="EZ13" s="113">
        <v>0</v>
      </c>
      <c r="FA13" s="113">
        <v>0</v>
      </c>
      <c r="FB13" s="113">
        <v>0</v>
      </c>
      <c r="FC13" s="113">
        <v>0</v>
      </c>
      <c r="FD13" s="113">
        <v>0</v>
      </c>
      <c r="FE13" s="113">
        <v>0</v>
      </c>
      <c r="FF13" s="113">
        <v>0</v>
      </c>
      <c r="FG13" s="113">
        <v>0</v>
      </c>
      <c r="FH13" s="113">
        <v>0</v>
      </c>
      <c r="FI13" s="113">
        <v>0</v>
      </c>
      <c r="FJ13" s="113">
        <v>0</v>
      </c>
      <c r="FK13" s="113">
        <v>0</v>
      </c>
      <c r="FL13" s="113">
        <v>0</v>
      </c>
      <c r="FM13" s="113">
        <v>0</v>
      </c>
      <c r="FN13" s="113">
        <v>0</v>
      </c>
      <c r="FO13" s="113">
        <v>0</v>
      </c>
      <c r="FP13" s="113">
        <v>0</v>
      </c>
      <c r="FQ13" s="113">
        <v>0</v>
      </c>
      <c r="FR13" s="113">
        <v>0</v>
      </c>
      <c r="FS13" s="113">
        <v>0</v>
      </c>
      <c r="FT13" s="113">
        <v>0</v>
      </c>
      <c r="FU13" s="113">
        <v>0</v>
      </c>
      <c r="FV13" s="113">
        <v>0</v>
      </c>
      <c r="FW13" s="113">
        <v>0</v>
      </c>
      <c r="FX13" s="32">
        <v>0</v>
      </c>
      <c r="FY13" s="30">
        <v>0</v>
      </c>
      <c r="FZ13" s="30">
        <v>0</v>
      </c>
    </row>
    <row r="14" spans="1:182" x14ac:dyDescent="0.2">
      <c r="A14" s="28">
        <v>31990</v>
      </c>
      <c r="B14" s="28"/>
      <c r="C14" s="29">
        <v>358927</v>
      </c>
      <c r="D14" s="29">
        <v>131402</v>
      </c>
      <c r="E14" s="29">
        <f t="shared" si="0"/>
        <v>490329</v>
      </c>
      <c r="F14" s="30">
        <v>1956420</v>
      </c>
      <c r="G14" s="30">
        <v>0</v>
      </c>
      <c r="H14" s="30">
        <f t="shared" si="1"/>
        <v>1956420</v>
      </c>
      <c r="I14" s="42" t="s">
        <v>75</v>
      </c>
      <c r="J14" s="42" t="s">
        <v>75</v>
      </c>
      <c r="K14" s="32">
        <v>616256</v>
      </c>
      <c r="L14" s="31" t="s">
        <v>75</v>
      </c>
      <c r="M14" s="31" t="s">
        <v>75</v>
      </c>
      <c r="N14" s="30">
        <v>7399370</v>
      </c>
      <c r="O14" s="31" t="s">
        <v>75</v>
      </c>
      <c r="P14" s="31" t="s">
        <v>75</v>
      </c>
      <c r="Q14" s="30">
        <v>5949281</v>
      </c>
      <c r="R14" s="31" t="s">
        <v>75</v>
      </c>
      <c r="S14" s="31" t="s">
        <v>75</v>
      </c>
      <c r="T14" s="32">
        <v>149399</v>
      </c>
      <c r="U14" s="31" t="s">
        <v>75</v>
      </c>
      <c r="V14" s="31" t="s">
        <v>75</v>
      </c>
      <c r="W14" s="31" t="s">
        <v>75</v>
      </c>
      <c r="X14" s="31" t="s">
        <v>75</v>
      </c>
      <c r="Y14" s="31" t="s">
        <v>75</v>
      </c>
      <c r="Z14" s="30">
        <v>158563</v>
      </c>
      <c r="AA14" s="31" t="s">
        <v>75</v>
      </c>
      <c r="AB14" s="31" t="s">
        <v>75</v>
      </c>
      <c r="AC14" s="30">
        <v>492448</v>
      </c>
      <c r="AD14" s="31" t="s">
        <v>75</v>
      </c>
      <c r="AE14" s="31" t="s">
        <v>75</v>
      </c>
      <c r="AF14" s="30">
        <v>20848</v>
      </c>
      <c r="AG14" s="42" t="s">
        <v>75</v>
      </c>
      <c r="AH14" s="42" t="s">
        <v>75</v>
      </c>
      <c r="AI14" s="32">
        <v>101273</v>
      </c>
      <c r="AJ14" s="31" t="s">
        <v>75</v>
      </c>
      <c r="AK14" s="31" t="s">
        <v>75</v>
      </c>
      <c r="AL14" s="31" t="s">
        <v>75</v>
      </c>
      <c r="AM14" s="31"/>
      <c r="AN14" s="31"/>
      <c r="AO14" s="31"/>
      <c r="AP14" s="31"/>
      <c r="AQ14" s="31"/>
      <c r="AR14" s="31"/>
      <c r="AS14" s="31" t="s">
        <v>75</v>
      </c>
      <c r="AT14" s="31" t="s">
        <v>75</v>
      </c>
      <c r="AU14" s="31" t="s">
        <v>75</v>
      </c>
      <c r="AV14" s="31" t="s">
        <v>75</v>
      </c>
      <c r="AW14" s="31" t="s">
        <v>75</v>
      </c>
      <c r="AX14" s="31" t="s">
        <v>75</v>
      </c>
      <c r="AY14" s="31" t="s">
        <v>75</v>
      </c>
      <c r="AZ14" s="31" t="s">
        <v>75</v>
      </c>
      <c r="BA14" s="31" t="s">
        <v>75</v>
      </c>
      <c r="BB14" s="31" t="s">
        <v>75</v>
      </c>
      <c r="BC14" s="31" t="s">
        <v>75</v>
      </c>
      <c r="BD14" s="31" t="s">
        <v>75</v>
      </c>
      <c r="BE14" s="113">
        <v>0</v>
      </c>
      <c r="BF14" s="113">
        <v>0</v>
      </c>
      <c r="BG14" s="113">
        <v>0</v>
      </c>
      <c r="BH14" s="113">
        <v>0</v>
      </c>
      <c r="BI14" s="113">
        <v>0</v>
      </c>
      <c r="BJ14" s="113">
        <v>0</v>
      </c>
      <c r="BK14" s="113">
        <v>0</v>
      </c>
      <c r="BL14" s="113">
        <v>0</v>
      </c>
      <c r="BM14" s="113">
        <v>0</v>
      </c>
      <c r="BN14" s="113">
        <v>0</v>
      </c>
      <c r="BO14" s="113">
        <v>0</v>
      </c>
      <c r="BP14" s="113">
        <v>0</v>
      </c>
      <c r="BQ14" s="113">
        <v>0</v>
      </c>
      <c r="BR14" s="113">
        <v>0</v>
      </c>
      <c r="BS14" s="113">
        <v>0</v>
      </c>
      <c r="BT14" s="113">
        <v>0</v>
      </c>
      <c r="BU14" s="113">
        <v>0</v>
      </c>
      <c r="BV14" s="113">
        <v>0</v>
      </c>
      <c r="BW14" s="113"/>
      <c r="BX14" s="113"/>
      <c r="BY14" s="113"/>
      <c r="BZ14" s="113">
        <v>0</v>
      </c>
      <c r="CA14" s="113">
        <v>0</v>
      </c>
      <c r="CB14" s="113">
        <v>0</v>
      </c>
      <c r="CC14" s="113"/>
      <c r="CD14" s="113"/>
      <c r="CE14" s="113"/>
      <c r="CF14" s="113">
        <v>0</v>
      </c>
      <c r="CG14" s="113">
        <v>0</v>
      </c>
      <c r="CH14" s="113">
        <v>0</v>
      </c>
      <c r="CI14" s="113">
        <v>0</v>
      </c>
      <c r="CJ14" s="113">
        <v>0</v>
      </c>
      <c r="CK14" s="113">
        <v>0</v>
      </c>
      <c r="CL14" s="113">
        <v>0</v>
      </c>
      <c r="CM14" s="113">
        <v>0</v>
      </c>
      <c r="CN14" s="113">
        <v>0</v>
      </c>
      <c r="CO14" s="113">
        <v>0</v>
      </c>
      <c r="CP14" s="113">
        <v>0</v>
      </c>
      <c r="CQ14" s="113">
        <v>0</v>
      </c>
      <c r="CR14" s="113">
        <v>0</v>
      </c>
      <c r="CS14" s="113">
        <v>0</v>
      </c>
      <c r="CT14" s="113">
        <v>0</v>
      </c>
      <c r="CU14" s="113">
        <v>0</v>
      </c>
      <c r="CV14" s="113">
        <v>0</v>
      </c>
      <c r="CW14" s="113">
        <v>0</v>
      </c>
      <c r="CX14" s="113">
        <v>0</v>
      </c>
      <c r="CY14" s="113">
        <v>0</v>
      </c>
      <c r="CZ14" s="113">
        <v>0</v>
      </c>
      <c r="DA14" s="113">
        <v>0</v>
      </c>
      <c r="DB14" s="113">
        <v>0</v>
      </c>
      <c r="DC14" s="113">
        <v>0</v>
      </c>
      <c r="DD14" s="113">
        <v>0</v>
      </c>
      <c r="DE14" s="113">
        <v>0</v>
      </c>
      <c r="DF14" s="113">
        <v>0</v>
      </c>
      <c r="DG14" s="113">
        <v>0</v>
      </c>
      <c r="DH14" s="113">
        <v>0</v>
      </c>
      <c r="DI14" s="113">
        <v>0</v>
      </c>
      <c r="DJ14" s="113">
        <v>0</v>
      </c>
      <c r="DK14" s="113">
        <v>0</v>
      </c>
      <c r="DL14" s="113">
        <v>0</v>
      </c>
      <c r="DM14" s="113">
        <v>0</v>
      </c>
      <c r="DN14" s="113">
        <v>0</v>
      </c>
      <c r="DO14" s="113">
        <v>0</v>
      </c>
      <c r="DP14" s="113">
        <v>0</v>
      </c>
      <c r="DQ14" s="113">
        <v>0</v>
      </c>
      <c r="DR14" s="113">
        <v>0</v>
      </c>
      <c r="DS14" s="113">
        <v>0</v>
      </c>
      <c r="DT14" s="113">
        <v>0</v>
      </c>
      <c r="DU14" s="113">
        <v>0</v>
      </c>
      <c r="DV14" s="113">
        <v>0</v>
      </c>
      <c r="DW14" s="113">
        <v>0</v>
      </c>
      <c r="DX14" s="113">
        <v>0</v>
      </c>
      <c r="DY14" s="113">
        <v>0</v>
      </c>
      <c r="DZ14" s="113">
        <v>0</v>
      </c>
      <c r="EA14" s="113">
        <v>0</v>
      </c>
      <c r="EB14" s="113">
        <v>0</v>
      </c>
      <c r="EC14" s="113">
        <v>0</v>
      </c>
      <c r="ED14" s="113">
        <v>0</v>
      </c>
      <c r="EE14" s="113">
        <v>0</v>
      </c>
      <c r="EF14" s="113">
        <v>0</v>
      </c>
      <c r="EG14" s="113">
        <v>0</v>
      </c>
      <c r="EH14" s="113">
        <v>0</v>
      </c>
      <c r="EI14" s="113">
        <v>0</v>
      </c>
      <c r="EJ14" s="113">
        <v>0</v>
      </c>
      <c r="EK14" s="113">
        <v>0</v>
      </c>
      <c r="EL14" s="113">
        <v>0</v>
      </c>
      <c r="EM14" s="113">
        <v>0</v>
      </c>
      <c r="EN14" s="113">
        <v>0</v>
      </c>
      <c r="EO14" s="113">
        <v>0</v>
      </c>
      <c r="EP14" s="113">
        <v>0</v>
      </c>
      <c r="EQ14" s="113">
        <v>0</v>
      </c>
      <c r="ER14" s="113">
        <v>0</v>
      </c>
      <c r="ES14" s="113">
        <v>0</v>
      </c>
      <c r="ET14" s="113">
        <v>0</v>
      </c>
      <c r="EU14" s="113">
        <v>0</v>
      </c>
      <c r="EV14" s="113">
        <v>0</v>
      </c>
      <c r="EW14" s="113">
        <v>0</v>
      </c>
      <c r="EX14" s="113">
        <v>0</v>
      </c>
      <c r="EY14" s="113">
        <v>0</v>
      </c>
      <c r="EZ14" s="113">
        <v>0</v>
      </c>
      <c r="FA14" s="113">
        <v>0</v>
      </c>
      <c r="FB14" s="113">
        <v>0</v>
      </c>
      <c r="FC14" s="113">
        <v>0</v>
      </c>
      <c r="FD14" s="113">
        <v>0</v>
      </c>
      <c r="FE14" s="113">
        <v>0</v>
      </c>
      <c r="FF14" s="113">
        <v>0</v>
      </c>
      <c r="FG14" s="113">
        <v>0</v>
      </c>
      <c r="FH14" s="113">
        <v>0</v>
      </c>
      <c r="FI14" s="113">
        <v>0</v>
      </c>
      <c r="FJ14" s="113">
        <v>0</v>
      </c>
      <c r="FK14" s="113">
        <v>0</v>
      </c>
      <c r="FL14" s="113">
        <v>0</v>
      </c>
      <c r="FM14" s="113">
        <v>0</v>
      </c>
      <c r="FN14" s="113">
        <v>0</v>
      </c>
      <c r="FO14" s="113">
        <v>0</v>
      </c>
      <c r="FP14" s="113">
        <v>0</v>
      </c>
      <c r="FQ14" s="113">
        <v>0</v>
      </c>
      <c r="FR14" s="113">
        <v>0</v>
      </c>
      <c r="FS14" s="113">
        <v>0</v>
      </c>
      <c r="FT14" s="113">
        <v>0</v>
      </c>
      <c r="FU14" s="113">
        <v>0</v>
      </c>
      <c r="FV14" s="113">
        <v>0</v>
      </c>
      <c r="FW14" s="113">
        <v>0</v>
      </c>
      <c r="FX14" s="32">
        <v>0</v>
      </c>
      <c r="FY14" s="30">
        <v>0</v>
      </c>
      <c r="FZ14" s="30">
        <v>0</v>
      </c>
    </row>
    <row r="15" spans="1:182" x14ac:dyDescent="0.2">
      <c r="A15" s="28">
        <v>32021</v>
      </c>
      <c r="B15" s="28"/>
      <c r="C15" s="29">
        <v>355925</v>
      </c>
      <c r="D15" s="29">
        <v>52713</v>
      </c>
      <c r="E15" s="29">
        <f t="shared" si="0"/>
        <v>408638</v>
      </c>
      <c r="F15" s="30">
        <v>4147559</v>
      </c>
      <c r="G15" s="30">
        <v>0</v>
      </c>
      <c r="H15" s="30">
        <f t="shared" si="1"/>
        <v>4147559</v>
      </c>
      <c r="I15" s="42" t="s">
        <v>75</v>
      </c>
      <c r="J15" s="42" t="s">
        <v>75</v>
      </c>
      <c r="K15" s="32">
        <v>711714</v>
      </c>
      <c r="L15" s="31" t="s">
        <v>75</v>
      </c>
      <c r="M15" s="31" t="s">
        <v>75</v>
      </c>
      <c r="N15" s="30">
        <v>8271231</v>
      </c>
      <c r="O15" s="31" t="s">
        <v>75</v>
      </c>
      <c r="P15" s="31" t="s">
        <v>75</v>
      </c>
      <c r="Q15" s="30">
        <v>7106445</v>
      </c>
      <c r="R15" s="31" t="s">
        <v>75</v>
      </c>
      <c r="S15" s="31" t="s">
        <v>75</v>
      </c>
      <c r="T15" s="32">
        <v>206171</v>
      </c>
      <c r="U15" s="31" t="s">
        <v>75</v>
      </c>
      <c r="V15" s="31" t="s">
        <v>75</v>
      </c>
      <c r="W15" s="31" t="s">
        <v>75</v>
      </c>
      <c r="X15" s="31" t="s">
        <v>75</v>
      </c>
      <c r="Y15" s="31" t="s">
        <v>75</v>
      </c>
      <c r="Z15" s="30">
        <v>138370</v>
      </c>
      <c r="AA15" s="31" t="s">
        <v>75</v>
      </c>
      <c r="AB15" s="31" t="s">
        <v>75</v>
      </c>
      <c r="AC15" s="30">
        <v>440021</v>
      </c>
      <c r="AD15" s="31" t="s">
        <v>75</v>
      </c>
      <c r="AE15" s="31" t="s">
        <v>75</v>
      </c>
      <c r="AF15" s="30">
        <v>15674</v>
      </c>
      <c r="AG15" s="42" t="s">
        <v>75</v>
      </c>
      <c r="AH15" s="42" t="s">
        <v>75</v>
      </c>
      <c r="AI15" s="32">
        <v>99940</v>
      </c>
      <c r="AJ15" s="31" t="s">
        <v>75</v>
      </c>
      <c r="AK15" s="31" t="s">
        <v>75</v>
      </c>
      <c r="AL15" s="31" t="s">
        <v>75</v>
      </c>
      <c r="AM15" s="31"/>
      <c r="AN15" s="31"/>
      <c r="AO15" s="31"/>
      <c r="AP15" s="31"/>
      <c r="AQ15" s="31"/>
      <c r="AR15" s="31"/>
      <c r="AS15" s="31" t="s">
        <v>75</v>
      </c>
      <c r="AT15" s="31" t="s">
        <v>75</v>
      </c>
      <c r="AU15" s="31" t="s">
        <v>75</v>
      </c>
      <c r="AV15" s="31" t="s">
        <v>75</v>
      </c>
      <c r="AW15" s="31" t="s">
        <v>75</v>
      </c>
      <c r="AX15" s="31" t="s">
        <v>75</v>
      </c>
      <c r="AY15" s="31" t="s">
        <v>75</v>
      </c>
      <c r="AZ15" s="31" t="s">
        <v>75</v>
      </c>
      <c r="BA15" s="31" t="s">
        <v>75</v>
      </c>
      <c r="BB15" s="31" t="s">
        <v>75</v>
      </c>
      <c r="BC15" s="31" t="s">
        <v>75</v>
      </c>
      <c r="BD15" s="31" t="s">
        <v>75</v>
      </c>
      <c r="BE15" s="113">
        <v>0</v>
      </c>
      <c r="BF15" s="113">
        <v>0</v>
      </c>
      <c r="BG15" s="113">
        <v>0</v>
      </c>
      <c r="BH15" s="113">
        <v>0</v>
      </c>
      <c r="BI15" s="113">
        <v>0</v>
      </c>
      <c r="BJ15" s="113">
        <v>0</v>
      </c>
      <c r="BK15" s="113">
        <v>0</v>
      </c>
      <c r="BL15" s="113">
        <v>0</v>
      </c>
      <c r="BM15" s="113">
        <v>0</v>
      </c>
      <c r="BN15" s="113">
        <v>0</v>
      </c>
      <c r="BO15" s="113">
        <v>0</v>
      </c>
      <c r="BP15" s="113">
        <v>0</v>
      </c>
      <c r="BQ15" s="113">
        <v>0</v>
      </c>
      <c r="BR15" s="113">
        <v>0</v>
      </c>
      <c r="BS15" s="113">
        <v>0</v>
      </c>
      <c r="BT15" s="113">
        <v>0</v>
      </c>
      <c r="BU15" s="113">
        <v>0</v>
      </c>
      <c r="BV15" s="113">
        <v>0</v>
      </c>
      <c r="BW15" s="113"/>
      <c r="BX15" s="113"/>
      <c r="BY15" s="113"/>
      <c r="BZ15" s="113">
        <v>0</v>
      </c>
      <c r="CA15" s="113">
        <v>0</v>
      </c>
      <c r="CB15" s="113">
        <v>0</v>
      </c>
      <c r="CC15" s="113"/>
      <c r="CD15" s="113"/>
      <c r="CE15" s="113"/>
      <c r="CF15" s="113">
        <v>0</v>
      </c>
      <c r="CG15" s="113">
        <v>0</v>
      </c>
      <c r="CH15" s="113">
        <v>0</v>
      </c>
      <c r="CI15" s="113">
        <v>0</v>
      </c>
      <c r="CJ15" s="113">
        <v>0</v>
      </c>
      <c r="CK15" s="113">
        <v>0</v>
      </c>
      <c r="CL15" s="113">
        <v>0</v>
      </c>
      <c r="CM15" s="113">
        <v>0</v>
      </c>
      <c r="CN15" s="113">
        <v>0</v>
      </c>
      <c r="CO15" s="113">
        <v>0</v>
      </c>
      <c r="CP15" s="113">
        <v>0</v>
      </c>
      <c r="CQ15" s="113">
        <v>0</v>
      </c>
      <c r="CR15" s="113">
        <v>0</v>
      </c>
      <c r="CS15" s="113">
        <v>0</v>
      </c>
      <c r="CT15" s="113">
        <v>0</v>
      </c>
      <c r="CU15" s="113">
        <v>0</v>
      </c>
      <c r="CV15" s="113">
        <v>0</v>
      </c>
      <c r="CW15" s="113">
        <v>0</v>
      </c>
      <c r="CX15" s="113">
        <v>0</v>
      </c>
      <c r="CY15" s="113">
        <v>0</v>
      </c>
      <c r="CZ15" s="113">
        <v>0</v>
      </c>
      <c r="DA15" s="113">
        <v>0</v>
      </c>
      <c r="DB15" s="113">
        <v>0</v>
      </c>
      <c r="DC15" s="113">
        <v>0</v>
      </c>
      <c r="DD15" s="113">
        <v>0</v>
      </c>
      <c r="DE15" s="113">
        <v>0</v>
      </c>
      <c r="DF15" s="113">
        <v>0</v>
      </c>
      <c r="DG15" s="113">
        <v>0</v>
      </c>
      <c r="DH15" s="113">
        <v>0</v>
      </c>
      <c r="DI15" s="113">
        <v>0</v>
      </c>
      <c r="DJ15" s="113">
        <v>0</v>
      </c>
      <c r="DK15" s="113">
        <v>0</v>
      </c>
      <c r="DL15" s="113">
        <v>0</v>
      </c>
      <c r="DM15" s="113">
        <v>0</v>
      </c>
      <c r="DN15" s="113">
        <v>0</v>
      </c>
      <c r="DO15" s="113">
        <v>0</v>
      </c>
      <c r="DP15" s="113">
        <v>0</v>
      </c>
      <c r="DQ15" s="113">
        <v>0</v>
      </c>
      <c r="DR15" s="113">
        <v>0</v>
      </c>
      <c r="DS15" s="113">
        <v>0</v>
      </c>
      <c r="DT15" s="113">
        <v>0</v>
      </c>
      <c r="DU15" s="113">
        <v>0</v>
      </c>
      <c r="DV15" s="113">
        <v>0</v>
      </c>
      <c r="DW15" s="113">
        <v>0</v>
      </c>
      <c r="DX15" s="113">
        <v>0</v>
      </c>
      <c r="DY15" s="113">
        <v>0</v>
      </c>
      <c r="DZ15" s="113">
        <v>0</v>
      </c>
      <c r="EA15" s="113">
        <v>0</v>
      </c>
      <c r="EB15" s="113">
        <v>0</v>
      </c>
      <c r="EC15" s="113">
        <v>0</v>
      </c>
      <c r="ED15" s="113">
        <v>0</v>
      </c>
      <c r="EE15" s="113">
        <v>0</v>
      </c>
      <c r="EF15" s="113">
        <v>0</v>
      </c>
      <c r="EG15" s="113">
        <v>0</v>
      </c>
      <c r="EH15" s="113">
        <v>0</v>
      </c>
      <c r="EI15" s="113">
        <v>0</v>
      </c>
      <c r="EJ15" s="113">
        <v>0</v>
      </c>
      <c r="EK15" s="113">
        <v>0</v>
      </c>
      <c r="EL15" s="113">
        <v>0</v>
      </c>
      <c r="EM15" s="113">
        <v>0</v>
      </c>
      <c r="EN15" s="113">
        <v>0</v>
      </c>
      <c r="EO15" s="113">
        <v>0</v>
      </c>
      <c r="EP15" s="113">
        <v>0</v>
      </c>
      <c r="EQ15" s="113">
        <v>0</v>
      </c>
      <c r="ER15" s="113">
        <v>0</v>
      </c>
      <c r="ES15" s="113">
        <v>0</v>
      </c>
      <c r="ET15" s="113">
        <v>0</v>
      </c>
      <c r="EU15" s="113">
        <v>0</v>
      </c>
      <c r="EV15" s="113">
        <v>0</v>
      </c>
      <c r="EW15" s="113">
        <v>0</v>
      </c>
      <c r="EX15" s="113">
        <v>0</v>
      </c>
      <c r="EY15" s="113">
        <v>0</v>
      </c>
      <c r="EZ15" s="113">
        <v>0</v>
      </c>
      <c r="FA15" s="113">
        <v>0</v>
      </c>
      <c r="FB15" s="113">
        <v>0</v>
      </c>
      <c r="FC15" s="113">
        <v>0</v>
      </c>
      <c r="FD15" s="113">
        <v>0</v>
      </c>
      <c r="FE15" s="113">
        <v>0</v>
      </c>
      <c r="FF15" s="113">
        <v>0</v>
      </c>
      <c r="FG15" s="113">
        <v>0</v>
      </c>
      <c r="FH15" s="113">
        <v>0</v>
      </c>
      <c r="FI15" s="113">
        <v>0</v>
      </c>
      <c r="FJ15" s="113">
        <v>0</v>
      </c>
      <c r="FK15" s="113">
        <v>0</v>
      </c>
      <c r="FL15" s="113">
        <v>0</v>
      </c>
      <c r="FM15" s="113">
        <v>0</v>
      </c>
      <c r="FN15" s="113">
        <v>0</v>
      </c>
      <c r="FO15" s="113">
        <v>0</v>
      </c>
      <c r="FP15" s="113">
        <v>0</v>
      </c>
      <c r="FQ15" s="113">
        <v>0</v>
      </c>
      <c r="FR15" s="113">
        <v>0</v>
      </c>
      <c r="FS15" s="113">
        <v>0</v>
      </c>
      <c r="FT15" s="113">
        <v>0</v>
      </c>
      <c r="FU15" s="113">
        <v>0</v>
      </c>
      <c r="FV15" s="113">
        <v>0</v>
      </c>
      <c r="FW15" s="113">
        <v>0</v>
      </c>
      <c r="FX15" s="32">
        <v>0</v>
      </c>
      <c r="FY15" s="30">
        <v>0</v>
      </c>
      <c r="FZ15" s="30">
        <v>0</v>
      </c>
    </row>
    <row r="16" spans="1:182" x14ac:dyDescent="0.2">
      <c r="A16" s="28">
        <v>32051</v>
      </c>
      <c r="B16" s="28"/>
      <c r="C16" s="29">
        <v>511463</v>
      </c>
      <c r="D16" s="29">
        <v>123007</v>
      </c>
      <c r="E16" s="29">
        <f t="shared" si="0"/>
        <v>634470</v>
      </c>
      <c r="F16" s="30">
        <v>6814505</v>
      </c>
      <c r="G16" s="30">
        <v>0</v>
      </c>
      <c r="H16" s="30">
        <f t="shared" si="1"/>
        <v>6814505</v>
      </c>
      <c r="I16" s="42" t="s">
        <v>75</v>
      </c>
      <c r="J16" s="42" t="s">
        <v>75</v>
      </c>
      <c r="K16" s="32">
        <v>820115</v>
      </c>
      <c r="L16" s="31" t="s">
        <v>75</v>
      </c>
      <c r="M16" s="31" t="s">
        <v>75</v>
      </c>
      <c r="N16" s="30">
        <v>9875940</v>
      </c>
      <c r="O16" s="31" t="s">
        <v>75</v>
      </c>
      <c r="P16" s="31" t="s">
        <v>75</v>
      </c>
      <c r="Q16" s="30">
        <v>7584594</v>
      </c>
      <c r="R16" s="31" t="s">
        <v>75</v>
      </c>
      <c r="S16" s="31" t="s">
        <v>75</v>
      </c>
      <c r="T16" s="32">
        <v>217169</v>
      </c>
      <c r="U16" s="31" t="s">
        <v>75</v>
      </c>
      <c r="V16" s="31" t="s">
        <v>75</v>
      </c>
      <c r="W16" s="31" t="s">
        <v>75</v>
      </c>
      <c r="X16" s="31" t="s">
        <v>75</v>
      </c>
      <c r="Y16" s="31" t="s">
        <v>75</v>
      </c>
      <c r="Z16" s="30">
        <v>263799</v>
      </c>
      <c r="AA16" s="31" t="s">
        <v>75</v>
      </c>
      <c r="AB16" s="31" t="s">
        <v>75</v>
      </c>
      <c r="AC16" s="30">
        <v>533200</v>
      </c>
      <c r="AD16" s="31" t="s">
        <v>75</v>
      </c>
      <c r="AE16" s="31" t="s">
        <v>75</v>
      </c>
      <c r="AF16" s="30">
        <v>33907</v>
      </c>
      <c r="AG16" s="42" t="s">
        <v>75</v>
      </c>
      <c r="AH16" s="42" t="s">
        <v>75</v>
      </c>
      <c r="AI16" s="32">
        <v>100229</v>
      </c>
      <c r="AJ16" s="31" t="s">
        <v>75</v>
      </c>
      <c r="AK16" s="31" t="s">
        <v>75</v>
      </c>
      <c r="AL16" s="31" t="s">
        <v>75</v>
      </c>
      <c r="AM16" s="31"/>
      <c r="AN16" s="31"/>
      <c r="AO16" s="31"/>
      <c r="AP16" s="31"/>
      <c r="AQ16" s="31"/>
      <c r="AR16" s="31"/>
      <c r="AS16" s="31" t="s">
        <v>75</v>
      </c>
      <c r="AT16" s="31" t="s">
        <v>75</v>
      </c>
      <c r="AU16" s="31" t="s">
        <v>75</v>
      </c>
      <c r="AV16" s="31" t="s">
        <v>75</v>
      </c>
      <c r="AW16" s="31" t="s">
        <v>75</v>
      </c>
      <c r="AX16" s="31" t="s">
        <v>75</v>
      </c>
      <c r="AY16" s="31" t="s">
        <v>75</v>
      </c>
      <c r="AZ16" s="31" t="s">
        <v>75</v>
      </c>
      <c r="BA16" s="31" t="s">
        <v>75</v>
      </c>
      <c r="BB16" s="31" t="s">
        <v>75</v>
      </c>
      <c r="BC16" s="31" t="s">
        <v>75</v>
      </c>
      <c r="BD16" s="31" t="s">
        <v>75</v>
      </c>
      <c r="BE16" s="113">
        <v>0</v>
      </c>
      <c r="BF16" s="113">
        <v>0</v>
      </c>
      <c r="BG16" s="113">
        <v>0</v>
      </c>
      <c r="BH16" s="113">
        <v>0</v>
      </c>
      <c r="BI16" s="113">
        <v>0</v>
      </c>
      <c r="BJ16" s="113">
        <v>0</v>
      </c>
      <c r="BK16" s="113">
        <v>0</v>
      </c>
      <c r="BL16" s="113">
        <v>0</v>
      </c>
      <c r="BM16" s="113">
        <v>0</v>
      </c>
      <c r="BN16" s="113">
        <v>0</v>
      </c>
      <c r="BO16" s="113">
        <v>0</v>
      </c>
      <c r="BP16" s="113">
        <v>0</v>
      </c>
      <c r="BQ16" s="113">
        <v>0</v>
      </c>
      <c r="BR16" s="113">
        <v>0</v>
      </c>
      <c r="BS16" s="113">
        <v>0</v>
      </c>
      <c r="BT16" s="113">
        <v>0</v>
      </c>
      <c r="BU16" s="113">
        <v>0</v>
      </c>
      <c r="BV16" s="113">
        <v>0</v>
      </c>
      <c r="BW16" s="113"/>
      <c r="BX16" s="113"/>
      <c r="BY16" s="113"/>
      <c r="BZ16" s="113">
        <v>0</v>
      </c>
      <c r="CA16" s="113">
        <v>0</v>
      </c>
      <c r="CB16" s="113">
        <v>0</v>
      </c>
      <c r="CC16" s="113"/>
      <c r="CD16" s="113"/>
      <c r="CE16" s="113"/>
      <c r="CF16" s="113">
        <v>0</v>
      </c>
      <c r="CG16" s="113">
        <v>0</v>
      </c>
      <c r="CH16" s="113">
        <v>0</v>
      </c>
      <c r="CI16" s="113">
        <v>0</v>
      </c>
      <c r="CJ16" s="113">
        <v>0</v>
      </c>
      <c r="CK16" s="113">
        <v>0</v>
      </c>
      <c r="CL16" s="113">
        <v>0</v>
      </c>
      <c r="CM16" s="113">
        <v>0</v>
      </c>
      <c r="CN16" s="113">
        <v>0</v>
      </c>
      <c r="CO16" s="113">
        <v>0</v>
      </c>
      <c r="CP16" s="113">
        <v>0</v>
      </c>
      <c r="CQ16" s="113">
        <v>0</v>
      </c>
      <c r="CR16" s="113">
        <v>0</v>
      </c>
      <c r="CS16" s="113">
        <v>0</v>
      </c>
      <c r="CT16" s="113">
        <v>0</v>
      </c>
      <c r="CU16" s="113">
        <v>0</v>
      </c>
      <c r="CV16" s="113">
        <v>0</v>
      </c>
      <c r="CW16" s="113">
        <v>0</v>
      </c>
      <c r="CX16" s="113">
        <v>0</v>
      </c>
      <c r="CY16" s="113">
        <v>0</v>
      </c>
      <c r="CZ16" s="113">
        <v>0</v>
      </c>
      <c r="DA16" s="113">
        <v>0</v>
      </c>
      <c r="DB16" s="113">
        <v>0</v>
      </c>
      <c r="DC16" s="113">
        <v>0</v>
      </c>
      <c r="DD16" s="113">
        <v>0</v>
      </c>
      <c r="DE16" s="113">
        <v>0</v>
      </c>
      <c r="DF16" s="113">
        <v>0</v>
      </c>
      <c r="DG16" s="113">
        <v>0</v>
      </c>
      <c r="DH16" s="113">
        <v>0</v>
      </c>
      <c r="DI16" s="113">
        <v>0</v>
      </c>
      <c r="DJ16" s="113">
        <v>0</v>
      </c>
      <c r="DK16" s="113">
        <v>0</v>
      </c>
      <c r="DL16" s="113">
        <v>0</v>
      </c>
      <c r="DM16" s="113">
        <v>0</v>
      </c>
      <c r="DN16" s="113">
        <v>0</v>
      </c>
      <c r="DO16" s="113">
        <v>0</v>
      </c>
      <c r="DP16" s="113">
        <v>0</v>
      </c>
      <c r="DQ16" s="113">
        <v>0</v>
      </c>
      <c r="DR16" s="113">
        <v>0</v>
      </c>
      <c r="DS16" s="113">
        <v>0</v>
      </c>
      <c r="DT16" s="113">
        <v>0</v>
      </c>
      <c r="DU16" s="113">
        <v>0</v>
      </c>
      <c r="DV16" s="113">
        <v>0</v>
      </c>
      <c r="DW16" s="113">
        <v>0</v>
      </c>
      <c r="DX16" s="113">
        <v>0</v>
      </c>
      <c r="DY16" s="113">
        <v>0</v>
      </c>
      <c r="DZ16" s="113">
        <v>0</v>
      </c>
      <c r="EA16" s="113">
        <v>0</v>
      </c>
      <c r="EB16" s="113">
        <v>0</v>
      </c>
      <c r="EC16" s="113">
        <v>0</v>
      </c>
      <c r="ED16" s="113">
        <v>0</v>
      </c>
      <c r="EE16" s="113">
        <v>0</v>
      </c>
      <c r="EF16" s="113">
        <v>0</v>
      </c>
      <c r="EG16" s="113">
        <v>0</v>
      </c>
      <c r="EH16" s="113">
        <v>0</v>
      </c>
      <c r="EI16" s="113">
        <v>0</v>
      </c>
      <c r="EJ16" s="113">
        <v>0</v>
      </c>
      <c r="EK16" s="113">
        <v>0</v>
      </c>
      <c r="EL16" s="113">
        <v>0</v>
      </c>
      <c r="EM16" s="113">
        <v>0</v>
      </c>
      <c r="EN16" s="113">
        <v>0</v>
      </c>
      <c r="EO16" s="113">
        <v>0</v>
      </c>
      <c r="EP16" s="113">
        <v>0</v>
      </c>
      <c r="EQ16" s="113">
        <v>0</v>
      </c>
      <c r="ER16" s="113">
        <v>0</v>
      </c>
      <c r="ES16" s="113">
        <v>0</v>
      </c>
      <c r="ET16" s="113">
        <v>0</v>
      </c>
      <c r="EU16" s="113">
        <v>0</v>
      </c>
      <c r="EV16" s="113">
        <v>0</v>
      </c>
      <c r="EW16" s="113">
        <v>0</v>
      </c>
      <c r="EX16" s="113">
        <v>0</v>
      </c>
      <c r="EY16" s="113">
        <v>0</v>
      </c>
      <c r="EZ16" s="113">
        <v>0</v>
      </c>
      <c r="FA16" s="113">
        <v>0</v>
      </c>
      <c r="FB16" s="113">
        <v>0</v>
      </c>
      <c r="FC16" s="113">
        <v>0</v>
      </c>
      <c r="FD16" s="113">
        <v>0</v>
      </c>
      <c r="FE16" s="113">
        <v>0</v>
      </c>
      <c r="FF16" s="113">
        <v>0</v>
      </c>
      <c r="FG16" s="113">
        <v>0</v>
      </c>
      <c r="FH16" s="113">
        <v>0</v>
      </c>
      <c r="FI16" s="113">
        <v>0</v>
      </c>
      <c r="FJ16" s="113">
        <v>0</v>
      </c>
      <c r="FK16" s="113">
        <v>0</v>
      </c>
      <c r="FL16" s="113">
        <v>0</v>
      </c>
      <c r="FM16" s="113">
        <v>0</v>
      </c>
      <c r="FN16" s="113">
        <v>0</v>
      </c>
      <c r="FO16" s="113">
        <v>0</v>
      </c>
      <c r="FP16" s="113">
        <v>0</v>
      </c>
      <c r="FQ16" s="113">
        <v>0</v>
      </c>
      <c r="FR16" s="113">
        <v>0</v>
      </c>
      <c r="FS16" s="113">
        <v>0</v>
      </c>
      <c r="FT16" s="113">
        <v>0</v>
      </c>
      <c r="FU16" s="113">
        <v>0</v>
      </c>
      <c r="FV16" s="113">
        <v>0</v>
      </c>
      <c r="FW16" s="113">
        <v>0</v>
      </c>
      <c r="FX16" s="32">
        <v>0</v>
      </c>
      <c r="FY16" s="30">
        <v>0</v>
      </c>
      <c r="FZ16" s="30">
        <v>0</v>
      </c>
    </row>
    <row r="17" spans="1:182" x14ac:dyDescent="0.2">
      <c r="A17" s="28">
        <v>32082</v>
      </c>
      <c r="B17" s="28"/>
      <c r="C17" s="29">
        <v>331792</v>
      </c>
      <c r="D17" s="29">
        <v>111104</v>
      </c>
      <c r="E17" s="29">
        <f t="shared" si="0"/>
        <v>442896</v>
      </c>
      <c r="F17" s="30">
        <v>7108888</v>
      </c>
      <c r="G17" s="30">
        <v>0</v>
      </c>
      <c r="H17" s="30">
        <f t="shared" si="1"/>
        <v>7108888</v>
      </c>
      <c r="I17" s="42" t="s">
        <v>75</v>
      </c>
      <c r="J17" s="42" t="s">
        <v>75</v>
      </c>
      <c r="K17" s="32">
        <v>858122</v>
      </c>
      <c r="L17" s="31" t="s">
        <v>75</v>
      </c>
      <c r="M17" s="31" t="s">
        <v>75</v>
      </c>
      <c r="N17" s="30">
        <v>9747040</v>
      </c>
      <c r="O17" s="31" t="s">
        <v>75</v>
      </c>
      <c r="P17" s="31" t="s">
        <v>75</v>
      </c>
      <c r="Q17" s="30">
        <v>8811037</v>
      </c>
      <c r="R17" s="31" t="s">
        <v>75</v>
      </c>
      <c r="S17" s="31" t="s">
        <v>75</v>
      </c>
      <c r="T17" s="32">
        <v>146648</v>
      </c>
      <c r="U17" s="31" t="s">
        <v>75</v>
      </c>
      <c r="V17" s="31" t="s">
        <v>75</v>
      </c>
      <c r="W17" s="31" t="s">
        <v>75</v>
      </c>
      <c r="X17" s="31" t="s">
        <v>75</v>
      </c>
      <c r="Y17" s="31" t="s">
        <v>75</v>
      </c>
      <c r="Z17" s="30">
        <v>177286</v>
      </c>
      <c r="AA17" s="31" t="s">
        <v>75</v>
      </c>
      <c r="AB17" s="31" t="s">
        <v>75</v>
      </c>
      <c r="AC17" s="30">
        <v>345309</v>
      </c>
      <c r="AD17" s="31" t="s">
        <v>75</v>
      </c>
      <c r="AE17" s="31" t="s">
        <v>75</v>
      </c>
      <c r="AF17" s="30">
        <v>49944</v>
      </c>
      <c r="AG17" s="42" t="s">
        <v>75</v>
      </c>
      <c r="AH17" s="42" t="s">
        <v>75</v>
      </c>
      <c r="AI17" s="32">
        <v>84412</v>
      </c>
      <c r="AJ17" s="31" t="s">
        <v>75</v>
      </c>
      <c r="AK17" s="31" t="s">
        <v>75</v>
      </c>
      <c r="AL17" s="31" t="s">
        <v>75</v>
      </c>
      <c r="AM17" s="31"/>
      <c r="AN17" s="31"/>
      <c r="AO17" s="31"/>
      <c r="AP17" s="31"/>
      <c r="AQ17" s="31"/>
      <c r="AR17" s="31"/>
      <c r="AS17" s="31" t="s">
        <v>75</v>
      </c>
      <c r="AT17" s="31" t="s">
        <v>75</v>
      </c>
      <c r="AU17" s="31" t="s">
        <v>75</v>
      </c>
      <c r="AV17" s="31" t="s">
        <v>75</v>
      </c>
      <c r="AW17" s="31" t="s">
        <v>75</v>
      </c>
      <c r="AX17" s="31" t="s">
        <v>75</v>
      </c>
      <c r="AY17" s="31" t="s">
        <v>75</v>
      </c>
      <c r="AZ17" s="31" t="s">
        <v>75</v>
      </c>
      <c r="BA17" s="31" t="s">
        <v>75</v>
      </c>
      <c r="BB17" s="31" t="s">
        <v>75</v>
      </c>
      <c r="BC17" s="31" t="s">
        <v>75</v>
      </c>
      <c r="BD17" s="31" t="s">
        <v>75</v>
      </c>
      <c r="BE17" s="113">
        <v>0</v>
      </c>
      <c r="BF17" s="113">
        <v>0</v>
      </c>
      <c r="BG17" s="113">
        <v>0</v>
      </c>
      <c r="BH17" s="113">
        <v>0</v>
      </c>
      <c r="BI17" s="113">
        <v>0</v>
      </c>
      <c r="BJ17" s="113">
        <v>0</v>
      </c>
      <c r="BK17" s="113">
        <v>0</v>
      </c>
      <c r="BL17" s="113">
        <v>0</v>
      </c>
      <c r="BM17" s="113">
        <v>0</v>
      </c>
      <c r="BN17" s="113">
        <v>0</v>
      </c>
      <c r="BO17" s="113">
        <v>0</v>
      </c>
      <c r="BP17" s="113">
        <v>0</v>
      </c>
      <c r="BQ17" s="113">
        <v>0</v>
      </c>
      <c r="BR17" s="113">
        <v>0</v>
      </c>
      <c r="BS17" s="113">
        <v>0</v>
      </c>
      <c r="BT17" s="113">
        <v>0</v>
      </c>
      <c r="BU17" s="113">
        <v>0</v>
      </c>
      <c r="BV17" s="113">
        <v>0</v>
      </c>
      <c r="BW17" s="113"/>
      <c r="BX17" s="113"/>
      <c r="BY17" s="113"/>
      <c r="BZ17" s="113">
        <v>0</v>
      </c>
      <c r="CA17" s="113">
        <v>0</v>
      </c>
      <c r="CB17" s="113">
        <v>0</v>
      </c>
      <c r="CC17" s="113"/>
      <c r="CD17" s="113"/>
      <c r="CE17" s="113"/>
      <c r="CF17" s="113">
        <v>0</v>
      </c>
      <c r="CG17" s="113">
        <v>0</v>
      </c>
      <c r="CH17" s="113">
        <v>0</v>
      </c>
      <c r="CI17" s="113">
        <v>0</v>
      </c>
      <c r="CJ17" s="113">
        <v>0</v>
      </c>
      <c r="CK17" s="113">
        <v>0</v>
      </c>
      <c r="CL17" s="113">
        <v>0</v>
      </c>
      <c r="CM17" s="113">
        <v>0</v>
      </c>
      <c r="CN17" s="113">
        <v>0</v>
      </c>
      <c r="CO17" s="113">
        <v>0</v>
      </c>
      <c r="CP17" s="113">
        <v>0</v>
      </c>
      <c r="CQ17" s="113">
        <v>0</v>
      </c>
      <c r="CR17" s="113">
        <v>0</v>
      </c>
      <c r="CS17" s="113">
        <v>0</v>
      </c>
      <c r="CT17" s="113">
        <v>0</v>
      </c>
      <c r="CU17" s="113">
        <v>0</v>
      </c>
      <c r="CV17" s="113">
        <v>0</v>
      </c>
      <c r="CW17" s="113">
        <v>0</v>
      </c>
      <c r="CX17" s="113">
        <v>0</v>
      </c>
      <c r="CY17" s="113">
        <v>0</v>
      </c>
      <c r="CZ17" s="113">
        <v>0</v>
      </c>
      <c r="DA17" s="113">
        <v>0</v>
      </c>
      <c r="DB17" s="113">
        <v>0</v>
      </c>
      <c r="DC17" s="113">
        <v>0</v>
      </c>
      <c r="DD17" s="113">
        <v>0</v>
      </c>
      <c r="DE17" s="113">
        <v>0</v>
      </c>
      <c r="DF17" s="113">
        <v>0</v>
      </c>
      <c r="DG17" s="113">
        <v>0</v>
      </c>
      <c r="DH17" s="113">
        <v>0</v>
      </c>
      <c r="DI17" s="113">
        <v>0</v>
      </c>
      <c r="DJ17" s="113">
        <v>0</v>
      </c>
      <c r="DK17" s="113">
        <v>0</v>
      </c>
      <c r="DL17" s="113">
        <v>0</v>
      </c>
      <c r="DM17" s="113">
        <v>0</v>
      </c>
      <c r="DN17" s="113">
        <v>0</v>
      </c>
      <c r="DO17" s="113">
        <v>0</v>
      </c>
      <c r="DP17" s="113">
        <v>0</v>
      </c>
      <c r="DQ17" s="113">
        <v>0</v>
      </c>
      <c r="DR17" s="113">
        <v>0</v>
      </c>
      <c r="DS17" s="113">
        <v>0</v>
      </c>
      <c r="DT17" s="113">
        <v>0</v>
      </c>
      <c r="DU17" s="113">
        <v>0</v>
      </c>
      <c r="DV17" s="113">
        <v>0</v>
      </c>
      <c r="DW17" s="113">
        <v>0</v>
      </c>
      <c r="DX17" s="113">
        <v>0</v>
      </c>
      <c r="DY17" s="113">
        <v>0</v>
      </c>
      <c r="DZ17" s="113">
        <v>0</v>
      </c>
      <c r="EA17" s="113">
        <v>0</v>
      </c>
      <c r="EB17" s="113">
        <v>0</v>
      </c>
      <c r="EC17" s="113">
        <v>0</v>
      </c>
      <c r="ED17" s="113">
        <v>0</v>
      </c>
      <c r="EE17" s="113">
        <v>0</v>
      </c>
      <c r="EF17" s="113">
        <v>0</v>
      </c>
      <c r="EG17" s="113">
        <v>0</v>
      </c>
      <c r="EH17" s="113">
        <v>0</v>
      </c>
      <c r="EI17" s="113">
        <v>0</v>
      </c>
      <c r="EJ17" s="113">
        <v>0</v>
      </c>
      <c r="EK17" s="113">
        <v>0</v>
      </c>
      <c r="EL17" s="113">
        <v>0</v>
      </c>
      <c r="EM17" s="113">
        <v>0</v>
      </c>
      <c r="EN17" s="113">
        <v>0</v>
      </c>
      <c r="EO17" s="113">
        <v>0</v>
      </c>
      <c r="EP17" s="113">
        <v>0</v>
      </c>
      <c r="EQ17" s="113">
        <v>0</v>
      </c>
      <c r="ER17" s="113">
        <v>0</v>
      </c>
      <c r="ES17" s="113">
        <v>0</v>
      </c>
      <c r="ET17" s="113">
        <v>0</v>
      </c>
      <c r="EU17" s="113">
        <v>0</v>
      </c>
      <c r="EV17" s="113">
        <v>0</v>
      </c>
      <c r="EW17" s="113">
        <v>0</v>
      </c>
      <c r="EX17" s="113">
        <v>0</v>
      </c>
      <c r="EY17" s="113">
        <v>0</v>
      </c>
      <c r="EZ17" s="113">
        <v>0</v>
      </c>
      <c r="FA17" s="113">
        <v>0</v>
      </c>
      <c r="FB17" s="113">
        <v>0</v>
      </c>
      <c r="FC17" s="113">
        <v>0</v>
      </c>
      <c r="FD17" s="113">
        <v>0</v>
      </c>
      <c r="FE17" s="113">
        <v>0</v>
      </c>
      <c r="FF17" s="113">
        <v>0</v>
      </c>
      <c r="FG17" s="113">
        <v>0</v>
      </c>
      <c r="FH17" s="113">
        <v>0</v>
      </c>
      <c r="FI17" s="113">
        <v>0</v>
      </c>
      <c r="FJ17" s="113">
        <v>0</v>
      </c>
      <c r="FK17" s="113">
        <v>0</v>
      </c>
      <c r="FL17" s="113">
        <v>0</v>
      </c>
      <c r="FM17" s="113">
        <v>0</v>
      </c>
      <c r="FN17" s="113">
        <v>0</v>
      </c>
      <c r="FO17" s="113">
        <v>0</v>
      </c>
      <c r="FP17" s="113">
        <v>0</v>
      </c>
      <c r="FQ17" s="113">
        <v>0</v>
      </c>
      <c r="FR17" s="113">
        <v>0</v>
      </c>
      <c r="FS17" s="113">
        <v>0</v>
      </c>
      <c r="FT17" s="113">
        <v>0</v>
      </c>
      <c r="FU17" s="113">
        <v>0</v>
      </c>
      <c r="FV17" s="113">
        <v>0</v>
      </c>
      <c r="FW17" s="113">
        <v>0</v>
      </c>
      <c r="FX17" s="32">
        <v>0</v>
      </c>
      <c r="FY17" s="30">
        <v>0</v>
      </c>
      <c r="FZ17" s="30">
        <v>0</v>
      </c>
    </row>
    <row r="18" spans="1:182" x14ac:dyDescent="0.2">
      <c r="A18" s="28">
        <v>32112</v>
      </c>
      <c r="B18" s="28"/>
      <c r="C18" s="29">
        <v>542137</v>
      </c>
      <c r="D18" s="29">
        <v>203514</v>
      </c>
      <c r="E18" s="29">
        <f t="shared" si="0"/>
        <v>745651</v>
      </c>
      <c r="F18" s="30">
        <v>10623234</v>
      </c>
      <c r="G18" s="30">
        <v>0</v>
      </c>
      <c r="H18" s="30">
        <f t="shared" si="1"/>
        <v>10623234</v>
      </c>
      <c r="I18" s="42" t="s">
        <v>75</v>
      </c>
      <c r="J18" s="42" t="s">
        <v>75</v>
      </c>
      <c r="K18" s="32">
        <v>1265346</v>
      </c>
      <c r="L18" s="31" t="s">
        <v>75</v>
      </c>
      <c r="M18" s="31" t="s">
        <v>75</v>
      </c>
      <c r="N18" s="30">
        <v>15844181</v>
      </c>
      <c r="O18" s="31" t="s">
        <v>75</v>
      </c>
      <c r="P18" s="31" t="s">
        <v>75</v>
      </c>
      <c r="Q18" s="30">
        <v>10961746</v>
      </c>
      <c r="R18" s="31" t="s">
        <v>75</v>
      </c>
      <c r="S18" s="31" t="s">
        <v>75</v>
      </c>
      <c r="T18" s="32">
        <v>87698</v>
      </c>
      <c r="U18" s="31" t="s">
        <v>75</v>
      </c>
      <c r="V18" s="31" t="s">
        <v>75</v>
      </c>
      <c r="W18" s="31" t="s">
        <v>75</v>
      </c>
      <c r="X18" s="31" t="s">
        <v>75</v>
      </c>
      <c r="Y18" s="31" t="s">
        <v>75</v>
      </c>
      <c r="Z18" s="30">
        <v>161536</v>
      </c>
      <c r="AA18" s="31" t="s">
        <v>75</v>
      </c>
      <c r="AB18" s="31" t="s">
        <v>75</v>
      </c>
      <c r="AC18" s="30">
        <v>556312</v>
      </c>
      <c r="AD18" s="31" t="s">
        <v>75</v>
      </c>
      <c r="AE18" s="31" t="s">
        <v>75</v>
      </c>
      <c r="AF18" s="30">
        <v>85859</v>
      </c>
      <c r="AG18" s="42" t="s">
        <v>75</v>
      </c>
      <c r="AH18" s="42" t="s">
        <v>75</v>
      </c>
      <c r="AI18" s="32">
        <v>118643</v>
      </c>
      <c r="AJ18" s="31" t="s">
        <v>75</v>
      </c>
      <c r="AK18" s="31" t="s">
        <v>75</v>
      </c>
      <c r="AL18" s="31" t="s">
        <v>75</v>
      </c>
      <c r="AM18" s="31"/>
      <c r="AN18" s="31"/>
      <c r="AO18" s="31"/>
      <c r="AP18" s="31"/>
      <c r="AQ18" s="31"/>
      <c r="AR18" s="31"/>
      <c r="AS18" s="31" t="s">
        <v>75</v>
      </c>
      <c r="AT18" s="31" t="s">
        <v>75</v>
      </c>
      <c r="AU18" s="31" t="s">
        <v>75</v>
      </c>
      <c r="AV18" s="31" t="s">
        <v>75</v>
      </c>
      <c r="AW18" s="31" t="s">
        <v>75</v>
      </c>
      <c r="AX18" s="31" t="s">
        <v>75</v>
      </c>
      <c r="AY18" s="31" t="s">
        <v>75</v>
      </c>
      <c r="AZ18" s="31" t="s">
        <v>75</v>
      </c>
      <c r="BA18" s="31" t="s">
        <v>75</v>
      </c>
      <c r="BB18" s="31" t="s">
        <v>75</v>
      </c>
      <c r="BC18" s="31" t="s">
        <v>75</v>
      </c>
      <c r="BD18" s="31" t="s">
        <v>75</v>
      </c>
      <c r="BE18" s="113">
        <v>0</v>
      </c>
      <c r="BF18" s="113">
        <v>0</v>
      </c>
      <c r="BG18" s="113">
        <v>0</v>
      </c>
      <c r="BH18" s="113">
        <v>0</v>
      </c>
      <c r="BI18" s="113">
        <v>0</v>
      </c>
      <c r="BJ18" s="113">
        <v>0</v>
      </c>
      <c r="BK18" s="113">
        <v>0</v>
      </c>
      <c r="BL18" s="113">
        <v>0</v>
      </c>
      <c r="BM18" s="113">
        <v>0</v>
      </c>
      <c r="BN18" s="113">
        <v>0</v>
      </c>
      <c r="BO18" s="113">
        <v>0</v>
      </c>
      <c r="BP18" s="113">
        <v>0</v>
      </c>
      <c r="BQ18" s="113">
        <v>0</v>
      </c>
      <c r="BR18" s="113">
        <v>0</v>
      </c>
      <c r="BS18" s="113">
        <v>0</v>
      </c>
      <c r="BT18" s="113">
        <v>0</v>
      </c>
      <c r="BU18" s="113">
        <v>0</v>
      </c>
      <c r="BV18" s="113">
        <v>0</v>
      </c>
      <c r="BW18" s="113"/>
      <c r="BX18" s="113"/>
      <c r="BY18" s="113"/>
      <c r="BZ18" s="113">
        <v>0</v>
      </c>
      <c r="CA18" s="113">
        <v>0</v>
      </c>
      <c r="CB18" s="113">
        <v>0</v>
      </c>
      <c r="CC18" s="113"/>
      <c r="CD18" s="113"/>
      <c r="CE18" s="113"/>
      <c r="CF18" s="113">
        <v>0</v>
      </c>
      <c r="CG18" s="113">
        <v>0</v>
      </c>
      <c r="CH18" s="113">
        <v>0</v>
      </c>
      <c r="CI18" s="113">
        <v>0</v>
      </c>
      <c r="CJ18" s="113">
        <v>0</v>
      </c>
      <c r="CK18" s="113">
        <v>0</v>
      </c>
      <c r="CL18" s="113">
        <v>0</v>
      </c>
      <c r="CM18" s="113">
        <v>0</v>
      </c>
      <c r="CN18" s="113">
        <v>0</v>
      </c>
      <c r="CO18" s="113">
        <v>0</v>
      </c>
      <c r="CP18" s="113">
        <v>0</v>
      </c>
      <c r="CQ18" s="113">
        <v>0</v>
      </c>
      <c r="CR18" s="113">
        <v>0</v>
      </c>
      <c r="CS18" s="113">
        <v>0</v>
      </c>
      <c r="CT18" s="113">
        <v>0</v>
      </c>
      <c r="CU18" s="113">
        <v>0</v>
      </c>
      <c r="CV18" s="113">
        <v>0</v>
      </c>
      <c r="CW18" s="113">
        <v>0</v>
      </c>
      <c r="CX18" s="113">
        <v>0</v>
      </c>
      <c r="CY18" s="113">
        <v>0</v>
      </c>
      <c r="CZ18" s="113">
        <v>0</v>
      </c>
      <c r="DA18" s="113">
        <v>0</v>
      </c>
      <c r="DB18" s="113">
        <v>0</v>
      </c>
      <c r="DC18" s="113">
        <v>0</v>
      </c>
      <c r="DD18" s="113">
        <v>0</v>
      </c>
      <c r="DE18" s="113">
        <v>0</v>
      </c>
      <c r="DF18" s="113">
        <v>0</v>
      </c>
      <c r="DG18" s="113">
        <v>0</v>
      </c>
      <c r="DH18" s="113">
        <v>0</v>
      </c>
      <c r="DI18" s="113">
        <v>0</v>
      </c>
      <c r="DJ18" s="113">
        <v>0</v>
      </c>
      <c r="DK18" s="113">
        <v>0</v>
      </c>
      <c r="DL18" s="113">
        <v>0</v>
      </c>
      <c r="DM18" s="113">
        <v>0</v>
      </c>
      <c r="DN18" s="113">
        <v>0</v>
      </c>
      <c r="DO18" s="113">
        <v>0</v>
      </c>
      <c r="DP18" s="113">
        <v>0</v>
      </c>
      <c r="DQ18" s="113">
        <v>0</v>
      </c>
      <c r="DR18" s="113">
        <v>0</v>
      </c>
      <c r="DS18" s="113">
        <v>0</v>
      </c>
      <c r="DT18" s="113">
        <v>0</v>
      </c>
      <c r="DU18" s="113">
        <v>0</v>
      </c>
      <c r="DV18" s="113">
        <v>0</v>
      </c>
      <c r="DW18" s="113">
        <v>0</v>
      </c>
      <c r="DX18" s="113">
        <v>0</v>
      </c>
      <c r="DY18" s="113">
        <v>0</v>
      </c>
      <c r="DZ18" s="113">
        <v>0</v>
      </c>
      <c r="EA18" s="113">
        <v>0</v>
      </c>
      <c r="EB18" s="113">
        <v>0</v>
      </c>
      <c r="EC18" s="113">
        <v>0</v>
      </c>
      <c r="ED18" s="113">
        <v>0</v>
      </c>
      <c r="EE18" s="113">
        <v>0</v>
      </c>
      <c r="EF18" s="113">
        <v>0</v>
      </c>
      <c r="EG18" s="113">
        <v>0</v>
      </c>
      <c r="EH18" s="113">
        <v>0</v>
      </c>
      <c r="EI18" s="113">
        <v>0</v>
      </c>
      <c r="EJ18" s="113">
        <v>0</v>
      </c>
      <c r="EK18" s="113">
        <v>0</v>
      </c>
      <c r="EL18" s="113">
        <v>0</v>
      </c>
      <c r="EM18" s="113">
        <v>0</v>
      </c>
      <c r="EN18" s="113">
        <v>0</v>
      </c>
      <c r="EO18" s="113">
        <v>0</v>
      </c>
      <c r="EP18" s="113">
        <v>0</v>
      </c>
      <c r="EQ18" s="113">
        <v>0</v>
      </c>
      <c r="ER18" s="113">
        <v>0</v>
      </c>
      <c r="ES18" s="113">
        <v>0</v>
      </c>
      <c r="ET18" s="113">
        <v>0</v>
      </c>
      <c r="EU18" s="113">
        <v>0</v>
      </c>
      <c r="EV18" s="113">
        <v>0</v>
      </c>
      <c r="EW18" s="113">
        <v>0</v>
      </c>
      <c r="EX18" s="113">
        <v>0</v>
      </c>
      <c r="EY18" s="113">
        <v>0</v>
      </c>
      <c r="EZ18" s="113">
        <v>0</v>
      </c>
      <c r="FA18" s="113">
        <v>0</v>
      </c>
      <c r="FB18" s="113">
        <v>0</v>
      </c>
      <c r="FC18" s="113">
        <v>0</v>
      </c>
      <c r="FD18" s="113">
        <v>0</v>
      </c>
      <c r="FE18" s="113">
        <v>0</v>
      </c>
      <c r="FF18" s="113">
        <v>0</v>
      </c>
      <c r="FG18" s="113">
        <v>0</v>
      </c>
      <c r="FH18" s="113">
        <v>0</v>
      </c>
      <c r="FI18" s="113">
        <v>0</v>
      </c>
      <c r="FJ18" s="113">
        <v>0</v>
      </c>
      <c r="FK18" s="113">
        <v>0</v>
      </c>
      <c r="FL18" s="113">
        <v>0</v>
      </c>
      <c r="FM18" s="113">
        <v>0</v>
      </c>
      <c r="FN18" s="113">
        <v>0</v>
      </c>
      <c r="FO18" s="113">
        <v>0</v>
      </c>
      <c r="FP18" s="113">
        <v>0</v>
      </c>
      <c r="FQ18" s="113">
        <v>0</v>
      </c>
      <c r="FR18" s="113">
        <v>0</v>
      </c>
      <c r="FS18" s="113">
        <v>0</v>
      </c>
      <c r="FT18" s="113">
        <v>0</v>
      </c>
      <c r="FU18" s="113">
        <v>0</v>
      </c>
      <c r="FV18" s="113">
        <v>0</v>
      </c>
      <c r="FW18" s="113">
        <v>0</v>
      </c>
      <c r="FX18" s="32">
        <v>0</v>
      </c>
      <c r="FY18" s="30">
        <v>0</v>
      </c>
      <c r="FZ18" s="30">
        <v>0</v>
      </c>
    </row>
    <row r="19" spans="1:182" x14ac:dyDescent="0.2">
      <c r="A19" s="28">
        <v>32143</v>
      </c>
      <c r="B19" s="28"/>
      <c r="C19" s="29">
        <v>257301</v>
      </c>
      <c r="D19" s="29">
        <v>53878</v>
      </c>
      <c r="E19" s="29">
        <f t="shared" si="0"/>
        <v>311179</v>
      </c>
      <c r="F19" s="30">
        <v>8128721</v>
      </c>
      <c r="G19" s="30">
        <v>0</v>
      </c>
      <c r="H19" s="30">
        <f t="shared" si="1"/>
        <v>8128721</v>
      </c>
      <c r="I19" s="42" t="s">
        <v>75</v>
      </c>
      <c r="J19" s="42" t="s">
        <v>75</v>
      </c>
      <c r="K19" s="32">
        <v>1233139</v>
      </c>
      <c r="L19" s="31" t="s">
        <v>75</v>
      </c>
      <c r="M19" s="31" t="s">
        <v>75</v>
      </c>
      <c r="N19" s="30">
        <v>13363367</v>
      </c>
      <c r="O19" s="31" t="s">
        <v>75</v>
      </c>
      <c r="P19" s="31" t="s">
        <v>75</v>
      </c>
      <c r="Q19" s="30">
        <v>10799759</v>
      </c>
      <c r="R19" s="31" t="s">
        <v>75</v>
      </c>
      <c r="S19" s="31" t="s">
        <v>75</v>
      </c>
      <c r="T19" s="32">
        <v>55925</v>
      </c>
      <c r="U19" s="31" t="s">
        <v>75</v>
      </c>
      <c r="V19" s="31" t="s">
        <v>75</v>
      </c>
      <c r="W19" s="31" t="s">
        <v>75</v>
      </c>
      <c r="X19" s="31" t="s">
        <v>75</v>
      </c>
      <c r="Y19" s="31" t="s">
        <v>75</v>
      </c>
      <c r="Z19" s="30">
        <v>73385</v>
      </c>
      <c r="AA19" s="31" t="s">
        <v>75</v>
      </c>
      <c r="AB19" s="31" t="s">
        <v>75</v>
      </c>
      <c r="AC19" s="30">
        <v>315802</v>
      </c>
      <c r="AD19" s="31" t="s">
        <v>75</v>
      </c>
      <c r="AE19" s="31" t="s">
        <v>75</v>
      </c>
      <c r="AF19" s="30">
        <v>6429</v>
      </c>
      <c r="AG19" s="42" t="s">
        <v>75</v>
      </c>
      <c r="AH19" s="42" t="s">
        <v>75</v>
      </c>
      <c r="AI19" s="32">
        <v>82742</v>
      </c>
      <c r="AJ19" s="31" t="s">
        <v>75</v>
      </c>
      <c r="AK19" s="31" t="s">
        <v>75</v>
      </c>
      <c r="AL19" s="31" t="s">
        <v>75</v>
      </c>
      <c r="AM19" s="31"/>
      <c r="AN19" s="31"/>
      <c r="AO19" s="31"/>
      <c r="AP19" s="31"/>
      <c r="AQ19" s="31"/>
      <c r="AR19" s="31"/>
      <c r="AS19" s="31" t="s">
        <v>75</v>
      </c>
      <c r="AT19" s="31" t="s">
        <v>75</v>
      </c>
      <c r="AU19" s="31" t="s">
        <v>75</v>
      </c>
      <c r="AV19" s="31" t="s">
        <v>75</v>
      </c>
      <c r="AW19" s="31" t="s">
        <v>75</v>
      </c>
      <c r="AX19" s="31" t="s">
        <v>75</v>
      </c>
      <c r="AY19" s="31" t="s">
        <v>75</v>
      </c>
      <c r="AZ19" s="31" t="s">
        <v>75</v>
      </c>
      <c r="BA19" s="31" t="s">
        <v>75</v>
      </c>
      <c r="BB19" s="31" t="s">
        <v>75</v>
      </c>
      <c r="BC19" s="31" t="s">
        <v>75</v>
      </c>
      <c r="BD19" s="31" t="s">
        <v>75</v>
      </c>
      <c r="BE19" s="113">
        <v>0</v>
      </c>
      <c r="BF19" s="113">
        <v>0</v>
      </c>
      <c r="BG19" s="113">
        <v>0</v>
      </c>
      <c r="BH19" s="113">
        <v>0</v>
      </c>
      <c r="BI19" s="113">
        <v>0</v>
      </c>
      <c r="BJ19" s="113">
        <v>0</v>
      </c>
      <c r="BK19" s="113">
        <v>0</v>
      </c>
      <c r="BL19" s="113">
        <v>0</v>
      </c>
      <c r="BM19" s="113">
        <v>0</v>
      </c>
      <c r="BN19" s="113">
        <v>0</v>
      </c>
      <c r="BO19" s="113">
        <v>0</v>
      </c>
      <c r="BP19" s="113">
        <v>0</v>
      </c>
      <c r="BQ19" s="113">
        <v>0</v>
      </c>
      <c r="BR19" s="113">
        <v>0</v>
      </c>
      <c r="BS19" s="113">
        <v>0</v>
      </c>
      <c r="BT19" s="113">
        <v>0</v>
      </c>
      <c r="BU19" s="113">
        <v>0</v>
      </c>
      <c r="BV19" s="113">
        <v>0</v>
      </c>
      <c r="BW19" s="113"/>
      <c r="BX19" s="113"/>
      <c r="BY19" s="113"/>
      <c r="BZ19" s="113">
        <v>0</v>
      </c>
      <c r="CA19" s="113">
        <v>0</v>
      </c>
      <c r="CB19" s="113">
        <v>0</v>
      </c>
      <c r="CC19" s="113"/>
      <c r="CD19" s="113"/>
      <c r="CE19" s="113"/>
      <c r="CF19" s="113">
        <v>0</v>
      </c>
      <c r="CG19" s="113">
        <v>0</v>
      </c>
      <c r="CH19" s="113">
        <v>0</v>
      </c>
      <c r="CI19" s="113">
        <v>0</v>
      </c>
      <c r="CJ19" s="113">
        <v>0</v>
      </c>
      <c r="CK19" s="113">
        <v>0</v>
      </c>
      <c r="CL19" s="113">
        <v>0</v>
      </c>
      <c r="CM19" s="113">
        <v>0</v>
      </c>
      <c r="CN19" s="113">
        <v>0</v>
      </c>
      <c r="CO19" s="113">
        <v>0</v>
      </c>
      <c r="CP19" s="113">
        <v>0</v>
      </c>
      <c r="CQ19" s="113">
        <v>0</v>
      </c>
      <c r="CR19" s="113">
        <v>0</v>
      </c>
      <c r="CS19" s="113">
        <v>0</v>
      </c>
      <c r="CT19" s="113">
        <v>0</v>
      </c>
      <c r="CU19" s="113">
        <v>0</v>
      </c>
      <c r="CV19" s="113">
        <v>0</v>
      </c>
      <c r="CW19" s="113">
        <v>0</v>
      </c>
      <c r="CX19" s="113">
        <v>0</v>
      </c>
      <c r="CY19" s="113">
        <v>0</v>
      </c>
      <c r="CZ19" s="113">
        <v>0</v>
      </c>
      <c r="DA19" s="113">
        <v>0</v>
      </c>
      <c r="DB19" s="113">
        <v>0</v>
      </c>
      <c r="DC19" s="113">
        <v>0</v>
      </c>
      <c r="DD19" s="113">
        <v>0</v>
      </c>
      <c r="DE19" s="113">
        <v>0</v>
      </c>
      <c r="DF19" s="113">
        <v>0</v>
      </c>
      <c r="DG19" s="113">
        <v>0</v>
      </c>
      <c r="DH19" s="113">
        <v>0</v>
      </c>
      <c r="DI19" s="113">
        <v>0</v>
      </c>
      <c r="DJ19" s="113">
        <v>0</v>
      </c>
      <c r="DK19" s="113">
        <v>0</v>
      </c>
      <c r="DL19" s="113">
        <v>0</v>
      </c>
      <c r="DM19" s="113">
        <v>0</v>
      </c>
      <c r="DN19" s="113">
        <v>0</v>
      </c>
      <c r="DO19" s="113">
        <v>0</v>
      </c>
      <c r="DP19" s="113">
        <v>0</v>
      </c>
      <c r="DQ19" s="113">
        <v>0</v>
      </c>
      <c r="DR19" s="113">
        <v>0</v>
      </c>
      <c r="DS19" s="113">
        <v>0</v>
      </c>
      <c r="DT19" s="113">
        <v>0</v>
      </c>
      <c r="DU19" s="113">
        <v>0</v>
      </c>
      <c r="DV19" s="113">
        <v>0</v>
      </c>
      <c r="DW19" s="113">
        <v>0</v>
      </c>
      <c r="DX19" s="113">
        <v>0</v>
      </c>
      <c r="DY19" s="113">
        <v>0</v>
      </c>
      <c r="DZ19" s="113">
        <v>0</v>
      </c>
      <c r="EA19" s="113">
        <v>0</v>
      </c>
      <c r="EB19" s="113">
        <v>0</v>
      </c>
      <c r="EC19" s="113">
        <v>0</v>
      </c>
      <c r="ED19" s="113">
        <v>0</v>
      </c>
      <c r="EE19" s="113">
        <v>0</v>
      </c>
      <c r="EF19" s="113">
        <v>0</v>
      </c>
      <c r="EG19" s="113">
        <v>0</v>
      </c>
      <c r="EH19" s="113">
        <v>0</v>
      </c>
      <c r="EI19" s="113">
        <v>0</v>
      </c>
      <c r="EJ19" s="113">
        <v>0</v>
      </c>
      <c r="EK19" s="113">
        <v>0</v>
      </c>
      <c r="EL19" s="113">
        <v>0</v>
      </c>
      <c r="EM19" s="113">
        <v>0</v>
      </c>
      <c r="EN19" s="113">
        <v>0</v>
      </c>
      <c r="EO19" s="113">
        <v>0</v>
      </c>
      <c r="EP19" s="113">
        <v>0</v>
      </c>
      <c r="EQ19" s="113">
        <v>0</v>
      </c>
      <c r="ER19" s="113">
        <v>0</v>
      </c>
      <c r="ES19" s="113">
        <v>0</v>
      </c>
      <c r="ET19" s="113">
        <v>0</v>
      </c>
      <c r="EU19" s="113">
        <v>0</v>
      </c>
      <c r="EV19" s="113">
        <v>0</v>
      </c>
      <c r="EW19" s="113">
        <v>0</v>
      </c>
      <c r="EX19" s="113">
        <v>0</v>
      </c>
      <c r="EY19" s="113">
        <v>0</v>
      </c>
      <c r="EZ19" s="113">
        <v>0</v>
      </c>
      <c r="FA19" s="113">
        <v>0</v>
      </c>
      <c r="FB19" s="113">
        <v>0</v>
      </c>
      <c r="FC19" s="113">
        <v>0</v>
      </c>
      <c r="FD19" s="113">
        <v>0</v>
      </c>
      <c r="FE19" s="113">
        <v>0</v>
      </c>
      <c r="FF19" s="113">
        <v>0</v>
      </c>
      <c r="FG19" s="113">
        <v>0</v>
      </c>
      <c r="FH19" s="113">
        <v>0</v>
      </c>
      <c r="FI19" s="113">
        <v>0</v>
      </c>
      <c r="FJ19" s="113">
        <v>0</v>
      </c>
      <c r="FK19" s="113">
        <v>0</v>
      </c>
      <c r="FL19" s="113">
        <v>0</v>
      </c>
      <c r="FM19" s="113">
        <v>0</v>
      </c>
      <c r="FN19" s="113">
        <v>0</v>
      </c>
      <c r="FO19" s="113">
        <v>0</v>
      </c>
      <c r="FP19" s="113">
        <v>0</v>
      </c>
      <c r="FQ19" s="113">
        <v>0</v>
      </c>
      <c r="FR19" s="113">
        <v>0</v>
      </c>
      <c r="FS19" s="113">
        <v>0</v>
      </c>
      <c r="FT19" s="113">
        <v>0</v>
      </c>
      <c r="FU19" s="113">
        <v>0</v>
      </c>
      <c r="FV19" s="113">
        <v>0</v>
      </c>
      <c r="FW19" s="113">
        <v>0</v>
      </c>
      <c r="FX19" s="32">
        <v>0</v>
      </c>
      <c r="FY19" s="30">
        <v>0</v>
      </c>
      <c r="FZ19" s="30">
        <v>0</v>
      </c>
    </row>
    <row r="20" spans="1:182" x14ac:dyDescent="0.2">
      <c r="A20" s="28">
        <v>32174</v>
      </c>
      <c r="B20" s="28"/>
      <c r="C20" s="29">
        <v>354554</v>
      </c>
      <c r="D20" s="29">
        <v>75726</v>
      </c>
      <c r="E20" s="29">
        <f t="shared" si="0"/>
        <v>430280</v>
      </c>
      <c r="F20" s="30">
        <v>5401748</v>
      </c>
      <c r="G20" s="30">
        <v>0</v>
      </c>
      <c r="H20" s="30">
        <f t="shared" si="1"/>
        <v>5401748</v>
      </c>
      <c r="I20" s="42" t="s">
        <v>75</v>
      </c>
      <c r="J20" s="42" t="s">
        <v>75</v>
      </c>
      <c r="K20" s="32">
        <v>821565</v>
      </c>
      <c r="L20" s="31" t="s">
        <v>75</v>
      </c>
      <c r="M20" s="31" t="s">
        <v>75</v>
      </c>
      <c r="N20" s="30">
        <v>10527308</v>
      </c>
      <c r="O20" s="31" t="s">
        <v>75</v>
      </c>
      <c r="P20" s="31" t="s">
        <v>75</v>
      </c>
      <c r="Q20" s="30">
        <v>9516492</v>
      </c>
      <c r="R20" s="31" t="s">
        <v>75</v>
      </c>
      <c r="S20" s="31" t="s">
        <v>75</v>
      </c>
      <c r="T20" s="32">
        <v>251220</v>
      </c>
      <c r="U20" s="31" t="s">
        <v>75</v>
      </c>
      <c r="V20" s="31" t="s">
        <v>75</v>
      </c>
      <c r="W20" s="31" t="s">
        <v>75</v>
      </c>
      <c r="X20" s="31" t="s">
        <v>75</v>
      </c>
      <c r="Y20" s="31" t="s">
        <v>75</v>
      </c>
      <c r="Z20" s="30">
        <v>95775</v>
      </c>
      <c r="AA20" s="31" t="s">
        <v>75</v>
      </c>
      <c r="AB20" s="31" t="s">
        <v>75</v>
      </c>
      <c r="AC20" s="30">
        <v>472325</v>
      </c>
      <c r="AD20" s="31" t="s">
        <v>75</v>
      </c>
      <c r="AE20" s="31" t="s">
        <v>75</v>
      </c>
      <c r="AF20" s="30">
        <v>7932</v>
      </c>
      <c r="AG20" s="42" t="s">
        <v>75</v>
      </c>
      <c r="AH20" s="42" t="s">
        <v>75</v>
      </c>
      <c r="AI20" s="32">
        <v>82814</v>
      </c>
      <c r="AJ20" s="31" t="s">
        <v>75</v>
      </c>
      <c r="AK20" s="31" t="s">
        <v>75</v>
      </c>
      <c r="AL20" s="31" t="s">
        <v>75</v>
      </c>
      <c r="AM20" s="31"/>
      <c r="AN20" s="31"/>
      <c r="AO20" s="31"/>
      <c r="AP20" s="31"/>
      <c r="AQ20" s="31"/>
      <c r="AR20" s="31"/>
      <c r="AS20" s="31" t="s">
        <v>75</v>
      </c>
      <c r="AT20" s="31" t="s">
        <v>75</v>
      </c>
      <c r="AU20" s="31" t="s">
        <v>75</v>
      </c>
      <c r="AV20" s="31" t="s">
        <v>75</v>
      </c>
      <c r="AW20" s="31" t="s">
        <v>75</v>
      </c>
      <c r="AX20" s="31" t="s">
        <v>75</v>
      </c>
      <c r="AY20" s="31" t="s">
        <v>75</v>
      </c>
      <c r="AZ20" s="31" t="s">
        <v>75</v>
      </c>
      <c r="BA20" s="31" t="s">
        <v>75</v>
      </c>
      <c r="BB20" s="31" t="s">
        <v>75</v>
      </c>
      <c r="BC20" s="31" t="s">
        <v>75</v>
      </c>
      <c r="BD20" s="31" t="s">
        <v>75</v>
      </c>
      <c r="BE20" s="113">
        <v>0</v>
      </c>
      <c r="BF20" s="113">
        <v>0</v>
      </c>
      <c r="BG20" s="113">
        <v>0</v>
      </c>
      <c r="BH20" s="113">
        <v>0</v>
      </c>
      <c r="BI20" s="113">
        <v>0</v>
      </c>
      <c r="BJ20" s="113">
        <v>0</v>
      </c>
      <c r="BK20" s="113">
        <v>0</v>
      </c>
      <c r="BL20" s="113">
        <v>0</v>
      </c>
      <c r="BM20" s="113">
        <v>0</v>
      </c>
      <c r="BN20" s="113">
        <v>0</v>
      </c>
      <c r="BO20" s="113">
        <v>0</v>
      </c>
      <c r="BP20" s="113">
        <v>0</v>
      </c>
      <c r="BQ20" s="113">
        <v>0</v>
      </c>
      <c r="BR20" s="113">
        <v>0</v>
      </c>
      <c r="BS20" s="113">
        <v>0</v>
      </c>
      <c r="BT20" s="113">
        <v>0</v>
      </c>
      <c r="BU20" s="113">
        <v>0</v>
      </c>
      <c r="BV20" s="113">
        <v>0</v>
      </c>
      <c r="BW20" s="113"/>
      <c r="BX20" s="113"/>
      <c r="BY20" s="113"/>
      <c r="BZ20" s="113">
        <v>0</v>
      </c>
      <c r="CA20" s="113">
        <v>0</v>
      </c>
      <c r="CB20" s="113">
        <v>0</v>
      </c>
      <c r="CC20" s="113"/>
      <c r="CD20" s="113"/>
      <c r="CE20" s="113"/>
      <c r="CF20" s="113">
        <v>0</v>
      </c>
      <c r="CG20" s="113">
        <v>0</v>
      </c>
      <c r="CH20" s="113">
        <v>0</v>
      </c>
      <c r="CI20" s="113">
        <v>0</v>
      </c>
      <c r="CJ20" s="113">
        <v>0</v>
      </c>
      <c r="CK20" s="113">
        <v>0</v>
      </c>
      <c r="CL20" s="113">
        <v>0</v>
      </c>
      <c r="CM20" s="113">
        <v>0</v>
      </c>
      <c r="CN20" s="113">
        <v>0</v>
      </c>
      <c r="CO20" s="113">
        <v>0</v>
      </c>
      <c r="CP20" s="113">
        <v>0</v>
      </c>
      <c r="CQ20" s="113">
        <v>0</v>
      </c>
      <c r="CR20" s="113">
        <v>0</v>
      </c>
      <c r="CS20" s="113">
        <v>0</v>
      </c>
      <c r="CT20" s="113">
        <v>0</v>
      </c>
      <c r="CU20" s="113">
        <v>0</v>
      </c>
      <c r="CV20" s="113">
        <v>0</v>
      </c>
      <c r="CW20" s="113">
        <v>0</v>
      </c>
      <c r="CX20" s="113">
        <v>0</v>
      </c>
      <c r="CY20" s="113">
        <v>0</v>
      </c>
      <c r="CZ20" s="113">
        <v>0</v>
      </c>
      <c r="DA20" s="113">
        <v>0</v>
      </c>
      <c r="DB20" s="113">
        <v>0</v>
      </c>
      <c r="DC20" s="113">
        <v>0</v>
      </c>
      <c r="DD20" s="113">
        <v>0</v>
      </c>
      <c r="DE20" s="113">
        <v>0</v>
      </c>
      <c r="DF20" s="113">
        <v>0</v>
      </c>
      <c r="DG20" s="113">
        <v>0</v>
      </c>
      <c r="DH20" s="113">
        <v>0</v>
      </c>
      <c r="DI20" s="113">
        <v>0</v>
      </c>
      <c r="DJ20" s="113">
        <v>0</v>
      </c>
      <c r="DK20" s="113">
        <v>0</v>
      </c>
      <c r="DL20" s="113">
        <v>0</v>
      </c>
      <c r="DM20" s="113">
        <v>0</v>
      </c>
      <c r="DN20" s="113">
        <v>0</v>
      </c>
      <c r="DO20" s="113">
        <v>0</v>
      </c>
      <c r="DP20" s="113">
        <v>0</v>
      </c>
      <c r="DQ20" s="113">
        <v>0</v>
      </c>
      <c r="DR20" s="113">
        <v>0</v>
      </c>
      <c r="DS20" s="113">
        <v>0</v>
      </c>
      <c r="DT20" s="113">
        <v>0</v>
      </c>
      <c r="DU20" s="113">
        <v>0</v>
      </c>
      <c r="DV20" s="113">
        <v>0</v>
      </c>
      <c r="DW20" s="113">
        <v>0</v>
      </c>
      <c r="DX20" s="113">
        <v>0</v>
      </c>
      <c r="DY20" s="113">
        <v>0</v>
      </c>
      <c r="DZ20" s="113">
        <v>0</v>
      </c>
      <c r="EA20" s="113">
        <v>0</v>
      </c>
      <c r="EB20" s="113">
        <v>0</v>
      </c>
      <c r="EC20" s="113">
        <v>0</v>
      </c>
      <c r="ED20" s="113">
        <v>0</v>
      </c>
      <c r="EE20" s="113">
        <v>0</v>
      </c>
      <c r="EF20" s="113">
        <v>0</v>
      </c>
      <c r="EG20" s="113">
        <v>0</v>
      </c>
      <c r="EH20" s="113">
        <v>0</v>
      </c>
      <c r="EI20" s="113">
        <v>0</v>
      </c>
      <c r="EJ20" s="113">
        <v>0</v>
      </c>
      <c r="EK20" s="113">
        <v>0</v>
      </c>
      <c r="EL20" s="113">
        <v>0</v>
      </c>
      <c r="EM20" s="113">
        <v>0</v>
      </c>
      <c r="EN20" s="113">
        <v>0</v>
      </c>
      <c r="EO20" s="113">
        <v>0</v>
      </c>
      <c r="EP20" s="113">
        <v>0</v>
      </c>
      <c r="EQ20" s="113">
        <v>0</v>
      </c>
      <c r="ER20" s="113">
        <v>0</v>
      </c>
      <c r="ES20" s="113">
        <v>0</v>
      </c>
      <c r="ET20" s="113">
        <v>0</v>
      </c>
      <c r="EU20" s="113">
        <v>0</v>
      </c>
      <c r="EV20" s="113">
        <v>0</v>
      </c>
      <c r="EW20" s="113">
        <v>0</v>
      </c>
      <c r="EX20" s="113">
        <v>0</v>
      </c>
      <c r="EY20" s="113">
        <v>0</v>
      </c>
      <c r="EZ20" s="113">
        <v>0</v>
      </c>
      <c r="FA20" s="113">
        <v>0</v>
      </c>
      <c r="FB20" s="113">
        <v>0</v>
      </c>
      <c r="FC20" s="113">
        <v>0</v>
      </c>
      <c r="FD20" s="113">
        <v>0</v>
      </c>
      <c r="FE20" s="113">
        <v>0</v>
      </c>
      <c r="FF20" s="113">
        <v>0</v>
      </c>
      <c r="FG20" s="113">
        <v>0</v>
      </c>
      <c r="FH20" s="113">
        <v>0</v>
      </c>
      <c r="FI20" s="113">
        <v>0</v>
      </c>
      <c r="FJ20" s="113">
        <v>0</v>
      </c>
      <c r="FK20" s="113">
        <v>0</v>
      </c>
      <c r="FL20" s="113">
        <v>0</v>
      </c>
      <c r="FM20" s="113">
        <v>0</v>
      </c>
      <c r="FN20" s="113">
        <v>0</v>
      </c>
      <c r="FO20" s="113">
        <v>0</v>
      </c>
      <c r="FP20" s="113">
        <v>0</v>
      </c>
      <c r="FQ20" s="113">
        <v>0</v>
      </c>
      <c r="FR20" s="113">
        <v>0</v>
      </c>
      <c r="FS20" s="113">
        <v>0</v>
      </c>
      <c r="FT20" s="113">
        <v>0</v>
      </c>
      <c r="FU20" s="113">
        <v>0</v>
      </c>
      <c r="FV20" s="113">
        <v>0</v>
      </c>
      <c r="FW20" s="113">
        <v>0</v>
      </c>
      <c r="FX20" s="32">
        <v>0</v>
      </c>
      <c r="FY20" s="30">
        <v>0</v>
      </c>
      <c r="FZ20" s="30">
        <v>0</v>
      </c>
    </row>
    <row r="21" spans="1:182" x14ac:dyDescent="0.2">
      <c r="A21" s="28">
        <v>32203</v>
      </c>
      <c r="B21" s="28"/>
      <c r="C21" s="29">
        <v>304078</v>
      </c>
      <c r="D21" s="29">
        <v>85344</v>
      </c>
      <c r="E21" s="29">
        <f t="shared" si="0"/>
        <v>389422</v>
      </c>
      <c r="F21" s="30">
        <v>5180179</v>
      </c>
      <c r="G21" s="30">
        <v>0</v>
      </c>
      <c r="H21" s="30">
        <f t="shared" si="1"/>
        <v>5180179</v>
      </c>
      <c r="I21" s="42" t="s">
        <v>75</v>
      </c>
      <c r="J21" s="42" t="s">
        <v>75</v>
      </c>
      <c r="K21" s="32">
        <v>898066</v>
      </c>
      <c r="L21" s="31" t="s">
        <v>75</v>
      </c>
      <c r="M21" s="31" t="s">
        <v>75</v>
      </c>
      <c r="N21" s="30">
        <v>11645983</v>
      </c>
      <c r="O21" s="31" t="s">
        <v>75</v>
      </c>
      <c r="P21" s="31" t="s">
        <v>75</v>
      </c>
      <c r="Q21" s="30">
        <v>10547020</v>
      </c>
      <c r="R21" s="31" t="s">
        <v>75</v>
      </c>
      <c r="S21" s="31" t="s">
        <v>75</v>
      </c>
      <c r="T21" s="32">
        <v>201005</v>
      </c>
      <c r="U21" s="31" t="s">
        <v>75</v>
      </c>
      <c r="V21" s="31" t="s">
        <v>75</v>
      </c>
      <c r="W21" s="31" t="s">
        <v>75</v>
      </c>
      <c r="X21" s="31" t="s">
        <v>75</v>
      </c>
      <c r="Y21" s="31" t="s">
        <v>75</v>
      </c>
      <c r="Z21" s="30">
        <v>96665</v>
      </c>
      <c r="AA21" s="31" t="s">
        <v>75</v>
      </c>
      <c r="AB21" s="31" t="s">
        <v>75</v>
      </c>
      <c r="AC21" s="30">
        <v>420629</v>
      </c>
      <c r="AD21" s="31" t="s">
        <v>75</v>
      </c>
      <c r="AE21" s="31" t="s">
        <v>75</v>
      </c>
      <c r="AF21" s="30">
        <v>5542</v>
      </c>
      <c r="AG21" s="42" t="s">
        <v>75</v>
      </c>
      <c r="AH21" s="42" t="s">
        <v>75</v>
      </c>
      <c r="AI21" s="32">
        <v>95083</v>
      </c>
      <c r="AJ21" s="31" t="s">
        <v>75</v>
      </c>
      <c r="AK21" s="31" t="s">
        <v>75</v>
      </c>
      <c r="AL21" s="31" t="s">
        <v>75</v>
      </c>
      <c r="AM21" s="31"/>
      <c r="AN21" s="31"/>
      <c r="AO21" s="31"/>
      <c r="AP21" s="31"/>
      <c r="AQ21" s="31"/>
      <c r="AR21" s="31"/>
      <c r="AS21" s="31" t="s">
        <v>75</v>
      </c>
      <c r="AT21" s="31" t="s">
        <v>75</v>
      </c>
      <c r="AU21" s="31" t="s">
        <v>75</v>
      </c>
      <c r="AV21" s="31" t="s">
        <v>75</v>
      </c>
      <c r="AW21" s="31" t="s">
        <v>75</v>
      </c>
      <c r="AX21" s="31" t="s">
        <v>75</v>
      </c>
      <c r="AY21" s="31" t="s">
        <v>75</v>
      </c>
      <c r="AZ21" s="31" t="s">
        <v>75</v>
      </c>
      <c r="BA21" s="31" t="s">
        <v>75</v>
      </c>
      <c r="BB21" s="31" t="s">
        <v>75</v>
      </c>
      <c r="BC21" s="31" t="s">
        <v>75</v>
      </c>
      <c r="BD21" s="31" t="s">
        <v>75</v>
      </c>
      <c r="BE21" s="113">
        <v>0</v>
      </c>
      <c r="BF21" s="113">
        <v>0</v>
      </c>
      <c r="BG21" s="113">
        <v>0</v>
      </c>
      <c r="BH21" s="113">
        <v>0</v>
      </c>
      <c r="BI21" s="113">
        <v>0</v>
      </c>
      <c r="BJ21" s="113">
        <v>0</v>
      </c>
      <c r="BK21" s="113">
        <v>0</v>
      </c>
      <c r="BL21" s="113">
        <v>0</v>
      </c>
      <c r="BM21" s="113">
        <v>0</v>
      </c>
      <c r="BN21" s="113">
        <v>0</v>
      </c>
      <c r="BO21" s="113">
        <v>0</v>
      </c>
      <c r="BP21" s="113">
        <v>0</v>
      </c>
      <c r="BQ21" s="113">
        <v>0</v>
      </c>
      <c r="BR21" s="113">
        <v>0</v>
      </c>
      <c r="BS21" s="113">
        <v>0</v>
      </c>
      <c r="BT21" s="113">
        <v>0</v>
      </c>
      <c r="BU21" s="113">
        <v>0</v>
      </c>
      <c r="BV21" s="113">
        <v>0</v>
      </c>
      <c r="BW21" s="113"/>
      <c r="BX21" s="113"/>
      <c r="BY21" s="113"/>
      <c r="BZ21" s="113">
        <v>0</v>
      </c>
      <c r="CA21" s="113">
        <v>0</v>
      </c>
      <c r="CB21" s="113">
        <v>0</v>
      </c>
      <c r="CC21" s="113"/>
      <c r="CD21" s="113"/>
      <c r="CE21" s="113"/>
      <c r="CF21" s="113">
        <v>0</v>
      </c>
      <c r="CG21" s="113">
        <v>0</v>
      </c>
      <c r="CH21" s="113">
        <v>0</v>
      </c>
      <c r="CI21" s="113">
        <v>0</v>
      </c>
      <c r="CJ21" s="113">
        <v>0</v>
      </c>
      <c r="CK21" s="113">
        <v>0</v>
      </c>
      <c r="CL21" s="113">
        <v>0</v>
      </c>
      <c r="CM21" s="113">
        <v>0</v>
      </c>
      <c r="CN21" s="113">
        <v>0</v>
      </c>
      <c r="CO21" s="113">
        <v>0</v>
      </c>
      <c r="CP21" s="113">
        <v>0</v>
      </c>
      <c r="CQ21" s="113">
        <v>0</v>
      </c>
      <c r="CR21" s="113">
        <v>0</v>
      </c>
      <c r="CS21" s="113">
        <v>0</v>
      </c>
      <c r="CT21" s="113">
        <v>0</v>
      </c>
      <c r="CU21" s="113">
        <v>0</v>
      </c>
      <c r="CV21" s="113">
        <v>0</v>
      </c>
      <c r="CW21" s="113">
        <v>0</v>
      </c>
      <c r="CX21" s="113">
        <v>0</v>
      </c>
      <c r="CY21" s="113">
        <v>0</v>
      </c>
      <c r="CZ21" s="113">
        <v>0</v>
      </c>
      <c r="DA21" s="113">
        <v>0</v>
      </c>
      <c r="DB21" s="113">
        <v>0</v>
      </c>
      <c r="DC21" s="113">
        <v>0</v>
      </c>
      <c r="DD21" s="113">
        <v>0</v>
      </c>
      <c r="DE21" s="113">
        <v>0</v>
      </c>
      <c r="DF21" s="113">
        <v>0</v>
      </c>
      <c r="DG21" s="113">
        <v>0</v>
      </c>
      <c r="DH21" s="113">
        <v>0</v>
      </c>
      <c r="DI21" s="113">
        <v>0</v>
      </c>
      <c r="DJ21" s="113">
        <v>0</v>
      </c>
      <c r="DK21" s="113">
        <v>0</v>
      </c>
      <c r="DL21" s="113">
        <v>0</v>
      </c>
      <c r="DM21" s="113">
        <v>0</v>
      </c>
      <c r="DN21" s="113">
        <v>0</v>
      </c>
      <c r="DO21" s="113">
        <v>0</v>
      </c>
      <c r="DP21" s="113">
        <v>0</v>
      </c>
      <c r="DQ21" s="113">
        <v>0</v>
      </c>
      <c r="DR21" s="113">
        <v>0</v>
      </c>
      <c r="DS21" s="113">
        <v>0</v>
      </c>
      <c r="DT21" s="113">
        <v>0</v>
      </c>
      <c r="DU21" s="113">
        <v>0</v>
      </c>
      <c r="DV21" s="113">
        <v>0</v>
      </c>
      <c r="DW21" s="113">
        <v>0</v>
      </c>
      <c r="DX21" s="113">
        <v>0</v>
      </c>
      <c r="DY21" s="113">
        <v>0</v>
      </c>
      <c r="DZ21" s="113">
        <v>0</v>
      </c>
      <c r="EA21" s="113">
        <v>0</v>
      </c>
      <c r="EB21" s="113">
        <v>0</v>
      </c>
      <c r="EC21" s="113">
        <v>0</v>
      </c>
      <c r="ED21" s="113">
        <v>0</v>
      </c>
      <c r="EE21" s="113">
        <v>0</v>
      </c>
      <c r="EF21" s="113">
        <v>0</v>
      </c>
      <c r="EG21" s="113">
        <v>0</v>
      </c>
      <c r="EH21" s="113">
        <v>0</v>
      </c>
      <c r="EI21" s="113">
        <v>0</v>
      </c>
      <c r="EJ21" s="113">
        <v>0</v>
      </c>
      <c r="EK21" s="113">
        <v>0</v>
      </c>
      <c r="EL21" s="113">
        <v>0</v>
      </c>
      <c r="EM21" s="113">
        <v>0</v>
      </c>
      <c r="EN21" s="113">
        <v>0</v>
      </c>
      <c r="EO21" s="113">
        <v>0</v>
      </c>
      <c r="EP21" s="113">
        <v>0</v>
      </c>
      <c r="EQ21" s="113">
        <v>0</v>
      </c>
      <c r="ER21" s="113">
        <v>0</v>
      </c>
      <c r="ES21" s="113">
        <v>0</v>
      </c>
      <c r="ET21" s="113">
        <v>0</v>
      </c>
      <c r="EU21" s="113">
        <v>0</v>
      </c>
      <c r="EV21" s="113">
        <v>0</v>
      </c>
      <c r="EW21" s="113">
        <v>0</v>
      </c>
      <c r="EX21" s="113">
        <v>0</v>
      </c>
      <c r="EY21" s="113">
        <v>0</v>
      </c>
      <c r="EZ21" s="113">
        <v>0</v>
      </c>
      <c r="FA21" s="113">
        <v>0</v>
      </c>
      <c r="FB21" s="113">
        <v>0</v>
      </c>
      <c r="FC21" s="113">
        <v>0</v>
      </c>
      <c r="FD21" s="113">
        <v>0</v>
      </c>
      <c r="FE21" s="113">
        <v>0</v>
      </c>
      <c r="FF21" s="113">
        <v>0</v>
      </c>
      <c r="FG21" s="113">
        <v>0</v>
      </c>
      <c r="FH21" s="113">
        <v>0</v>
      </c>
      <c r="FI21" s="113">
        <v>0</v>
      </c>
      <c r="FJ21" s="113">
        <v>0</v>
      </c>
      <c r="FK21" s="113">
        <v>0</v>
      </c>
      <c r="FL21" s="113">
        <v>0</v>
      </c>
      <c r="FM21" s="113">
        <v>0</v>
      </c>
      <c r="FN21" s="113">
        <v>0</v>
      </c>
      <c r="FO21" s="113">
        <v>0</v>
      </c>
      <c r="FP21" s="113">
        <v>0</v>
      </c>
      <c r="FQ21" s="113">
        <v>0</v>
      </c>
      <c r="FR21" s="113">
        <v>0</v>
      </c>
      <c r="FS21" s="113">
        <v>0</v>
      </c>
      <c r="FT21" s="113">
        <v>0</v>
      </c>
      <c r="FU21" s="113">
        <v>0</v>
      </c>
      <c r="FV21" s="113">
        <v>0</v>
      </c>
      <c r="FW21" s="113">
        <v>0</v>
      </c>
      <c r="FX21" s="32">
        <v>0</v>
      </c>
      <c r="FY21" s="30">
        <v>0</v>
      </c>
      <c r="FZ21" s="30">
        <v>0</v>
      </c>
    </row>
    <row r="22" spans="1:182" x14ac:dyDescent="0.2">
      <c r="A22" s="28">
        <v>32234</v>
      </c>
      <c r="B22" s="28"/>
      <c r="C22" s="29">
        <v>399040</v>
      </c>
      <c r="D22" s="29">
        <v>88868</v>
      </c>
      <c r="E22" s="29">
        <f t="shared" si="0"/>
        <v>487908</v>
      </c>
      <c r="F22" s="30">
        <v>3135805</v>
      </c>
      <c r="G22" s="30">
        <v>0</v>
      </c>
      <c r="H22" s="30">
        <f t="shared" si="1"/>
        <v>3135805</v>
      </c>
      <c r="I22" s="42" t="s">
        <v>75</v>
      </c>
      <c r="J22" s="42" t="s">
        <v>75</v>
      </c>
      <c r="K22" s="32">
        <v>598933</v>
      </c>
      <c r="L22" s="31" t="s">
        <v>75</v>
      </c>
      <c r="M22" s="31" t="s">
        <v>75</v>
      </c>
      <c r="N22" s="30">
        <v>8992958</v>
      </c>
      <c r="O22" s="31" t="s">
        <v>75</v>
      </c>
      <c r="P22" s="31" t="s">
        <v>75</v>
      </c>
      <c r="Q22" s="30">
        <v>7818562</v>
      </c>
      <c r="R22" s="31" t="s">
        <v>75</v>
      </c>
      <c r="S22" s="31" t="s">
        <v>75</v>
      </c>
      <c r="T22" s="32">
        <v>283405</v>
      </c>
      <c r="U22" s="31" t="s">
        <v>75</v>
      </c>
      <c r="V22" s="31" t="s">
        <v>75</v>
      </c>
      <c r="W22" s="31" t="s">
        <v>75</v>
      </c>
      <c r="X22" s="31" t="s">
        <v>75</v>
      </c>
      <c r="Y22" s="31" t="s">
        <v>75</v>
      </c>
      <c r="Z22" s="30">
        <v>132632</v>
      </c>
      <c r="AA22" s="31" t="s">
        <v>75</v>
      </c>
      <c r="AB22" s="31" t="s">
        <v>75</v>
      </c>
      <c r="AC22" s="30">
        <v>471906</v>
      </c>
      <c r="AD22" s="31" t="s">
        <v>75</v>
      </c>
      <c r="AE22" s="31" t="s">
        <v>75</v>
      </c>
      <c r="AF22" s="30">
        <v>8286</v>
      </c>
      <c r="AG22" s="42" t="s">
        <v>75</v>
      </c>
      <c r="AH22" s="42" t="s">
        <v>75</v>
      </c>
      <c r="AI22" s="32">
        <v>102407</v>
      </c>
      <c r="AJ22" s="31" t="s">
        <v>75</v>
      </c>
      <c r="AK22" s="31" t="s">
        <v>75</v>
      </c>
      <c r="AL22" s="31" t="s">
        <v>75</v>
      </c>
      <c r="AM22" s="31"/>
      <c r="AN22" s="31"/>
      <c r="AO22" s="31"/>
      <c r="AP22" s="31"/>
      <c r="AQ22" s="31"/>
      <c r="AR22" s="31"/>
      <c r="AS22" s="31" t="s">
        <v>75</v>
      </c>
      <c r="AT22" s="31" t="s">
        <v>75</v>
      </c>
      <c r="AU22" s="31" t="s">
        <v>75</v>
      </c>
      <c r="AV22" s="31" t="s">
        <v>75</v>
      </c>
      <c r="AW22" s="31" t="s">
        <v>75</v>
      </c>
      <c r="AX22" s="31" t="s">
        <v>75</v>
      </c>
      <c r="AY22" s="31" t="s">
        <v>75</v>
      </c>
      <c r="AZ22" s="31" t="s">
        <v>75</v>
      </c>
      <c r="BA22" s="31" t="s">
        <v>75</v>
      </c>
      <c r="BB22" s="31" t="s">
        <v>75</v>
      </c>
      <c r="BC22" s="31" t="s">
        <v>75</v>
      </c>
      <c r="BD22" s="31" t="s">
        <v>75</v>
      </c>
      <c r="BE22" s="113">
        <v>0</v>
      </c>
      <c r="BF22" s="113">
        <v>0</v>
      </c>
      <c r="BG22" s="113">
        <v>0</v>
      </c>
      <c r="BH22" s="113">
        <v>0</v>
      </c>
      <c r="BI22" s="113">
        <v>0</v>
      </c>
      <c r="BJ22" s="113">
        <v>0</v>
      </c>
      <c r="BK22" s="113">
        <v>0</v>
      </c>
      <c r="BL22" s="113">
        <v>0</v>
      </c>
      <c r="BM22" s="113">
        <v>0</v>
      </c>
      <c r="BN22" s="113">
        <v>0</v>
      </c>
      <c r="BO22" s="113">
        <v>0</v>
      </c>
      <c r="BP22" s="113">
        <v>0</v>
      </c>
      <c r="BQ22" s="113">
        <v>0</v>
      </c>
      <c r="BR22" s="113">
        <v>0</v>
      </c>
      <c r="BS22" s="113">
        <v>0</v>
      </c>
      <c r="BT22" s="113">
        <v>0</v>
      </c>
      <c r="BU22" s="113">
        <v>0</v>
      </c>
      <c r="BV22" s="113">
        <v>0</v>
      </c>
      <c r="BW22" s="113"/>
      <c r="BX22" s="113"/>
      <c r="BY22" s="113"/>
      <c r="BZ22" s="113">
        <v>0</v>
      </c>
      <c r="CA22" s="113">
        <v>0</v>
      </c>
      <c r="CB22" s="113">
        <v>0</v>
      </c>
      <c r="CC22" s="113"/>
      <c r="CD22" s="113"/>
      <c r="CE22" s="113"/>
      <c r="CF22" s="113">
        <v>0</v>
      </c>
      <c r="CG22" s="113">
        <v>0</v>
      </c>
      <c r="CH22" s="113">
        <v>0</v>
      </c>
      <c r="CI22" s="113">
        <v>0</v>
      </c>
      <c r="CJ22" s="113">
        <v>0</v>
      </c>
      <c r="CK22" s="113">
        <v>0</v>
      </c>
      <c r="CL22" s="113">
        <v>0</v>
      </c>
      <c r="CM22" s="113">
        <v>0</v>
      </c>
      <c r="CN22" s="113">
        <v>0</v>
      </c>
      <c r="CO22" s="113">
        <v>0</v>
      </c>
      <c r="CP22" s="113">
        <v>0</v>
      </c>
      <c r="CQ22" s="113">
        <v>0</v>
      </c>
      <c r="CR22" s="113">
        <v>0</v>
      </c>
      <c r="CS22" s="113">
        <v>0</v>
      </c>
      <c r="CT22" s="113">
        <v>0</v>
      </c>
      <c r="CU22" s="113">
        <v>0</v>
      </c>
      <c r="CV22" s="113">
        <v>0</v>
      </c>
      <c r="CW22" s="113">
        <v>0</v>
      </c>
      <c r="CX22" s="113">
        <v>0</v>
      </c>
      <c r="CY22" s="113">
        <v>0</v>
      </c>
      <c r="CZ22" s="113">
        <v>0</v>
      </c>
      <c r="DA22" s="113">
        <v>0</v>
      </c>
      <c r="DB22" s="113">
        <v>0</v>
      </c>
      <c r="DC22" s="113">
        <v>0</v>
      </c>
      <c r="DD22" s="113">
        <v>0</v>
      </c>
      <c r="DE22" s="113">
        <v>0</v>
      </c>
      <c r="DF22" s="113">
        <v>0</v>
      </c>
      <c r="DG22" s="113">
        <v>0</v>
      </c>
      <c r="DH22" s="113">
        <v>0</v>
      </c>
      <c r="DI22" s="113">
        <v>0</v>
      </c>
      <c r="DJ22" s="113">
        <v>0</v>
      </c>
      <c r="DK22" s="113">
        <v>0</v>
      </c>
      <c r="DL22" s="113">
        <v>0</v>
      </c>
      <c r="DM22" s="113">
        <v>0</v>
      </c>
      <c r="DN22" s="113">
        <v>0</v>
      </c>
      <c r="DO22" s="113">
        <v>0</v>
      </c>
      <c r="DP22" s="113">
        <v>0</v>
      </c>
      <c r="DQ22" s="113">
        <v>0</v>
      </c>
      <c r="DR22" s="113">
        <v>0</v>
      </c>
      <c r="DS22" s="113">
        <v>0</v>
      </c>
      <c r="DT22" s="113">
        <v>0</v>
      </c>
      <c r="DU22" s="113">
        <v>0</v>
      </c>
      <c r="DV22" s="113">
        <v>0</v>
      </c>
      <c r="DW22" s="113">
        <v>0</v>
      </c>
      <c r="DX22" s="113">
        <v>0</v>
      </c>
      <c r="DY22" s="113">
        <v>0</v>
      </c>
      <c r="DZ22" s="113">
        <v>0</v>
      </c>
      <c r="EA22" s="113">
        <v>0</v>
      </c>
      <c r="EB22" s="113">
        <v>0</v>
      </c>
      <c r="EC22" s="113">
        <v>0</v>
      </c>
      <c r="ED22" s="113">
        <v>0</v>
      </c>
      <c r="EE22" s="113">
        <v>0</v>
      </c>
      <c r="EF22" s="113">
        <v>0</v>
      </c>
      <c r="EG22" s="113">
        <v>0</v>
      </c>
      <c r="EH22" s="113">
        <v>0</v>
      </c>
      <c r="EI22" s="113">
        <v>0</v>
      </c>
      <c r="EJ22" s="113">
        <v>0</v>
      </c>
      <c r="EK22" s="113">
        <v>0</v>
      </c>
      <c r="EL22" s="113">
        <v>0</v>
      </c>
      <c r="EM22" s="113">
        <v>0</v>
      </c>
      <c r="EN22" s="113">
        <v>0</v>
      </c>
      <c r="EO22" s="113">
        <v>0</v>
      </c>
      <c r="EP22" s="113">
        <v>0</v>
      </c>
      <c r="EQ22" s="113">
        <v>0</v>
      </c>
      <c r="ER22" s="113">
        <v>0</v>
      </c>
      <c r="ES22" s="113">
        <v>0</v>
      </c>
      <c r="ET22" s="113">
        <v>0</v>
      </c>
      <c r="EU22" s="113">
        <v>0</v>
      </c>
      <c r="EV22" s="113">
        <v>0</v>
      </c>
      <c r="EW22" s="113">
        <v>0</v>
      </c>
      <c r="EX22" s="113">
        <v>0</v>
      </c>
      <c r="EY22" s="113">
        <v>0</v>
      </c>
      <c r="EZ22" s="113">
        <v>0</v>
      </c>
      <c r="FA22" s="113">
        <v>0</v>
      </c>
      <c r="FB22" s="113">
        <v>0</v>
      </c>
      <c r="FC22" s="113">
        <v>0</v>
      </c>
      <c r="FD22" s="113">
        <v>0</v>
      </c>
      <c r="FE22" s="113">
        <v>0</v>
      </c>
      <c r="FF22" s="113">
        <v>0</v>
      </c>
      <c r="FG22" s="113">
        <v>0</v>
      </c>
      <c r="FH22" s="113">
        <v>0</v>
      </c>
      <c r="FI22" s="113">
        <v>0</v>
      </c>
      <c r="FJ22" s="113">
        <v>0</v>
      </c>
      <c r="FK22" s="113">
        <v>0</v>
      </c>
      <c r="FL22" s="113">
        <v>0</v>
      </c>
      <c r="FM22" s="113">
        <v>0</v>
      </c>
      <c r="FN22" s="113">
        <v>0</v>
      </c>
      <c r="FO22" s="113">
        <v>0</v>
      </c>
      <c r="FP22" s="113">
        <v>0</v>
      </c>
      <c r="FQ22" s="113">
        <v>0</v>
      </c>
      <c r="FR22" s="113">
        <v>0</v>
      </c>
      <c r="FS22" s="113">
        <v>0</v>
      </c>
      <c r="FT22" s="113">
        <v>0</v>
      </c>
      <c r="FU22" s="113">
        <v>0</v>
      </c>
      <c r="FV22" s="113">
        <v>0</v>
      </c>
      <c r="FW22" s="113">
        <v>0</v>
      </c>
      <c r="FX22" s="32">
        <v>0</v>
      </c>
      <c r="FY22" s="30">
        <v>0</v>
      </c>
      <c r="FZ22" s="30">
        <v>0</v>
      </c>
    </row>
    <row r="23" spans="1:182" x14ac:dyDescent="0.2">
      <c r="A23" s="28">
        <v>32264</v>
      </c>
      <c r="B23" s="28"/>
      <c r="C23" s="29">
        <v>320310</v>
      </c>
      <c r="D23" s="29">
        <v>62787</v>
      </c>
      <c r="E23" s="29">
        <f t="shared" si="0"/>
        <v>383097</v>
      </c>
      <c r="F23" s="30">
        <v>1403806</v>
      </c>
      <c r="G23" s="30">
        <v>0</v>
      </c>
      <c r="H23" s="30">
        <f t="shared" si="1"/>
        <v>1403806</v>
      </c>
      <c r="I23" s="42" t="s">
        <v>75</v>
      </c>
      <c r="J23" s="42" t="s">
        <v>75</v>
      </c>
      <c r="K23" s="32">
        <v>514676</v>
      </c>
      <c r="L23" s="31" t="s">
        <v>75</v>
      </c>
      <c r="M23" s="31" t="s">
        <v>75</v>
      </c>
      <c r="N23" s="30">
        <v>8493026</v>
      </c>
      <c r="O23" s="31" t="s">
        <v>75</v>
      </c>
      <c r="P23" s="31" t="s">
        <v>75</v>
      </c>
      <c r="Q23" s="30">
        <v>6102796</v>
      </c>
      <c r="R23" s="31" t="s">
        <v>75</v>
      </c>
      <c r="S23" s="31" t="s">
        <v>75</v>
      </c>
      <c r="T23" s="32">
        <v>232665</v>
      </c>
      <c r="U23" s="31" t="s">
        <v>75</v>
      </c>
      <c r="V23" s="31" t="s">
        <v>75</v>
      </c>
      <c r="W23" s="31" t="s">
        <v>75</v>
      </c>
      <c r="X23" s="31" t="s">
        <v>75</v>
      </c>
      <c r="Y23" s="31" t="s">
        <v>75</v>
      </c>
      <c r="Z23" s="30">
        <v>93849</v>
      </c>
      <c r="AA23" s="31" t="s">
        <v>75</v>
      </c>
      <c r="AB23" s="31" t="s">
        <v>75</v>
      </c>
      <c r="AC23" s="30">
        <v>446779</v>
      </c>
      <c r="AD23" s="31" t="s">
        <v>75</v>
      </c>
      <c r="AE23" s="31" t="s">
        <v>75</v>
      </c>
      <c r="AF23" s="30">
        <v>10024</v>
      </c>
      <c r="AG23" s="42" t="s">
        <v>75</v>
      </c>
      <c r="AH23" s="42" t="s">
        <v>75</v>
      </c>
      <c r="AI23" s="32">
        <v>124990</v>
      </c>
      <c r="AJ23" s="31" t="s">
        <v>75</v>
      </c>
      <c r="AK23" s="31" t="s">
        <v>75</v>
      </c>
      <c r="AL23" s="31" t="s">
        <v>75</v>
      </c>
      <c r="AM23" s="31"/>
      <c r="AN23" s="31"/>
      <c r="AO23" s="31"/>
      <c r="AP23" s="31"/>
      <c r="AQ23" s="31"/>
      <c r="AR23" s="31"/>
      <c r="AS23" s="31" t="s">
        <v>75</v>
      </c>
      <c r="AT23" s="31" t="s">
        <v>75</v>
      </c>
      <c r="AU23" s="31" t="s">
        <v>75</v>
      </c>
      <c r="AV23" s="31" t="s">
        <v>75</v>
      </c>
      <c r="AW23" s="31" t="s">
        <v>75</v>
      </c>
      <c r="AX23" s="31" t="s">
        <v>75</v>
      </c>
      <c r="AY23" s="31" t="s">
        <v>75</v>
      </c>
      <c r="AZ23" s="31" t="s">
        <v>75</v>
      </c>
      <c r="BA23" s="31" t="s">
        <v>75</v>
      </c>
      <c r="BB23" s="31" t="s">
        <v>75</v>
      </c>
      <c r="BC23" s="31" t="s">
        <v>75</v>
      </c>
      <c r="BD23" s="31" t="s">
        <v>75</v>
      </c>
      <c r="BE23" s="113">
        <v>0</v>
      </c>
      <c r="BF23" s="113">
        <v>0</v>
      </c>
      <c r="BG23" s="113">
        <v>0</v>
      </c>
      <c r="BH23" s="113">
        <v>0</v>
      </c>
      <c r="BI23" s="113">
        <v>0</v>
      </c>
      <c r="BJ23" s="113">
        <v>0</v>
      </c>
      <c r="BK23" s="113">
        <v>0</v>
      </c>
      <c r="BL23" s="113">
        <v>0</v>
      </c>
      <c r="BM23" s="113">
        <v>0</v>
      </c>
      <c r="BN23" s="113">
        <v>0</v>
      </c>
      <c r="BO23" s="113">
        <v>0</v>
      </c>
      <c r="BP23" s="113">
        <v>0</v>
      </c>
      <c r="BQ23" s="113">
        <v>0</v>
      </c>
      <c r="BR23" s="113">
        <v>0</v>
      </c>
      <c r="BS23" s="113">
        <v>0</v>
      </c>
      <c r="BT23" s="113">
        <v>0</v>
      </c>
      <c r="BU23" s="113">
        <v>0</v>
      </c>
      <c r="BV23" s="113">
        <v>0</v>
      </c>
      <c r="BW23" s="113"/>
      <c r="BX23" s="113"/>
      <c r="BY23" s="113"/>
      <c r="BZ23" s="113">
        <v>0</v>
      </c>
      <c r="CA23" s="113">
        <v>0</v>
      </c>
      <c r="CB23" s="113">
        <v>0</v>
      </c>
      <c r="CC23" s="113"/>
      <c r="CD23" s="113"/>
      <c r="CE23" s="113"/>
      <c r="CF23" s="113">
        <v>0</v>
      </c>
      <c r="CG23" s="113">
        <v>0</v>
      </c>
      <c r="CH23" s="113">
        <v>0</v>
      </c>
      <c r="CI23" s="113">
        <v>0</v>
      </c>
      <c r="CJ23" s="113">
        <v>0</v>
      </c>
      <c r="CK23" s="113">
        <v>0</v>
      </c>
      <c r="CL23" s="113">
        <v>0</v>
      </c>
      <c r="CM23" s="113">
        <v>0</v>
      </c>
      <c r="CN23" s="113">
        <v>0</v>
      </c>
      <c r="CO23" s="113">
        <v>0</v>
      </c>
      <c r="CP23" s="113">
        <v>0</v>
      </c>
      <c r="CQ23" s="113">
        <v>0</v>
      </c>
      <c r="CR23" s="113">
        <v>0</v>
      </c>
      <c r="CS23" s="113">
        <v>0</v>
      </c>
      <c r="CT23" s="113">
        <v>0</v>
      </c>
      <c r="CU23" s="113">
        <v>0</v>
      </c>
      <c r="CV23" s="113">
        <v>0</v>
      </c>
      <c r="CW23" s="113">
        <v>0</v>
      </c>
      <c r="CX23" s="113">
        <v>0</v>
      </c>
      <c r="CY23" s="113">
        <v>0</v>
      </c>
      <c r="CZ23" s="113">
        <v>0</v>
      </c>
      <c r="DA23" s="113">
        <v>0</v>
      </c>
      <c r="DB23" s="113">
        <v>0</v>
      </c>
      <c r="DC23" s="113">
        <v>0</v>
      </c>
      <c r="DD23" s="113">
        <v>0</v>
      </c>
      <c r="DE23" s="113">
        <v>0</v>
      </c>
      <c r="DF23" s="113">
        <v>0</v>
      </c>
      <c r="DG23" s="113">
        <v>0</v>
      </c>
      <c r="DH23" s="113">
        <v>0</v>
      </c>
      <c r="DI23" s="113">
        <v>0</v>
      </c>
      <c r="DJ23" s="113">
        <v>0</v>
      </c>
      <c r="DK23" s="113">
        <v>0</v>
      </c>
      <c r="DL23" s="113">
        <v>0</v>
      </c>
      <c r="DM23" s="113">
        <v>0</v>
      </c>
      <c r="DN23" s="113">
        <v>0</v>
      </c>
      <c r="DO23" s="113">
        <v>0</v>
      </c>
      <c r="DP23" s="113">
        <v>0</v>
      </c>
      <c r="DQ23" s="113">
        <v>0</v>
      </c>
      <c r="DR23" s="113">
        <v>0</v>
      </c>
      <c r="DS23" s="113">
        <v>0</v>
      </c>
      <c r="DT23" s="113">
        <v>0</v>
      </c>
      <c r="DU23" s="113">
        <v>0</v>
      </c>
      <c r="DV23" s="113">
        <v>0</v>
      </c>
      <c r="DW23" s="113">
        <v>0</v>
      </c>
      <c r="DX23" s="113">
        <v>0</v>
      </c>
      <c r="DY23" s="113">
        <v>0</v>
      </c>
      <c r="DZ23" s="113">
        <v>0</v>
      </c>
      <c r="EA23" s="113">
        <v>0</v>
      </c>
      <c r="EB23" s="113">
        <v>0</v>
      </c>
      <c r="EC23" s="113">
        <v>0</v>
      </c>
      <c r="ED23" s="113">
        <v>0</v>
      </c>
      <c r="EE23" s="113">
        <v>0</v>
      </c>
      <c r="EF23" s="113">
        <v>0</v>
      </c>
      <c r="EG23" s="113">
        <v>0</v>
      </c>
      <c r="EH23" s="113">
        <v>0</v>
      </c>
      <c r="EI23" s="113">
        <v>0</v>
      </c>
      <c r="EJ23" s="113">
        <v>0</v>
      </c>
      <c r="EK23" s="113">
        <v>0</v>
      </c>
      <c r="EL23" s="113">
        <v>0</v>
      </c>
      <c r="EM23" s="113">
        <v>0</v>
      </c>
      <c r="EN23" s="113">
        <v>0</v>
      </c>
      <c r="EO23" s="113">
        <v>0</v>
      </c>
      <c r="EP23" s="113">
        <v>0</v>
      </c>
      <c r="EQ23" s="113">
        <v>0</v>
      </c>
      <c r="ER23" s="113">
        <v>0</v>
      </c>
      <c r="ES23" s="113">
        <v>0</v>
      </c>
      <c r="ET23" s="113">
        <v>0</v>
      </c>
      <c r="EU23" s="113">
        <v>0</v>
      </c>
      <c r="EV23" s="113">
        <v>0</v>
      </c>
      <c r="EW23" s="113">
        <v>0</v>
      </c>
      <c r="EX23" s="113">
        <v>0</v>
      </c>
      <c r="EY23" s="113">
        <v>0</v>
      </c>
      <c r="EZ23" s="113">
        <v>0</v>
      </c>
      <c r="FA23" s="113">
        <v>0</v>
      </c>
      <c r="FB23" s="113">
        <v>0</v>
      </c>
      <c r="FC23" s="113">
        <v>0</v>
      </c>
      <c r="FD23" s="113">
        <v>0</v>
      </c>
      <c r="FE23" s="113">
        <v>0</v>
      </c>
      <c r="FF23" s="113">
        <v>0</v>
      </c>
      <c r="FG23" s="113">
        <v>0</v>
      </c>
      <c r="FH23" s="113">
        <v>0</v>
      </c>
      <c r="FI23" s="113">
        <v>0</v>
      </c>
      <c r="FJ23" s="113">
        <v>0</v>
      </c>
      <c r="FK23" s="113">
        <v>0</v>
      </c>
      <c r="FL23" s="113">
        <v>0</v>
      </c>
      <c r="FM23" s="113">
        <v>0</v>
      </c>
      <c r="FN23" s="113">
        <v>0</v>
      </c>
      <c r="FO23" s="113">
        <v>0</v>
      </c>
      <c r="FP23" s="113">
        <v>0</v>
      </c>
      <c r="FQ23" s="113">
        <v>0</v>
      </c>
      <c r="FR23" s="113">
        <v>0</v>
      </c>
      <c r="FS23" s="113">
        <v>0</v>
      </c>
      <c r="FT23" s="113">
        <v>0</v>
      </c>
      <c r="FU23" s="113">
        <v>0</v>
      </c>
      <c r="FV23" s="113">
        <v>0</v>
      </c>
      <c r="FW23" s="113">
        <v>0</v>
      </c>
      <c r="FX23" s="32">
        <v>0</v>
      </c>
      <c r="FY23" s="30">
        <v>0</v>
      </c>
      <c r="FZ23" s="30">
        <v>0</v>
      </c>
    </row>
    <row r="24" spans="1:182" x14ac:dyDescent="0.2">
      <c r="A24" s="28">
        <v>32295</v>
      </c>
      <c r="B24" s="28"/>
      <c r="C24" s="29">
        <v>404740</v>
      </c>
      <c r="D24" s="29">
        <v>66429</v>
      </c>
      <c r="E24" s="29">
        <f t="shared" si="0"/>
        <v>471169</v>
      </c>
      <c r="F24" s="30">
        <v>1229886</v>
      </c>
      <c r="G24" s="30">
        <v>0</v>
      </c>
      <c r="H24" s="30">
        <f t="shared" si="1"/>
        <v>1229886</v>
      </c>
      <c r="I24" s="42" t="s">
        <v>75</v>
      </c>
      <c r="J24" s="42" t="s">
        <v>75</v>
      </c>
      <c r="K24" s="32">
        <v>492350</v>
      </c>
      <c r="L24" s="31" t="s">
        <v>75</v>
      </c>
      <c r="M24" s="31" t="s">
        <v>75</v>
      </c>
      <c r="N24" s="30">
        <v>7800108</v>
      </c>
      <c r="O24" s="31" t="s">
        <v>75</v>
      </c>
      <c r="P24" s="31" t="s">
        <v>75</v>
      </c>
      <c r="Q24" s="30">
        <v>6168158</v>
      </c>
      <c r="R24" s="31" t="s">
        <v>75</v>
      </c>
      <c r="S24" s="31" t="s">
        <v>75</v>
      </c>
      <c r="T24" s="32">
        <v>250689</v>
      </c>
      <c r="U24" s="31" t="s">
        <v>75</v>
      </c>
      <c r="V24" s="31" t="s">
        <v>75</v>
      </c>
      <c r="W24" s="31" t="s">
        <v>75</v>
      </c>
      <c r="X24" s="31" t="s">
        <v>75</v>
      </c>
      <c r="Y24" s="31" t="s">
        <v>75</v>
      </c>
      <c r="Z24" s="30">
        <v>125473</v>
      </c>
      <c r="AA24" s="31" t="s">
        <v>75</v>
      </c>
      <c r="AB24" s="31" t="s">
        <v>75</v>
      </c>
      <c r="AC24" s="30">
        <v>638956</v>
      </c>
      <c r="AD24" s="31" t="s">
        <v>75</v>
      </c>
      <c r="AE24" s="31" t="s">
        <v>75</v>
      </c>
      <c r="AF24" s="30">
        <v>9005</v>
      </c>
      <c r="AG24" s="42" t="s">
        <v>75</v>
      </c>
      <c r="AH24" s="42" t="s">
        <v>75</v>
      </c>
      <c r="AI24" s="32">
        <v>142218</v>
      </c>
      <c r="AJ24" s="31" t="s">
        <v>75</v>
      </c>
      <c r="AK24" s="31" t="s">
        <v>75</v>
      </c>
      <c r="AL24" s="31" t="s">
        <v>75</v>
      </c>
      <c r="AM24" s="31"/>
      <c r="AN24" s="31"/>
      <c r="AO24" s="31"/>
      <c r="AP24" s="31"/>
      <c r="AQ24" s="31"/>
      <c r="AR24" s="31"/>
      <c r="AS24" s="31" t="s">
        <v>75</v>
      </c>
      <c r="AT24" s="31" t="s">
        <v>75</v>
      </c>
      <c r="AU24" s="31" t="s">
        <v>75</v>
      </c>
      <c r="AV24" s="31" t="s">
        <v>75</v>
      </c>
      <c r="AW24" s="31" t="s">
        <v>75</v>
      </c>
      <c r="AX24" s="31" t="s">
        <v>75</v>
      </c>
      <c r="AY24" s="31" t="s">
        <v>75</v>
      </c>
      <c r="AZ24" s="31" t="s">
        <v>75</v>
      </c>
      <c r="BA24" s="31" t="s">
        <v>75</v>
      </c>
      <c r="BB24" s="31" t="s">
        <v>75</v>
      </c>
      <c r="BC24" s="31" t="s">
        <v>75</v>
      </c>
      <c r="BD24" s="31" t="s">
        <v>75</v>
      </c>
      <c r="BE24" s="113">
        <v>0</v>
      </c>
      <c r="BF24" s="113">
        <v>0</v>
      </c>
      <c r="BG24" s="113">
        <v>0</v>
      </c>
      <c r="BH24" s="113">
        <v>0</v>
      </c>
      <c r="BI24" s="113">
        <v>0</v>
      </c>
      <c r="BJ24" s="113">
        <v>0</v>
      </c>
      <c r="BK24" s="113">
        <v>0</v>
      </c>
      <c r="BL24" s="113">
        <v>0</v>
      </c>
      <c r="BM24" s="113">
        <v>0</v>
      </c>
      <c r="BN24" s="113">
        <v>0</v>
      </c>
      <c r="BO24" s="113">
        <v>0</v>
      </c>
      <c r="BP24" s="113">
        <v>0</v>
      </c>
      <c r="BQ24" s="113">
        <v>0</v>
      </c>
      <c r="BR24" s="113">
        <v>0</v>
      </c>
      <c r="BS24" s="113">
        <v>0</v>
      </c>
      <c r="BT24" s="113">
        <v>0</v>
      </c>
      <c r="BU24" s="113">
        <v>0</v>
      </c>
      <c r="BV24" s="113">
        <v>0</v>
      </c>
      <c r="BW24" s="113"/>
      <c r="BX24" s="113"/>
      <c r="BY24" s="113"/>
      <c r="BZ24" s="113">
        <v>0</v>
      </c>
      <c r="CA24" s="113">
        <v>0</v>
      </c>
      <c r="CB24" s="113">
        <v>0</v>
      </c>
      <c r="CC24" s="113"/>
      <c r="CD24" s="113"/>
      <c r="CE24" s="113"/>
      <c r="CF24" s="113">
        <v>0</v>
      </c>
      <c r="CG24" s="113">
        <v>0</v>
      </c>
      <c r="CH24" s="113">
        <v>0</v>
      </c>
      <c r="CI24" s="113">
        <v>0</v>
      </c>
      <c r="CJ24" s="113">
        <v>0</v>
      </c>
      <c r="CK24" s="113">
        <v>0</v>
      </c>
      <c r="CL24" s="113">
        <v>0</v>
      </c>
      <c r="CM24" s="113">
        <v>0</v>
      </c>
      <c r="CN24" s="113">
        <v>0</v>
      </c>
      <c r="CO24" s="113">
        <v>0</v>
      </c>
      <c r="CP24" s="113">
        <v>0</v>
      </c>
      <c r="CQ24" s="113">
        <v>0</v>
      </c>
      <c r="CR24" s="113">
        <v>0</v>
      </c>
      <c r="CS24" s="113">
        <v>0</v>
      </c>
      <c r="CT24" s="113">
        <v>0</v>
      </c>
      <c r="CU24" s="113">
        <v>0</v>
      </c>
      <c r="CV24" s="113">
        <v>0</v>
      </c>
      <c r="CW24" s="113">
        <v>0</v>
      </c>
      <c r="CX24" s="113">
        <v>0</v>
      </c>
      <c r="CY24" s="113">
        <v>0</v>
      </c>
      <c r="CZ24" s="113">
        <v>0</v>
      </c>
      <c r="DA24" s="113">
        <v>0</v>
      </c>
      <c r="DB24" s="113">
        <v>0</v>
      </c>
      <c r="DC24" s="113">
        <v>0</v>
      </c>
      <c r="DD24" s="113">
        <v>0</v>
      </c>
      <c r="DE24" s="113">
        <v>0</v>
      </c>
      <c r="DF24" s="113">
        <v>0</v>
      </c>
      <c r="DG24" s="113">
        <v>0</v>
      </c>
      <c r="DH24" s="113">
        <v>0</v>
      </c>
      <c r="DI24" s="113">
        <v>0</v>
      </c>
      <c r="DJ24" s="113">
        <v>0</v>
      </c>
      <c r="DK24" s="113">
        <v>0</v>
      </c>
      <c r="DL24" s="113">
        <v>0</v>
      </c>
      <c r="DM24" s="113">
        <v>0</v>
      </c>
      <c r="DN24" s="113">
        <v>0</v>
      </c>
      <c r="DO24" s="113">
        <v>0</v>
      </c>
      <c r="DP24" s="113">
        <v>0</v>
      </c>
      <c r="DQ24" s="113">
        <v>0</v>
      </c>
      <c r="DR24" s="113">
        <v>0</v>
      </c>
      <c r="DS24" s="113">
        <v>0</v>
      </c>
      <c r="DT24" s="113">
        <v>0</v>
      </c>
      <c r="DU24" s="113">
        <v>0</v>
      </c>
      <c r="DV24" s="113">
        <v>0</v>
      </c>
      <c r="DW24" s="113">
        <v>0</v>
      </c>
      <c r="DX24" s="113">
        <v>0</v>
      </c>
      <c r="DY24" s="113">
        <v>0</v>
      </c>
      <c r="DZ24" s="113">
        <v>0</v>
      </c>
      <c r="EA24" s="113">
        <v>0</v>
      </c>
      <c r="EB24" s="113">
        <v>0</v>
      </c>
      <c r="EC24" s="113">
        <v>0</v>
      </c>
      <c r="ED24" s="113">
        <v>0</v>
      </c>
      <c r="EE24" s="113">
        <v>0</v>
      </c>
      <c r="EF24" s="113">
        <v>0</v>
      </c>
      <c r="EG24" s="113">
        <v>0</v>
      </c>
      <c r="EH24" s="113">
        <v>0</v>
      </c>
      <c r="EI24" s="113">
        <v>0</v>
      </c>
      <c r="EJ24" s="113">
        <v>0</v>
      </c>
      <c r="EK24" s="113">
        <v>0</v>
      </c>
      <c r="EL24" s="113">
        <v>0</v>
      </c>
      <c r="EM24" s="113">
        <v>0</v>
      </c>
      <c r="EN24" s="113">
        <v>0</v>
      </c>
      <c r="EO24" s="113">
        <v>0</v>
      </c>
      <c r="EP24" s="113">
        <v>0</v>
      </c>
      <c r="EQ24" s="113">
        <v>0</v>
      </c>
      <c r="ER24" s="113">
        <v>0</v>
      </c>
      <c r="ES24" s="113">
        <v>0</v>
      </c>
      <c r="ET24" s="113">
        <v>0</v>
      </c>
      <c r="EU24" s="113">
        <v>0</v>
      </c>
      <c r="EV24" s="113">
        <v>0</v>
      </c>
      <c r="EW24" s="113">
        <v>0</v>
      </c>
      <c r="EX24" s="113">
        <v>0</v>
      </c>
      <c r="EY24" s="113">
        <v>0</v>
      </c>
      <c r="EZ24" s="113">
        <v>0</v>
      </c>
      <c r="FA24" s="113">
        <v>0</v>
      </c>
      <c r="FB24" s="113">
        <v>0</v>
      </c>
      <c r="FC24" s="113">
        <v>0</v>
      </c>
      <c r="FD24" s="113">
        <v>0</v>
      </c>
      <c r="FE24" s="113">
        <v>0</v>
      </c>
      <c r="FF24" s="113">
        <v>0</v>
      </c>
      <c r="FG24" s="113">
        <v>0</v>
      </c>
      <c r="FH24" s="113">
        <v>0</v>
      </c>
      <c r="FI24" s="113">
        <v>0</v>
      </c>
      <c r="FJ24" s="113">
        <v>0</v>
      </c>
      <c r="FK24" s="113">
        <v>0</v>
      </c>
      <c r="FL24" s="113">
        <v>0</v>
      </c>
      <c r="FM24" s="113">
        <v>0</v>
      </c>
      <c r="FN24" s="113">
        <v>0</v>
      </c>
      <c r="FO24" s="113">
        <v>0</v>
      </c>
      <c r="FP24" s="113">
        <v>0</v>
      </c>
      <c r="FQ24" s="113">
        <v>0</v>
      </c>
      <c r="FR24" s="113">
        <v>0</v>
      </c>
      <c r="FS24" s="113">
        <v>0</v>
      </c>
      <c r="FT24" s="113">
        <v>0</v>
      </c>
      <c r="FU24" s="113">
        <v>0</v>
      </c>
      <c r="FV24" s="113">
        <v>0</v>
      </c>
      <c r="FW24" s="113">
        <v>0</v>
      </c>
      <c r="FX24" s="32">
        <v>0</v>
      </c>
      <c r="FY24" s="30">
        <v>0</v>
      </c>
      <c r="FZ24" s="30">
        <v>0</v>
      </c>
    </row>
    <row r="25" spans="1:182" x14ac:dyDescent="0.2">
      <c r="A25" s="28">
        <v>32325</v>
      </c>
      <c r="B25" s="28"/>
      <c r="C25" s="29">
        <v>291581</v>
      </c>
      <c r="D25" s="29">
        <v>59016</v>
      </c>
      <c r="E25" s="29">
        <f t="shared" si="0"/>
        <v>350597</v>
      </c>
      <c r="F25" s="30">
        <v>1493837</v>
      </c>
      <c r="G25" s="30">
        <v>0</v>
      </c>
      <c r="H25" s="30">
        <f t="shared" si="1"/>
        <v>1493837</v>
      </c>
      <c r="I25" s="42" t="s">
        <v>75</v>
      </c>
      <c r="J25" s="42" t="s">
        <v>75</v>
      </c>
      <c r="K25" s="32">
        <v>521973</v>
      </c>
      <c r="L25" s="31" t="s">
        <v>75</v>
      </c>
      <c r="M25" s="31" t="s">
        <v>75</v>
      </c>
      <c r="N25" s="30">
        <v>8274276</v>
      </c>
      <c r="O25" s="31" t="s">
        <v>75</v>
      </c>
      <c r="P25" s="31" t="s">
        <v>75</v>
      </c>
      <c r="Q25" s="30">
        <v>6172455</v>
      </c>
      <c r="R25" s="31" t="s">
        <v>75</v>
      </c>
      <c r="S25" s="31" t="s">
        <v>75</v>
      </c>
      <c r="T25" s="32">
        <v>235432</v>
      </c>
      <c r="U25" s="31" t="s">
        <v>75</v>
      </c>
      <c r="V25" s="31" t="s">
        <v>75</v>
      </c>
      <c r="W25" s="31" t="s">
        <v>75</v>
      </c>
      <c r="X25" s="31" t="s">
        <v>75</v>
      </c>
      <c r="Y25" s="31" t="s">
        <v>75</v>
      </c>
      <c r="Z25" s="30">
        <v>113454</v>
      </c>
      <c r="AA25" s="31" t="s">
        <v>75</v>
      </c>
      <c r="AB25" s="31" t="s">
        <v>75</v>
      </c>
      <c r="AC25" s="30">
        <v>474883</v>
      </c>
      <c r="AD25" s="31" t="s">
        <v>75</v>
      </c>
      <c r="AE25" s="31" t="s">
        <v>75</v>
      </c>
      <c r="AF25" s="30">
        <v>11162</v>
      </c>
      <c r="AG25" s="42" t="s">
        <v>75</v>
      </c>
      <c r="AH25" s="42" t="s">
        <v>75</v>
      </c>
      <c r="AI25" s="32">
        <v>118167</v>
      </c>
      <c r="AJ25" s="31" t="s">
        <v>75</v>
      </c>
      <c r="AK25" s="31" t="s">
        <v>75</v>
      </c>
      <c r="AL25" s="31" t="s">
        <v>75</v>
      </c>
      <c r="AM25" s="31"/>
      <c r="AN25" s="31"/>
      <c r="AO25" s="31"/>
      <c r="AP25" s="31"/>
      <c r="AQ25" s="31"/>
      <c r="AR25" s="31"/>
      <c r="AS25" s="31" t="s">
        <v>75</v>
      </c>
      <c r="AT25" s="31" t="s">
        <v>75</v>
      </c>
      <c r="AU25" s="31" t="s">
        <v>75</v>
      </c>
      <c r="AV25" s="31" t="s">
        <v>75</v>
      </c>
      <c r="AW25" s="31" t="s">
        <v>75</v>
      </c>
      <c r="AX25" s="31" t="s">
        <v>75</v>
      </c>
      <c r="AY25" s="31" t="s">
        <v>75</v>
      </c>
      <c r="AZ25" s="31" t="s">
        <v>75</v>
      </c>
      <c r="BA25" s="31" t="s">
        <v>75</v>
      </c>
      <c r="BB25" s="31" t="s">
        <v>75</v>
      </c>
      <c r="BC25" s="31" t="s">
        <v>75</v>
      </c>
      <c r="BD25" s="31" t="s">
        <v>75</v>
      </c>
      <c r="BE25" s="113">
        <v>0</v>
      </c>
      <c r="BF25" s="113">
        <v>0</v>
      </c>
      <c r="BG25" s="113">
        <v>0</v>
      </c>
      <c r="BH25" s="113">
        <v>0</v>
      </c>
      <c r="BI25" s="113">
        <v>0</v>
      </c>
      <c r="BJ25" s="113">
        <v>0</v>
      </c>
      <c r="BK25" s="113">
        <v>0</v>
      </c>
      <c r="BL25" s="113">
        <v>0</v>
      </c>
      <c r="BM25" s="113">
        <v>0</v>
      </c>
      <c r="BN25" s="113">
        <v>0</v>
      </c>
      <c r="BO25" s="113">
        <v>0</v>
      </c>
      <c r="BP25" s="113">
        <v>0</v>
      </c>
      <c r="BQ25" s="113">
        <v>0</v>
      </c>
      <c r="BR25" s="113">
        <v>0</v>
      </c>
      <c r="BS25" s="113">
        <v>0</v>
      </c>
      <c r="BT25" s="113">
        <v>0</v>
      </c>
      <c r="BU25" s="113">
        <v>0</v>
      </c>
      <c r="BV25" s="113">
        <v>0</v>
      </c>
      <c r="BW25" s="113"/>
      <c r="BX25" s="113"/>
      <c r="BY25" s="113"/>
      <c r="BZ25" s="113">
        <v>0</v>
      </c>
      <c r="CA25" s="113">
        <v>0</v>
      </c>
      <c r="CB25" s="113">
        <v>0</v>
      </c>
      <c r="CC25" s="113"/>
      <c r="CD25" s="113"/>
      <c r="CE25" s="113"/>
      <c r="CF25" s="113">
        <v>0</v>
      </c>
      <c r="CG25" s="113">
        <v>0</v>
      </c>
      <c r="CH25" s="113">
        <v>0</v>
      </c>
      <c r="CI25" s="113">
        <v>0</v>
      </c>
      <c r="CJ25" s="113">
        <v>0</v>
      </c>
      <c r="CK25" s="113">
        <v>0</v>
      </c>
      <c r="CL25" s="113">
        <v>0</v>
      </c>
      <c r="CM25" s="113">
        <v>0</v>
      </c>
      <c r="CN25" s="113">
        <v>0</v>
      </c>
      <c r="CO25" s="113">
        <v>0</v>
      </c>
      <c r="CP25" s="113">
        <v>0</v>
      </c>
      <c r="CQ25" s="113">
        <v>0</v>
      </c>
      <c r="CR25" s="113">
        <v>0</v>
      </c>
      <c r="CS25" s="113">
        <v>0</v>
      </c>
      <c r="CT25" s="113">
        <v>0</v>
      </c>
      <c r="CU25" s="113">
        <v>0</v>
      </c>
      <c r="CV25" s="113">
        <v>0</v>
      </c>
      <c r="CW25" s="113">
        <v>0</v>
      </c>
      <c r="CX25" s="113">
        <v>0</v>
      </c>
      <c r="CY25" s="113">
        <v>0</v>
      </c>
      <c r="CZ25" s="113">
        <v>0</v>
      </c>
      <c r="DA25" s="113">
        <v>0</v>
      </c>
      <c r="DB25" s="113">
        <v>0</v>
      </c>
      <c r="DC25" s="113">
        <v>0</v>
      </c>
      <c r="DD25" s="113">
        <v>0</v>
      </c>
      <c r="DE25" s="113">
        <v>0</v>
      </c>
      <c r="DF25" s="113">
        <v>0</v>
      </c>
      <c r="DG25" s="113">
        <v>0</v>
      </c>
      <c r="DH25" s="113">
        <v>0</v>
      </c>
      <c r="DI25" s="113">
        <v>0</v>
      </c>
      <c r="DJ25" s="113">
        <v>0</v>
      </c>
      <c r="DK25" s="113">
        <v>0</v>
      </c>
      <c r="DL25" s="113">
        <v>0</v>
      </c>
      <c r="DM25" s="113">
        <v>0</v>
      </c>
      <c r="DN25" s="113">
        <v>0</v>
      </c>
      <c r="DO25" s="113">
        <v>0</v>
      </c>
      <c r="DP25" s="113">
        <v>0</v>
      </c>
      <c r="DQ25" s="113">
        <v>0</v>
      </c>
      <c r="DR25" s="113">
        <v>0</v>
      </c>
      <c r="DS25" s="113">
        <v>0</v>
      </c>
      <c r="DT25" s="113">
        <v>0</v>
      </c>
      <c r="DU25" s="113">
        <v>0</v>
      </c>
      <c r="DV25" s="113">
        <v>0</v>
      </c>
      <c r="DW25" s="113">
        <v>0</v>
      </c>
      <c r="DX25" s="113">
        <v>0</v>
      </c>
      <c r="DY25" s="113">
        <v>0</v>
      </c>
      <c r="DZ25" s="113">
        <v>0</v>
      </c>
      <c r="EA25" s="113">
        <v>0</v>
      </c>
      <c r="EB25" s="113">
        <v>0</v>
      </c>
      <c r="EC25" s="113">
        <v>0</v>
      </c>
      <c r="ED25" s="113">
        <v>0</v>
      </c>
      <c r="EE25" s="113">
        <v>0</v>
      </c>
      <c r="EF25" s="113">
        <v>0</v>
      </c>
      <c r="EG25" s="113">
        <v>0</v>
      </c>
      <c r="EH25" s="113">
        <v>0</v>
      </c>
      <c r="EI25" s="113">
        <v>0</v>
      </c>
      <c r="EJ25" s="113">
        <v>0</v>
      </c>
      <c r="EK25" s="113">
        <v>0</v>
      </c>
      <c r="EL25" s="113">
        <v>0</v>
      </c>
      <c r="EM25" s="113">
        <v>0</v>
      </c>
      <c r="EN25" s="113">
        <v>0</v>
      </c>
      <c r="EO25" s="113">
        <v>0</v>
      </c>
      <c r="EP25" s="113">
        <v>0</v>
      </c>
      <c r="EQ25" s="113">
        <v>0</v>
      </c>
      <c r="ER25" s="113">
        <v>0</v>
      </c>
      <c r="ES25" s="113">
        <v>0</v>
      </c>
      <c r="ET25" s="113">
        <v>0</v>
      </c>
      <c r="EU25" s="113">
        <v>0</v>
      </c>
      <c r="EV25" s="113">
        <v>0</v>
      </c>
      <c r="EW25" s="113">
        <v>0</v>
      </c>
      <c r="EX25" s="113">
        <v>0</v>
      </c>
      <c r="EY25" s="113">
        <v>0</v>
      </c>
      <c r="EZ25" s="113">
        <v>0</v>
      </c>
      <c r="FA25" s="113">
        <v>0</v>
      </c>
      <c r="FB25" s="113">
        <v>0</v>
      </c>
      <c r="FC25" s="113">
        <v>0</v>
      </c>
      <c r="FD25" s="113">
        <v>0</v>
      </c>
      <c r="FE25" s="113">
        <v>0</v>
      </c>
      <c r="FF25" s="113">
        <v>0</v>
      </c>
      <c r="FG25" s="113">
        <v>0</v>
      </c>
      <c r="FH25" s="113">
        <v>0</v>
      </c>
      <c r="FI25" s="113">
        <v>0</v>
      </c>
      <c r="FJ25" s="113">
        <v>0</v>
      </c>
      <c r="FK25" s="113">
        <v>0</v>
      </c>
      <c r="FL25" s="113">
        <v>0</v>
      </c>
      <c r="FM25" s="113">
        <v>0</v>
      </c>
      <c r="FN25" s="113">
        <v>0</v>
      </c>
      <c r="FO25" s="113">
        <v>0</v>
      </c>
      <c r="FP25" s="113">
        <v>0</v>
      </c>
      <c r="FQ25" s="113">
        <v>0</v>
      </c>
      <c r="FR25" s="113">
        <v>0</v>
      </c>
      <c r="FS25" s="113">
        <v>0</v>
      </c>
      <c r="FT25" s="113">
        <v>0</v>
      </c>
      <c r="FU25" s="113">
        <v>0</v>
      </c>
      <c r="FV25" s="113">
        <v>0</v>
      </c>
      <c r="FW25" s="113">
        <v>0</v>
      </c>
      <c r="FX25" s="32">
        <v>0</v>
      </c>
      <c r="FY25" s="30">
        <v>0</v>
      </c>
      <c r="FZ25" s="30">
        <v>0</v>
      </c>
    </row>
    <row r="26" spans="1:182" x14ac:dyDescent="0.2">
      <c r="A26" s="28">
        <v>32356</v>
      </c>
      <c r="B26" s="28"/>
      <c r="C26" s="29">
        <v>461693</v>
      </c>
      <c r="D26" s="29">
        <v>146055</v>
      </c>
      <c r="E26" s="29">
        <f t="shared" si="0"/>
        <v>607748</v>
      </c>
      <c r="F26" s="30">
        <v>2858864</v>
      </c>
      <c r="G26" s="30">
        <v>0</v>
      </c>
      <c r="H26" s="30">
        <f t="shared" si="1"/>
        <v>2858864</v>
      </c>
      <c r="I26" s="42" t="s">
        <v>75</v>
      </c>
      <c r="J26" s="42" t="s">
        <v>75</v>
      </c>
      <c r="K26" s="32">
        <v>582505</v>
      </c>
      <c r="L26" s="31" t="s">
        <v>75</v>
      </c>
      <c r="M26" s="31" t="s">
        <v>75</v>
      </c>
      <c r="N26" s="30">
        <v>9237919</v>
      </c>
      <c r="O26" s="31" t="s">
        <v>75</v>
      </c>
      <c r="P26" s="31" t="s">
        <v>75</v>
      </c>
      <c r="Q26" s="30">
        <v>6883493</v>
      </c>
      <c r="R26" s="31" t="s">
        <v>75</v>
      </c>
      <c r="S26" s="31" t="s">
        <v>75</v>
      </c>
      <c r="T26" s="32">
        <v>122759</v>
      </c>
      <c r="U26" s="31" t="s">
        <v>75</v>
      </c>
      <c r="V26" s="31" t="s">
        <v>75</v>
      </c>
      <c r="W26" s="31" t="s">
        <v>75</v>
      </c>
      <c r="X26" s="31" t="s">
        <v>75</v>
      </c>
      <c r="Y26" s="31" t="s">
        <v>75</v>
      </c>
      <c r="Z26" s="30">
        <v>158218</v>
      </c>
      <c r="AA26" s="31" t="s">
        <v>75</v>
      </c>
      <c r="AB26" s="31" t="s">
        <v>75</v>
      </c>
      <c r="AC26" s="30">
        <v>559937</v>
      </c>
      <c r="AD26" s="31" t="s">
        <v>75</v>
      </c>
      <c r="AE26" s="31" t="s">
        <v>75</v>
      </c>
      <c r="AF26" s="30">
        <v>9137</v>
      </c>
      <c r="AG26" s="42" t="s">
        <v>75</v>
      </c>
      <c r="AH26" s="42" t="s">
        <v>75</v>
      </c>
      <c r="AI26" s="32">
        <v>125062</v>
      </c>
      <c r="AJ26" s="31" t="s">
        <v>75</v>
      </c>
      <c r="AK26" s="31" t="s">
        <v>75</v>
      </c>
      <c r="AL26" s="31" t="s">
        <v>75</v>
      </c>
      <c r="AM26" s="31"/>
      <c r="AN26" s="31"/>
      <c r="AO26" s="31"/>
      <c r="AP26" s="31"/>
      <c r="AQ26" s="31"/>
      <c r="AR26" s="31"/>
      <c r="AS26" s="31" t="s">
        <v>75</v>
      </c>
      <c r="AT26" s="31" t="s">
        <v>75</v>
      </c>
      <c r="AU26" s="31" t="s">
        <v>75</v>
      </c>
      <c r="AV26" s="31" t="s">
        <v>75</v>
      </c>
      <c r="AW26" s="31" t="s">
        <v>75</v>
      </c>
      <c r="AX26" s="31" t="s">
        <v>75</v>
      </c>
      <c r="AY26" s="31" t="s">
        <v>75</v>
      </c>
      <c r="AZ26" s="31" t="s">
        <v>75</v>
      </c>
      <c r="BA26" s="31" t="s">
        <v>75</v>
      </c>
      <c r="BB26" s="31" t="s">
        <v>75</v>
      </c>
      <c r="BC26" s="31" t="s">
        <v>75</v>
      </c>
      <c r="BD26" s="31" t="s">
        <v>75</v>
      </c>
      <c r="BE26" s="113">
        <v>0</v>
      </c>
      <c r="BF26" s="113">
        <v>0</v>
      </c>
      <c r="BG26" s="113">
        <v>0</v>
      </c>
      <c r="BH26" s="113">
        <v>0</v>
      </c>
      <c r="BI26" s="113">
        <v>0</v>
      </c>
      <c r="BJ26" s="113">
        <v>0</v>
      </c>
      <c r="BK26" s="113">
        <v>0</v>
      </c>
      <c r="BL26" s="113">
        <v>0</v>
      </c>
      <c r="BM26" s="113">
        <v>0</v>
      </c>
      <c r="BN26" s="113">
        <v>0</v>
      </c>
      <c r="BO26" s="113">
        <v>0</v>
      </c>
      <c r="BP26" s="113">
        <v>0</v>
      </c>
      <c r="BQ26" s="113">
        <v>0</v>
      </c>
      <c r="BR26" s="113">
        <v>0</v>
      </c>
      <c r="BS26" s="113">
        <v>0</v>
      </c>
      <c r="BT26" s="113">
        <v>0</v>
      </c>
      <c r="BU26" s="113">
        <v>0</v>
      </c>
      <c r="BV26" s="113">
        <v>0</v>
      </c>
      <c r="BW26" s="113"/>
      <c r="BX26" s="113"/>
      <c r="BY26" s="113"/>
      <c r="BZ26" s="113">
        <v>0</v>
      </c>
      <c r="CA26" s="113">
        <v>0</v>
      </c>
      <c r="CB26" s="113">
        <v>0</v>
      </c>
      <c r="CC26" s="113"/>
      <c r="CD26" s="113"/>
      <c r="CE26" s="113"/>
      <c r="CF26" s="113">
        <v>0</v>
      </c>
      <c r="CG26" s="113">
        <v>0</v>
      </c>
      <c r="CH26" s="113">
        <v>0</v>
      </c>
      <c r="CI26" s="113">
        <v>0</v>
      </c>
      <c r="CJ26" s="113">
        <v>0</v>
      </c>
      <c r="CK26" s="113">
        <v>0</v>
      </c>
      <c r="CL26" s="113">
        <v>0</v>
      </c>
      <c r="CM26" s="113">
        <v>0</v>
      </c>
      <c r="CN26" s="113">
        <v>0</v>
      </c>
      <c r="CO26" s="113">
        <v>0</v>
      </c>
      <c r="CP26" s="113">
        <v>0</v>
      </c>
      <c r="CQ26" s="113">
        <v>0</v>
      </c>
      <c r="CR26" s="113">
        <v>0</v>
      </c>
      <c r="CS26" s="113">
        <v>0</v>
      </c>
      <c r="CT26" s="113">
        <v>0</v>
      </c>
      <c r="CU26" s="113">
        <v>0</v>
      </c>
      <c r="CV26" s="113">
        <v>0</v>
      </c>
      <c r="CW26" s="113">
        <v>0</v>
      </c>
      <c r="CX26" s="113">
        <v>0</v>
      </c>
      <c r="CY26" s="113">
        <v>0</v>
      </c>
      <c r="CZ26" s="113">
        <v>0</v>
      </c>
      <c r="DA26" s="113">
        <v>0</v>
      </c>
      <c r="DB26" s="113">
        <v>0</v>
      </c>
      <c r="DC26" s="113">
        <v>0</v>
      </c>
      <c r="DD26" s="113">
        <v>0</v>
      </c>
      <c r="DE26" s="113">
        <v>0</v>
      </c>
      <c r="DF26" s="113">
        <v>0</v>
      </c>
      <c r="DG26" s="113">
        <v>0</v>
      </c>
      <c r="DH26" s="113">
        <v>0</v>
      </c>
      <c r="DI26" s="113">
        <v>0</v>
      </c>
      <c r="DJ26" s="113">
        <v>0</v>
      </c>
      <c r="DK26" s="113">
        <v>0</v>
      </c>
      <c r="DL26" s="113">
        <v>0</v>
      </c>
      <c r="DM26" s="113">
        <v>0</v>
      </c>
      <c r="DN26" s="113">
        <v>0</v>
      </c>
      <c r="DO26" s="113">
        <v>0</v>
      </c>
      <c r="DP26" s="113">
        <v>0</v>
      </c>
      <c r="DQ26" s="113">
        <v>0</v>
      </c>
      <c r="DR26" s="113">
        <v>0</v>
      </c>
      <c r="DS26" s="113">
        <v>0</v>
      </c>
      <c r="DT26" s="113">
        <v>0</v>
      </c>
      <c r="DU26" s="113">
        <v>0</v>
      </c>
      <c r="DV26" s="113">
        <v>0</v>
      </c>
      <c r="DW26" s="113">
        <v>0</v>
      </c>
      <c r="DX26" s="113">
        <v>0</v>
      </c>
      <c r="DY26" s="113">
        <v>0</v>
      </c>
      <c r="DZ26" s="113">
        <v>0</v>
      </c>
      <c r="EA26" s="113">
        <v>0</v>
      </c>
      <c r="EB26" s="113">
        <v>0</v>
      </c>
      <c r="EC26" s="113">
        <v>0</v>
      </c>
      <c r="ED26" s="113">
        <v>0</v>
      </c>
      <c r="EE26" s="113">
        <v>0</v>
      </c>
      <c r="EF26" s="113">
        <v>0</v>
      </c>
      <c r="EG26" s="113">
        <v>0</v>
      </c>
      <c r="EH26" s="113">
        <v>0</v>
      </c>
      <c r="EI26" s="113">
        <v>0</v>
      </c>
      <c r="EJ26" s="113">
        <v>0</v>
      </c>
      <c r="EK26" s="113">
        <v>0</v>
      </c>
      <c r="EL26" s="113">
        <v>0</v>
      </c>
      <c r="EM26" s="113">
        <v>0</v>
      </c>
      <c r="EN26" s="113">
        <v>0</v>
      </c>
      <c r="EO26" s="113">
        <v>0</v>
      </c>
      <c r="EP26" s="113">
        <v>0</v>
      </c>
      <c r="EQ26" s="113">
        <v>0</v>
      </c>
      <c r="ER26" s="113">
        <v>0</v>
      </c>
      <c r="ES26" s="113">
        <v>0</v>
      </c>
      <c r="ET26" s="113">
        <v>0</v>
      </c>
      <c r="EU26" s="113">
        <v>0</v>
      </c>
      <c r="EV26" s="113">
        <v>0</v>
      </c>
      <c r="EW26" s="113">
        <v>0</v>
      </c>
      <c r="EX26" s="113">
        <v>0</v>
      </c>
      <c r="EY26" s="113">
        <v>0</v>
      </c>
      <c r="EZ26" s="113">
        <v>0</v>
      </c>
      <c r="FA26" s="113">
        <v>0</v>
      </c>
      <c r="FB26" s="113">
        <v>0</v>
      </c>
      <c r="FC26" s="113">
        <v>0</v>
      </c>
      <c r="FD26" s="113">
        <v>0</v>
      </c>
      <c r="FE26" s="113">
        <v>0</v>
      </c>
      <c r="FF26" s="113">
        <v>0</v>
      </c>
      <c r="FG26" s="113">
        <v>0</v>
      </c>
      <c r="FH26" s="113">
        <v>0</v>
      </c>
      <c r="FI26" s="113">
        <v>0</v>
      </c>
      <c r="FJ26" s="113">
        <v>0</v>
      </c>
      <c r="FK26" s="113">
        <v>0</v>
      </c>
      <c r="FL26" s="113">
        <v>0</v>
      </c>
      <c r="FM26" s="113">
        <v>0</v>
      </c>
      <c r="FN26" s="113">
        <v>0</v>
      </c>
      <c r="FO26" s="113">
        <v>0</v>
      </c>
      <c r="FP26" s="113">
        <v>0</v>
      </c>
      <c r="FQ26" s="113">
        <v>0</v>
      </c>
      <c r="FR26" s="113">
        <v>0</v>
      </c>
      <c r="FS26" s="113">
        <v>0</v>
      </c>
      <c r="FT26" s="113">
        <v>0</v>
      </c>
      <c r="FU26" s="113">
        <v>0</v>
      </c>
      <c r="FV26" s="113">
        <v>0</v>
      </c>
      <c r="FW26" s="113">
        <v>0</v>
      </c>
      <c r="FX26" s="32">
        <v>0</v>
      </c>
      <c r="FY26" s="30">
        <v>0</v>
      </c>
      <c r="FZ26" s="30">
        <v>0</v>
      </c>
    </row>
    <row r="27" spans="1:182" x14ac:dyDescent="0.2">
      <c r="A27" s="28">
        <v>32387</v>
      </c>
      <c r="B27" s="28"/>
      <c r="C27" s="29">
        <v>369836</v>
      </c>
      <c r="D27" s="29">
        <v>44612</v>
      </c>
      <c r="E27" s="29">
        <f t="shared" si="0"/>
        <v>414448</v>
      </c>
      <c r="F27" s="30">
        <v>4007147</v>
      </c>
      <c r="G27" s="30">
        <v>0</v>
      </c>
      <c r="H27" s="30">
        <f t="shared" si="1"/>
        <v>4007147</v>
      </c>
      <c r="I27" s="42" t="s">
        <v>75</v>
      </c>
      <c r="J27" s="42" t="s">
        <v>75</v>
      </c>
      <c r="K27" s="32">
        <v>661255</v>
      </c>
      <c r="L27" s="31" t="s">
        <v>75</v>
      </c>
      <c r="M27" s="31" t="s">
        <v>75</v>
      </c>
      <c r="N27" s="30">
        <v>9083999</v>
      </c>
      <c r="O27" s="31" t="s">
        <v>75</v>
      </c>
      <c r="P27" s="31" t="s">
        <v>75</v>
      </c>
      <c r="Q27" s="30">
        <v>9112964</v>
      </c>
      <c r="R27" s="31" t="s">
        <v>75</v>
      </c>
      <c r="S27" s="31" t="s">
        <v>75</v>
      </c>
      <c r="T27" s="32">
        <v>317524</v>
      </c>
      <c r="U27" s="31" t="s">
        <v>75</v>
      </c>
      <c r="V27" s="31" t="s">
        <v>75</v>
      </c>
      <c r="W27" s="31" t="s">
        <v>75</v>
      </c>
      <c r="X27" s="31" t="s">
        <v>75</v>
      </c>
      <c r="Y27" s="31" t="s">
        <v>75</v>
      </c>
      <c r="Z27" s="30">
        <v>141699</v>
      </c>
      <c r="AA27" s="31" t="s">
        <v>75</v>
      </c>
      <c r="AB27" s="31" t="s">
        <v>75</v>
      </c>
      <c r="AC27" s="30">
        <v>350804</v>
      </c>
      <c r="AD27" s="31" t="s">
        <v>75</v>
      </c>
      <c r="AE27" s="31" t="s">
        <v>75</v>
      </c>
      <c r="AF27" s="30">
        <v>16593</v>
      </c>
      <c r="AG27" s="42" t="s">
        <v>75</v>
      </c>
      <c r="AH27" s="42" t="s">
        <v>75</v>
      </c>
      <c r="AI27" s="32">
        <v>94766</v>
      </c>
      <c r="AJ27" s="31" t="s">
        <v>75</v>
      </c>
      <c r="AK27" s="31" t="s">
        <v>75</v>
      </c>
      <c r="AL27" s="31" t="s">
        <v>75</v>
      </c>
      <c r="AM27" s="31"/>
      <c r="AN27" s="31"/>
      <c r="AO27" s="31"/>
      <c r="AP27" s="31"/>
      <c r="AQ27" s="31"/>
      <c r="AR27" s="31"/>
      <c r="AS27" s="31" t="s">
        <v>75</v>
      </c>
      <c r="AT27" s="31" t="s">
        <v>75</v>
      </c>
      <c r="AU27" s="31" t="s">
        <v>75</v>
      </c>
      <c r="AV27" s="31" t="s">
        <v>75</v>
      </c>
      <c r="AW27" s="31" t="s">
        <v>75</v>
      </c>
      <c r="AX27" s="31" t="s">
        <v>75</v>
      </c>
      <c r="AY27" s="31" t="s">
        <v>75</v>
      </c>
      <c r="AZ27" s="31" t="s">
        <v>75</v>
      </c>
      <c r="BA27" s="31" t="s">
        <v>75</v>
      </c>
      <c r="BB27" s="31" t="s">
        <v>75</v>
      </c>
      <c r="BC27" s="31" t="s">
        <v>75</v>
      </c>
      <c r="BD27" s="31" t="s">
        <v>75</v>
      </c>
      <c r="BE27" s="113">
        <v>0</v>
      </c>
      <c r="BF27" s="113">
        <v>0</v>
      </c>
      <c r="BG27" s="113">
        <v>0</v>
      </c>
      <c r="BH27" s="113">
        <v>0</v>
      </c>
      <c r="BI27" s="113">
        <v>0</v>
      </c>
      <c r="BJ27" s="113">
        <v>0</v>
      </c>
      <c r="BK27" s="113">
        <v>0</v>
      </c>
      <c r="BL27" s="113">
        <v>0</v>
      </c>
      <c r="BM27" s="113">
        <v>0</v>
      </c>
      <c r="BN27" s="113">
        <v>0</v>
      </c>
      <c r="BO27" s="113">
        <v>0</v>
      </c>
      <c r="BP27" s="113">
        <v>0</v>
      </c>
      <c r="BQ27" s="113">
        <v>0</v>
      </c>
      <c r="BR27" s="113">
        <v>0</v>
      </c>
      <c r="BS27" s="113">
        <v>0</v>
      </c>
      <c r="BT27" s="113">
        <v>0</v>
      </c>
      <c r="BU27" s="113">
        <v>0</v>
      </c>
      <c r="BV27" s="113">
        <v>0</v>
      </c>
      <c r="BW27" s="113"/>
      <c r="BX27" s="113"/>
      <c r="BY27" s="113"/>
      <c r="BZ27" s="113">
        <v>0</v>
      </c>
      <c r="CA27" s="113">
        <v>0</v>
      </c>
      <c r="CB27" s="113">
        <v>0</v>
      </c>
      <c r="CC27" s="113"/>
      <c r="CD27" s="113"/>
      <c r="CE27" s="113"/>
      <c r="CF27" s="113">
        <v>0</v>
      </c>
      <c r="CG27" s="113">
        <v>0</v>
      </c>
      <c r="CH27" s="113">
        <v>0</v>
      </c>
      <c r="CI27" s="113">
        <v>0</v>
      </c>
      <c r="CJ27" s="113">
        <v>0</v>
      </c>
      <c r="CK27" s="113">
        <v>0</v>
      </c>
      <c r="CL27" s="113">
        <v>0</v>
      </c>
      <c r="CM27" s="113">
        <v>0</v>
      </c>
      <c r="CN27" s="113">
        <v>0</v>
      </c>
      <c r="CO27" s="113">
        <v>0</v>
      </c>
      <c r="CP27" s="113">
        <v>0</v>
      </c>
      <c r="CQ27" s="113">
        <v>0</v>
      </c>
      <c r="CR27" s="113">
        <v>0</v>
      </c>
      <c r="CS27" s="113">
        <v>0</v>
      </c>
      <c r="CT27" s="113">
        <v>0</v>
      </c>
      <c r="CU27" s="113">
        <v>0</v>
      </c>
      <c r="CV27" s="113">
        <v>0</v>
      </c>
      <c r="CW27" s="113">
        <v>0</v>
      </c>
      <c r="CX27" s="113">
        <v>0</v>
      </c>
      <c r="CY27" s="113">
        <v>0</v>
      </c>
      <c r="CZ27" s="113">
        <v>0</v>
      </c>
      <c r="DA27" s="113">
        <v>0</v>
      </c>
      <c r="DB27" s="113">
        <v>0</v>
      </c>
      <c r="DC27" s="113">
        <v>0</v>
      </c>
      <c r="DD27" s="113">
        <v>0</v>
      </c>
      <c r="DE27" s="113">
        <v>0</v>
      </c>
      <c r="DF27" s="113">
        <v>0</v>
      </c>
      <c r="DG27" s="113">
        <v>0</v>
      </c>
      <c r="DH27" s="113">
        <v>0</v>
      </c>
      <c r="DI27" s="113">
        <v>0</v>
      </c>
      <c r="DJ27" s="113">
        <v>0</v>
      </c>
      <c r="DK27" s="113">
        <v>0</v>
      </c>
      <c r="DL27" s="113">
        <v>0</v>
      </c>
      <c r="DM27" s="113">
        <v>0</v>
      </c>
      <c r="DN27" s="113">
        <v>0</v>
      </c>
      <c r="DO27" s="113">
        <v>0</v>
      </c>
      <c r="DP27" s="113">
        <v>0</v>
      </c>
      <c r="DQ27" s="113">
        <v>0</v>
      </c>
      <c r="DR27" s="113">
        <v>0</v>
      </c>
      <c r="DS27" s="113">
        <v>0</v>
      </c>
      <c r="DT27" s="113">
        <v>0</v>
      </c>
      <c r="DU27" s="113">
        <v>0</v>
      </c>
      <c r="DV27" s="113">
        <v>0</v>
      </c>
      <c r="DW27" s="113">
        <v>0</v>
      </c>
      <c r="DX27" s="113">
        <v>0</v>
      </c>
      <c r="DY27" s="113">
        <v>0</v>
      </c>
      <c r="DZ27" s="113">
        <v>0</v>
      </c>
      <c r="EA27" s="113">
        <v>0</v>
      </c>
      <c r="EB27" s="113">
        <v>0</v>
      </c>
      <c r="EC27" s="113">
        <v>0</v>
      </c>
      <c r="ED27" s="113">
        <v>0</v>
      </c>
      <c r="EE27" s="113">
        <v>0</v>
      </c>
      <c r="EF27" s="113">
        <v>0</v>
      </c>
      <c r="EG27" s="113">
        <v>0</v>
      </c>
      <c r="EH27" s="113">
        <v>0</v>
      </c>
      <c r="EI27" s="113">
        <v>0</v>
      </c>
      <c r="EJ27" s="113">
        <v>0</v>
      </c>
      <c r="EK27" s="113">
        <v>0</v>
      </c>
      <c r="EL27" s="113">
        <v>0</v>
      </c>
      <c r="EM27" s="113">
        <v>0</v>
      </c>
      <c r="EN27" s="113">
        <v>0</v>
      </c>
      <c r="EO27" s="113">
        <v>0</v>
      </c>
      <c r="EP27" s="113">
        <v>0</v>
      </c>
      <c r="EQ27" s="113">
        <v>0</v>
      </c>
      <c r="ER27" s="113">
        <v>0</v>
      </c>
      <c r="ES27" s="113">
        <v>0</v>
      </c>
      <c r="ET27" s="113">
        <v>0</v>
      </c>
      <c r="EU27" s="113">
        <v>0</v>
      </c>
      <c r="EV27" s="113">
        <v>0</v>
      </c>
      <c r="EW27" s="113">
        <v>0</v>
      </c>
      <c r="EX27" s="113">
        <v>0</v>
      </c>
      <c r="EY27" s="113">
        <v>0</v>
      </c>
      <c r="EZ27" s="113">
        <v>0</v>
      </c>
      <c r="FA27" s="113">
        <v>0</v>
      </c>
      <c r="FB27" s="113">
        <v>0</v>
      </c>
      <c r="FC27" s="113">
        <v>0</v>
      </c>
      <c r="FD27" s="113">
        <v>0</v>
      </c>
      <c r="FE27" s="113">
        <v>0</v>
      </c>
      <c r="FF27" s="113">
        <v>0</v>
      </c>
      <c r="FG27" s="113">
        <v>0</v>
      </c>
      <c r="FH27" s="113">
        <v>0</v>
      </c>
      <c r="FI27" s="113">
        <v>0</v>
      </c>
      <c r="FJ27" s="113">
        <v>0</v>
      </c>
      <c r="FK27" s="113">
        <v>0</v>
      </c>
      <c r="FL27" s="113">
        <v>0</v>
      </c>
      <c r="FM27" s="113">
        <v>0</v>
      </c>
      <c r="FN27" s="113">
        <v>0</v>
      </c>
      <c r="FO27" s="113">
        <v>0</v>
      </c>
      <c r="FP27" s="113">
        <v>0</v>
      </c>
      <c r="FQ27" s="113">
        <v>0</v>
      </c>
      <c r="FR27" s="113">
        <v>0</v>
      </c>
      <c r="FS27" s="113">
        <v>0</v>
      </c>
      <c r="FT27" s="113">
        <v>0</v>
      </c>
      <c r="FU27" s="113">
        <v>0</v>
      </c>
      <c r="FV27" s="113">
        <v>0</v>
      </c>
      <c r="FW27" s="113">
        <v>0</v>
      </c>
      <c r="FX27" s="32">
        <v>0</v>
      </c>
      <c r="FY27" s="30">
        <v>0</v>
      </c>
      <c r="FZ27" s="30">
        <v>0</v>
      </c>
    </row>
    <row r="28" spans="1:182" x14ac:dyDescent="0.2">
      <c r="A28" s="28">
        <v>32417</v>
      </c>
      <c r="B28" s="28"/>
      <c r="C28" s="29">
        <v>414514</v>
      </c>
      <c r="D28" s="29">
        <v>89760</v>
      </c>
      <c r="E28" s="29">
        <f t="shared" si="0"/>
        <v>504274</v>
      </c>
      <c r="F28" s="30">
        <v>5861808</v>
      </c>
      <c r="G28" s="30">
        <v>0</v>
      </c>
      <c r="H28" s="30">
        <f t="shared" si="1"/>
        <v>5861808</v>
      </c>
      <c r="I28" s="42" t="s">
        <v>75</v>
      </c>
      <c r="J28" s="42" t="s">
        <v>75</v>
      </c>
      <c r="K28" s="32">
        <v>1311702</v>
      </c>
      <c r="L28" s="31" t="s">
        <v>75</v>
      </c>
      <c r="M28" s="31" t="s">
        <v>75</v>
      </c>
      <c r="N28" s="30">
        <v>9251743</v>
      </c>
      <c r="O28" s="31" t="s">
        <v>75</v>
      </c>
      <c r="P28" s="31" t="s">
        <v>75</v>
      </c>
      <c r="Q28" s="30">
        <v>8464440</v>
      </c>
      <c r="R28" s="31" t="s">
        <v>75</v>
      </c>
      <c r="S28" s="31" t="s">
        <v>75</v>
      </c>
      <c r="T28" s="32">
        <v>119105</v>
      </c>
      <c r="U28" s="31" t="s">
        <v>75</v>
      </c>
      <c r="V28" s="31" t="s">
        <v>75</v>
      </c>
      <c r="W28" s="31" t="s">
        <v>75</v>
      </c>
      <c r="X28" s="31" t="s">
        <v>75</v>
      </c>
      <c r="Y28" s="31" t="s">
        <v>75</v>
      </c>
      <c r="Z28" s="30">
        <v>129639</v>
      </c>
      <c r="AA28" s="31" t="s">
        <v>75</v>
      </c>
      <c r="AB28" s="31" t="s">
        <v>75</v>
      </c>
      <c r="AC28" s="30">
        <v>502042</v>
      </c>
      <c r="AD28" s="31" t="s">
        <v>75</v>
      </c>
      <c r="AE28" s="31" t="s">
        <v>75</v>
      </c>
      <c r="AF28" s="30">
        <v>29428</v>
      </c>
      <c r="AG28" s="42" t="s">
        <v>75</v>
      </c>
      <c r="AH28" s="42" t="s">
        <v>75</v>
      </c>
      <c r="AI28" s="32">
        <v>99050</v>
      </c>
      <c r="AJ28" s="31" t="s">
        <v>75</v>
      </c>
      <c r="AK28" s="31" t="s">
        <v>75</v>
      </c>
      <c r="AL28" s="31" t="s">
        <v>75</v>
      </c>
      <c r="AM28" s="31"/>
      <c r="AN28" s="31"/>
      <c r="AO28" s="31"/>
      <c r="AP28" s="31"/>
      <c r="AQ28" s="31"/>
      <c r="AR28" s="31"/>
      <c r="AS28" s="31" t="s">
        <v>75</v>
      </c>
      <c r="AT28" s="31" t="s">
        <v>75</v>
      </c>
      <c r="AU28" s="31" t="s">
        <v>75</v>
      </c>
      <c r="AV28" s="31" t="s">
        <v>75</v>
      </c>
      <c r="AW28" s="31" t="s">
        <v>75</v>
      </c>
      <c r="AX28" s="31" t="s">
        <v>75</v>
      </c>
      <c r="AY28" s="31" t="s">
        <v>75</v>
      </c>
      <c r="AZ28" s="31" t="s">
        <v>75</v>
      </c>
      <c r="BA28" s="31" t="s">
        <v>75</v>
      </c>
      <c r="BB28" s="31" t="s">
        <v>75</v>
      </c>
      <c r="BC28" s="31" t="s">
        <v>75</v>
      </c>
      <c r="BD28" s="31" t="s">
        <v>75</v>
      </c>
      <c r="BE28" s="113">
        <v>0</v>
      </c>
      <c r="BF28" s="113">
        <v>0</v>
      </c>
      <c r="BG28" s="113">
        <v>0</v>
      </c>
      <c r="BH28" s="113">
        <v>0</v>
      </c>
      <c r="BI28" s="113">
        <v>0</v>
      </c>
      <c r="BJ28" s="113">
        <v>0</v>
      </c>
      <c r="BK28" s="113">
        <v>0</v>
      </c>
      <c r="BL28" s="113">
        <v>0</v>
      </c>
      <c r="BM28" s="113">
        <v>0</v>
      </c>
      <c r="BN28" s="113">
        <v>0</v>
      </c>
      <c r="BO28" s="113">
        <v>0</v>
      </c>
      <c r="BP28" s="113">
        <v>0</v>
      </c>
      <c r="BQ28" s="113">
        <v>0</v>
      </c>
      <c r="BR28" s="113">
        <v>0</v>
      </c>
      <c r="BS28" s="113">
        <v>0</v>
      </c>
      <c r="BT28" s="113">
        <v>0</v>
      </c>
      <c r="BU28" s="113">
        <v>0</v>
      </c>
      <c r="BV28" s="113">
        <v>0</v>
      </c>
      <c r="BW28" s="113"/>
      <c r="BX28" s="113"/>
      <c r="BY28" s="113"/>
      <c r="BZ28" s="113">
        <v>0</v>
      </c>
      <c r="CA28" s="113">
        <v>0</v>
      </c>
      <c r="CB28" s="113">
        <v>0</v>
      </c>
      <c r="CC28" s="113"/>
      <c r="CD28" s="113"/>
      <c r="CE28" s="113"/>
      <c r="CF28" s="113">
        <v>0</v>
      </c>
      <c r="CG28" s="113">
        <v>0</v>
      </c>
      <c r="CH28" s="113">
        <v>0</v>
      </c>
      <c r="CI28" s="113">
        <v>0</v>
      </c>
      <c r="CJ28" s="113">
        <v>0</v>
      </c>
      <c r="CK28" s="113">
        <v>0</v>
      </c>
      <c r="CL28" s="113">
        <v>0</v>
      </c>
      <c r="CM28" s="113">
        <v>0</v>
      </c>
      <c r="CN28" s="113">
        <v>0</v>
      </c>
      <c r="CO28" s="113">
        <v>0</v>
      </c>
      <c r="CP28" s="113">
        <v>0</v>
      </c>
      <c r="CQ28" s="113">
        <v>0</v>
      </c>
      <c r="CR28" s="113">
        <v>0</v>
      </c>
      <c r="CS28" s="113">
        <v>0</v>
      </c>
      <c r="CT28" s="113">
        <v>0</v>
      </c>
      <c r="CU28" s="113">
        <v>0</v>
      </c>
      <c r="CV28" s="113">
        <v>0</v>
      </c>
      <c r="CW28" s="113">
        <v>0</v>
      </c>
      <c r="CX28" s="113">
        <v>0</v>
      </c>
      <c r="CY28" s="113">
        <v>0</v>
      </c>
      <c r="CZ28" s="113">
        <v>0</v>
      </c>
      <c r="DA28" s="113">
        <v>0</v>
      </c>
      <c r="DB28" s="113">
        <v>0</v>
      </c>
      <c r="DC28" s="113">
        <v>0</v>
      </c>
      <c r="DD28" s="113">
        <v>0</v>
      </c>
      <c r="DE28" s="113">
        <v>0</v>
      </c>
      <c r="DF28" s="113">
        <v>0</v>
      </c>
      <c r="DG28" s="113">
        <v>0</v>
      </c>
      <c r="DH28" s="113">
        <v>0</v>
      </c>
      <c r="DI28" s="113">
        <v>0</v>
      </c>
      <c r="DJ28" s="113">
        <v>0</v>
      </c>
      <c r="DK28" s="113">
        <v>0</v>
      </c>
      <c r="DL28" s="113">
        <v>0</v>
      </c>
      <c r="DM28" s="113">
        <v>0</v>
      </c>
      <c r="DN28" s="113">
        <v>0</v>
      </c>
      <c r="DO28" s="113">
        <v>0</v>
      </c>
      <c r="DP28" s="113">
        <v>0</v>
      </c>
      <c r="DQ28" s="113">
        <v>0</v>
      </c>
      <c r="DR28" s="113">
        <v>0</v>
      </c>
      <c r="DS28" s="113">
        <v>0</v>
      </c>
      <c r="DT28" s="113">
        <v>0</v>
      </c>
      <c r="DU28" s="113">
        <v>0</v>
      </c>
      <c r="DV28" s="113">
        <v>0</v>
      </c>
      <c r="DW28" s="113">
        <v>0</v>
      </c>
      <c r="DX28" s="113">
        <v>0</v>
      </c>
      <c r="DY28" s="113">
        <v>0</v>
      </c>
      <c r="DZ28" s="113">
        <v>0</v>
      </c>
      <c r="EA28" s="113">
        <v>0</v>
      </c>
      <c r="EB28" s="113">
        <v>0</v>
      </c>
      <c r="EC28" s="113">
        <v>0</v>
      </c>
      <c r="ED28" s="113">
        <v>0</v>
      </c>
      <c r="EE28" s="113">
        <v>0</v>
      </c>
      <c r="EF28" s="113">
        <v>0</v>
      </c>
      <c r="EG28" s="113">
        <v>0</v>
      </c>
      <c r="EH28" s="113">
        <v>0</v>
      </c>
      <c r="EI28" s="113">
        <v>0</v>
      </c>
      <c r="EJ28" s="113">
        <v>0</v>
      </c>
      <c r="EK28" s="113">
        <v>0</v>
      </c>
      <c r="EL28" s="113">
        <v>0</v>
      </c>
      <c r="EM28" s="113">
        <v>0</v>
      </c>
      <c r="EN28" s="113">
        <v>0</v>
      </c>
      <c r="EO28" s="113">
        <v>0</v>
      </c>
      <c r="EP28" s="113">
        <v>0</v>
      </c>
      <c r="EQ28" s="113">
        <v>0</v>
      </c>
      <c r="ER28" s="113">
        <v>0</v>
      </c>
      <c r="ES28" s="113">
        <v>0</v>
      </c>
      <c r="ET28" s="113">
        <v>0</v>
      </c>
      <c r="EU28" s="113">
        <v>0</v>
      </c>
      <c r="EV28" s="113">
        <v>0</v>
      </c>
      <c r="EW28" s="113">
        <v>0</v>
      </c>
      <c r="EX28" s="113">
        <v>0</v>
      </c>
      <c r="EY28" s="113">
        <v>0</v>
      </c>
      <c r="EZ28" s="113">
        <v>0</v>
      </c>
      <c r="FA28" s="113">
        <v>0</v>
      </c>
      <c r="FB28" s="113">
        <v>0</v>
      </c>
      <c r="FC28" s="113">
        <v>0</v>
      </c>
      <c r="FD28" s="113">
        <v>0</v>
      </c>
      <c r="FE28" s="113">
        <v>0</v>
      </c>
      <c r="FF28" s="113">
        <v>0</v>
      </c>
      <c r="FG28" s="113">
        <v>0</v>
      </c>
      <c r="FH28" s="113">
        <v>0</v>
      </c>
      <c r="FI28" s="113">
        <v>0</v>
      </c>
      <c r="FJ28" s="113">
        <v>0</v>
      </c>
      <c r="FK28" s="113">
        <v>0</v>
      </c>
      <c r="FL28" s="113">
        <v>0</v>
      </c>
      <c r="FM28" s="113">
        <v>0</v>
      </c>
      <c r="FN28" s="113">
        <v>0</v>
      </c>
      <c r="FO28" s="113">
        <v>0</v>
      </c>
      <c r="FP28" s="113">
        <v>0</v>
      </c>
      <c r="FQ28" s="113">
        <v>0</v>
      </c>
      <c r="FR28" s="113">
        <v>0</v>
      </c>
      <c r="FS28" s="113">
        <v>0</v>
      </c>
      <c r="FT28" s="113">
        <v>0</v>
      </c>
      <c r="FU28" s="113">
        <v>0</v>
      </c>
      <c r="FV28" s="113">
        <v>0</v>
      </c>
      <c r="FW28" s="113">
        <v>0</v>
      </c>
      <c r="FX28" s="32">
        <v>0</v>
      </c>
      <c r="FY28" s="30">
        <v>0</v>
      </c>
      <c r="FZ28" s="30">
        <v>0</v>
      </c>
    </row>
    <row r="29" spans="1:182" x14ac:dyDescent="0.2">
      <c r="A29" s="28">
        <v>32448</v>
      </c>
      <c r="B29" s="28"/>
      <c r="C29" s="29">
        <v>298036</v>
      </c>
      <c r="D29" s="29">
        <v>103304</v>
      </c>
      <c r="E29" s="29">
        <f t="shared" si="0"/>
        <v>401340</v>
      </c>
      <c r="F29" s="30">
        <v>8233723</v>
      </c>
      <c r="G29" s="30">
        <v>0</v>
      </c>
      <c r="H29" s="30">
        <f t="shared" si="1"/>
        <v>8233723</v>
      </c>
      <c r="I29" s="42" t="s">
        <v>75</v>
      </c>
      <c r="J29" s="42" t="s">
        <v>75</v>
      </c>
      <c r="K29" s="32">
        <v>1680752</v>
      </c>
      <c r="L29" s="31" t="s">
        <v>75</v>
      </c>
      <c r="M29" s="31" t="s">
        <v>75</v>
      </c>
      <c r="N29" s="30">
        <v>10509954</v>
      </c>
      <c r="O29" s="31" t="s">
        <v>75</v>
      </c>
      <c r="P29" s="31" t="s">
        <v>75</v>
      </c>
      <c r="Q29" s="30">
        <v>11213120</v>
      </c>
      <c r="R29" s="31" t="s">
        <v>75</v>
      </c>
      <c r="S29" s="31" t="s">
        <v>75</v>
      </c>
      <c r="T29" s="32">
        <v>226001</v>
      </c>
      <c r="U29" s="31" t="s">
        <v>75</v>
      </c>
      <c r="V29" s="31" t="s">
        <v>75</v>
      </c>
      <c r="W29" s="31" t="s">
        <v>75</v>
      </c>
      <c r="X29" s="31" t="s">
        <v>75</v>
      </c>
      <c r="Y29" s="31" t="s">
        <v>75</v>
      </c>
      <c r="Z29" s="30">
        <v>231123</v>
      </c>
      <c r="AA29" s="31" t="s">
        <v>75</v>
      </c>
      <c r="AB29" s="31" t="s">
        <v>75</v>
      </c>
      <c r="AC29" s="30">
        <v>351255</v>
      </c>
      <c r="AD29" s="31" t="s">
        <v>75</v>
      </c>
      <c r="AE29" s="31" t="s">
        <v>75</v>
      </c>
      <c r="AF29" s="30">
        <v>72214</v>
      </c>
      <c r="AG29" s="42" t="s">
        <v>75</v>
      </c>
      <c r="AH29" s="42" t="s">
        <v>75</v>
      </c>
      <c r="AI29" s="32">
        <v>82686</v>
      </c>
      <c r="AJ29" s="31" t="s">
        <v>75</v>
      </c>
      <c r="AK29" s="31" t="s">
        <v>75</v>
      </c>
      <c r="AL29" s="31" t="s">
        <v>75</v>
      </c>
      <c r="AM29" s="31"/>
      <c r="AN29" s="31"/>
      <c r="AO29" s="31"/>
      <c r="AP29" s="31"/>
      <c r="AQ29" s="31"/>
      <c r="AR29" s="31"/>
      <c r="AS29" s="31" t="s">
        <v>75</v>
      </c>
      <c r="AT29" s="31" t="s">
        <v>75</v>
      </c>
      <c r="AU29" s="31" t="s">
        <v>75</v>
      </c>
      <c r="AV29" s="31" t="s">
        <v>75</v>
      </c>
      <c r="AW29" s="31" t="s">
        <v>75</v>
      </c>
      <c r="AX29" s="31" t="s">
        <v>75</v>
      </c>
      <c r="AY29" s="31" t="s">
        <v>75</v>
      </c>
      <c r="AZ29" s="31" t="s">
        <v>75</v>
      </c>
      <c r="BA29" s="31" t="s">
        <v>75</v>
      </c>
      <c r="BB29" s="31" t="s">
        <v>75</v>
      </c>
      <c r="BC29" s="31" t="s">
        <v>75</v>
      </c>
      <c r="BD29" s="31" t="s">
        <v>75</v>
      </c>
      <c r="BE29" s="113">
        <v>0</v>
      </c>
      <c r="BF29" s="113">
        <v>0</v>
      </c>
      <c r="BG29" s="113">
        <v>0</v>
      </c>
      <c r="BH29" s="113">
        <v>0</v>
      </c>
      <c r="BI29" s="113">
        <v>0</v>
      </c>
      <c r="BJ29" s="113">
        <v>0</v>
      </c>
      <c r="BK29" s="113">
        <v>0</v>
      </c>
      <c r="BL29" s="113">
        <v>0</v>
      </c>
      <c r="BM29" s="113">
        <v>0</v>
      </c>
      <c r="BN29" s="113">
        <v>0</v>
      </c>
      <c r="BO29" s="113">
        <v>0</v>
      </c>
      <c r="BP29" s="113">
        <v>0</v>
      </c>
      <c r="BQ29" s="113">
        <v>0</v>
      </c>
      <c r="BR29" s="113">
        <v>0</v>
      </c>
      <c r="BS29" s="113">
        <v>0</v>
      </c>
      <c r="BT29" s="113">
        <v>0</v>
      </c>
      <c r="BU29" s="113">
        <v>0</v>
      </c>
      <c r="BV29" s="113">
        <v>0</v>
      </c>
      <c r="BW29" s="113"/>
      <c r="BX29" s="113"/>
      <c r="BY29" s="113"/>
      <c r="BZ29" s="113">
        <v>0</v>
      </c>
      <c r="CA29" s="113">
        <v>0</v>
      </c>
      <c r="CB29" s="113">
        <v>0</v>
      </c>
      <c r="CC29" s="113"/>
      <c r="CD29" s="113"/>
      <c r="CE29" s="113"/>
      <c r="CF29" s="113">
        <v>0</v>
      </c>
      <c r="CG29" s="113">
        <v>0</v>
      </c>
      <c r="CH29" s="113">
        <v>0</v>
      </c>
      <c r="CI29" s="113">
        <v>0</v>
      </c>
      <c r="CJ29" s="113">
        <v>0</v>
      </c>
      <c r="CK29" s="113">
        <v>0</v>
      </c>
      <c r="CL29" s="113">
        <v>0</v>
      </c>
      <c r="CM29" s="113">
        <v>0</v>
      </c>
      <c r="CN29" s="113">
        <v>0</v>
      </c>
      <c r="CO29" s="113">
        <v>0</v>
      </c>
      <c r="CP29" s="113">
        <v>0</v>
      </c>
      <c r="CQ29" s="113">
        <v>0</v>
      </c>
      <c r="CR29" s="113">
        <v>0</v>
      </c>
      <c r="CS29" s="113">
        <v>0</v>
      </c>
      <c r="CT29" s="113">
        <v>0</v>
      </c>
      <c r="CU29" s="113">
        <v>0</v>
      </c>
      <c r="CV29" s="113">
        <v>0</v>
      </c>
      <c r="CW29" s="113">
        <v>0</v>
      </c>
      <c r="CX29" s="113">
        <v>0</v>
      </c>
      <c r="CY29" s="113">
        <v>0</v>
      </c>
      <c r="CZ29" s="113">
        <v>0</v>
      </c>
      <c r="DA29" s="113">
        <v>0</v>
      </c>
      <c r="DB29" s="113">
        <v>0</v>
      </c>
      <c r="DC29" s="113">
        <v>0</v>
      </c>
      <c r="DD29" s="113">
        <v>0</v>
      </c>
      <c r="DE29" s="113">
        <v>0</v>
      </c>
      <c r="DF29" s="113">
        <v>0</v>
      </c>
      <c r="DG29" s="113">
        <v>0</v>
      </c>
      <c r="DH29" s="113">
        <v>0</v>
      </c>
      <c r="DI29" s="113">
        <v>0</v>
      </c>
      <c r="DJ29" s="113">
        <v>0</v>
      </c>
      <c r="DK29" s="113">
        <v>0</v>
      </c>
      <c r="DL29" s="113">
        <v>0</v>
      </c>
      <c r="DM29" s="113">
        <v>0</v>
      </c>
      <c r="DN29" s="113">
        <v>0</v>
      </c>
      <c r="DO29" s="113">
        <v>0</v>
      </c>
      <c r="DP29" s="113">
        <v>0</v>
      </c>
      <c r="DQ29" s="113">
        <v>0</v>
      </c>
      <c r="DR29" s="113">
        <v>0</v>
      </c>
      <c r="DS29" s="113">
        <v>0</v>
      </c>
      <c r="DT29" s="113">
        <v>0</v>
      </c>
      <c r="DU29" s="113">
        <v>0</v>
      </c>
      <c r="DV29" s="113">
        <v>0</v>
      </c>
      <c r="DW29" s="113">
        <v>0</v>
      </c>
      <c r="DX29" s="113">
        <v>0</v>
      </c>
      <c r="DY29" s="113">
        <v>0</v>
      </c>
      <c r="DZ29" s="113">
        <v>0</v>
      </c>
      <c r="EA29" s="113">
        <v>0</v>
      </c>
      <c r="EB29" s="113">
        <v>0</v>
      </c>
      <c r="EC29" s="113">
        <v>0</v>
      </c>
      <c r="ED29" s="113">
        <v>0</v>
      </c>
      <c r="EE29" s="113">
        <v>0</v>
      </c>
      <c r="EF29" s="113">
        <v>0</v>
      </c>
      <c r="EG29" s="113">
        <v>0</v>
      </c>
      <c r="EH29" s="113">
        <v>0</v>
      </c>
      <c r="EI29" s="113">
        <v>0</v>
      </c>
      <c r="EJ29" s="113">
        <v>0</v>
      </c>
      <c r="EK29" s="113">
        <v>0</v>
      </c>
      <c r="EL29" s="113">
        <v>0</v>
      </c>
      <c r="EM29" s="113">
        <v>0</v>
      </c>
      <c r="EN29" s="113">
        <v>0</v>
      </c>
      <c r="EO29" s="113">
        <v>0</v>
      </c>
      <c r="EP29" s="113">
        <v>0</v>
      </c>
      <c r="EQ29" s="113">
        <v>0</v>
      </c>
      <c r="ER29" s="113">
        <v>0</v>
      </c>
      <c r="ES29" s="113">
        <v>0</v>
      </c>
      <c r="ET29" s="113">
        <v>0</v>
      </c>
      <c r="EU29" s="113">
        <v>0</v>
      </c>
      <c r="EV29" s="113">
        <v>0</v>
      </c>
      <c r="EW29" s="113">
        <v>0</v>
      </c>
      <c r="EX29" s="113">
        <v>0</v>
      </c>
      <c r="EY29" s="113">
        <v>0</v>
      </c>
      <c r="EZ29" s="113">
        <v>0</v>
      </c>
      <c r="FA29" s="113">
        <v>0</v>
      </c>
      <c r="FB29" s="113">
        <v>0</v>
      </c>
      <c r="FC29" s="113">
        <v>0</v>
      </c>
      <c r="FD29" s="113">
        <v>0</v>
      </c>
      <c r="FE29" s="113">
        <v>0</v>
      </c>
      <c r="FF29" s="113">
        <v>0</v>
      </c>
      <c r="FG29" s="113">
        <v>0</v>
      </c>
      <c r="FH29" s="113">
        <v>0</v>
      </c>
      <c r="FI29" s="113">
        <v>0</v>
      </c>
      <c r="FJ29" s="113">
        <v>0</v>
      </c>
      <c r="FK29" s="113">
        <v>0</v>
      </c>
      <c r="FL29" s="113">
        <v>0</v>
      </c>
      <c r="FM29" s="113">
        <v>0</v>
      </c>
      <c r="FN29" s="113">
        <v>0</v>
      </c>
      <c r="FO29" s="113">
        <v>0</v>
      </c>
      <c r="FP29" s="113">
        <v>0</v>
      </c>
      <c r="FQ29" s="113">
        <v>0</v>
      </c>
      <c r="FR29" s="113">
        <v>0</v>
      </c>
      <c r="FS29" s="113">
        <v>0</v>
      </c>
      <c r="FT29" s="113">
        <v>0</v>
      </c>
      <c r="FU29" s="113">
        <v>0</v>
      </c>
      <c r="FV29" s="113">
        <v>0</v>
      </c>
      <c r="FW29" s="113">
        <v>0</v>
      </c>
      <c r="FX29" s="32">
        <v>0</v>
      </c>
      <c r="FY29" s="30">
        <v>0</v>
      </c>
      <c r="FZ29" s="30">
        <v>0</v>
      </c>
    </row>
    <row r="30" spans="1:182" x14ac:dyDescent="0.2">
      <c r="A30" s="28">
        <v>32478</v>
      </c>
      <c r="B30" s="28"/>
      <c r="C30" s="29">
        <v>519437</v>
      </c>
      <c r="D30" s="29">
        <v>207651</v>
      </c>
      <c r="E30" s="29">
        <f t="shared" si="0"/>
        <v>727088</v>
      </c>
      <c r="F30" s="30">
        <v>11955855</v>
      </c>
      <c r="G30" s="30">
        <v>0</v>
      </c>
      <c r="H30" s="30">
        <f t="shared" si="1"/>
        <v>11955855</v>
      </c>
      <c r="I30" s="42" t="s">
        <v>75</v>
      </c>
      <c r="J30" s="42" t="s">
        <v>75</v>
      </c>
      <c r="K30" s="32">
        <v>3664572</v>
      </c>
      <c r="L30" s="31" t="s">
        <v>75</v>
      </c>
      <c r="M30" s="31" t="s">
        <v>75</v>
      </c>
      <c r="N30" s="30">
        <v>16532576</v>
      </c>
      <c r="O30" s="31" t="s">
        <v>75</v>
      </c>
      <c r="P30" s="31" t="s">
        <v>75</v>
      </c>
      <c r="Q30" s="30">
        <v>12781769</v>
      </c>
      <c r="R30" s="31" t="s">
        <v>75</v>
      </c>
      <c r="S30" s="31" t="s">
        <v>75</v>
      </c>
      <c r="T30" s="32">
        <v>108553</v>
      </c>
      <c r="U30" s="31" t="s">
        <v>75</v>
      </c>
      <c r="V30" s="31" t="s">
        <v>75</v>
      </c>
      <c r="W30" s="31" t="s">
        <v>75</v>
      </c>
      <c r="X30" s="31" t="s">
        <v>75</v>
      </c>
      <c r="Y30" s="31" t="s">
        <v>75</v>
      </c>
      <c r="Z30" s="30">
        <v>188701</v>
      </c>
      <c r="AA30" s="31" t="s">
        <v>75</v>
      </c>
      <c r="AB30" s="31" t="s">
        <v>75</v>
      </c>
      <c r="AC30" s="30">
        <v>509056</v>
      </c>
      <c r="AD30" s="31" t="s">
        <v>75</v>
      </c>
      <c r="AE30" s="31" t="s">
        <v>75</v>
      </c>
      <c r="AF30" s="30">
        <v>73092</v>
      </c>
      <c r="AG30" s="42" t="s">
        <v>75</v>
      </c>
      <c r="AH30" s="42" t="s">
        <v>75</v>
      </c>
      <c r="AI30" s="32">
        <v>142293</v>
      </c>
      <c r="AJ30" s="31" t="s">
        <v>75</v>
      </c>
      <c r="AK30" s="31" t="s">
        <v>75</v>
      </c>
      <c r="AL30" s="31" t="s">
        <v>75</v>
      </c>
      <c r="AM30" s="31"/>
      <c r="AN30" s="31"/>
      <c r="AO30" s="31"/>
      <c r="AP30" s="31"/>
      <c r="AQ30" s="31"/>
      <c r="AR30" s="31"/>
      <c r="AS30" s="31" t="s">
        <v>75</v>
      </c>
      <c r="AT30" s="31" t="s">
        <v>75</v>
      </c>
      <c r="AU30" s="31" t="s">
        <v>75</v>
      </c>
      <c r="AV30" s="31" t="s">
        <v>75</v>
      </c>
      <c r="AW30" s="31" t="s">
        <v>75</v>
      </c>
      <c r="AX30" s="31" t="s">
        <v>75</v>
      </c>
      <c r="AY30" s="31" t="s">
        <v>75</v>
      </c>
      <c r="AZ30" s="31" t="s">
        <v>75</v>
      </c>
      <c r="BA30" s="31" t="s">
        <v>75</v>
      </c>
      <c r="BB30" s="31" t="s">
        <v>75</v>
      </c>
      <c r="BC30" s="31" t="s">
        <v>75</v>
      </c>
      <c r="BD30" s="31" t="s">
        <v>75</v>
      </c>
      <c r="BE30" s="113">
        <v>0</v>
      </c>
      <c r="BF30" s="113">
        <v>0</v>
      </c>
      <c r="BG30" s="113">
        <v>0</v>
      </c>
      <c r="BH30" s="113">
        <v>0</v>
      </c>
      <c r="BI30" s="113">
        <v>0</v>
      </c>
      <c r="BJ30" s="113">
        <v>0</v>
      </c>
      <c r="BK30" s="113">
        <v>0</v>
      </c>
      <c r="BL30" s="113">
        <v>0</v>
      </c>
      <c r="BM30" s="113">
        <v>0</v>
      </c>
      <c r="BN30" s="113">
        <v>0</v>
      </c>
      <c r="BO30" s="113">
        <v>0</v>
      </c>
      <c r="BP30" s="113">
        <v>0</v>
      </c>
      <c r="BQ30" s="113">
        <v>0</v>
      </c>
      <c r="BR30" s="113">
        <v>0</v>
      </c>
      <c r="BS30" s="113">
        <v>0</v>
      </c>
      <c r="BT30" s="113">
        <v>0</v>
      </c>
      <c r="BU30" s="113">
        <v>0</v>
      </c>
      <c r="BV30" s="113">
        <v>0</v>
      </c>
      <c r="BW30" s="113"/>
      <c r="BX30" s="113"/>
      <c r="BY30" s="113"/>
      <c r="BZ30" s="113">
        <v>0</v>
      </c>
      <c r="CA30" s="113">
        <v>0</v>
      </c>
      <c r="CB30" s="113">
        <v>0</v>
      </c>
      <c r="CC30" s="113"/>
      <c r="CD30" s="113"/>
      <c r="CE30" s="113"/>
      <c r="CF30" s="113">
        <v>0</v>
      </c>
      <c r="CG30" s="113">
        <v>0</v>
      </c>
      <c r="CH30" s="113">
        <v>0</v>
      </c>
      <c r="CI30" s="113">
        <v>0</v>
      </c>
      <c r="CJ30" s="113">
        <v>0</v>
      </c>
      <c r="CK30" s="113">
        <v>0</v>
      </c>
      <c r="CL30" s="113">
        <v>0</v>
      </c>
      <c r="CM30" s="113">
        <v>0</v>
      </c>
      <c r="CN30" s="113">
        <v>0</v>
      </c>
      <c r="CO30" s="113">
        <v>0</v>
      </c>
      <c r="CP30" s="113">
        <v>0</v>
      </c>
      <c r="CQ30" s="113">
        <v>0</v>
      </c>
      <c r="CR30" s="113">
        <v>0</v>
      </c>
      <c r="CS30" s="113">
        <v>0</v>
      </c>
      <c r="CT30" s="113">
        <v>0</v>
      </c>
      <c r="CU30" s="113">
        <v>0</v>
      </c>
      <c r="CV30" s="113">
        <v>0</v>
      </c>
      <c r="CW30" s="113">
        <v>0</v>
      </c>
      <c r="CX30" s="113">
        <v>0</v>
      </c>
      <c r="CY30" s="113">
        <v>0</v>
      </c>
      <c r="CZ30" s="113">
        <v>0</v>
      </c>
      <c r="DA30" s="113">
        <v>0</v>
      </c>
      <c r="DB30" s="113">
        <v>0</v>
      </c>
      <c r="DC30" s="113">
        <v>0</v>
      </c>
      <c r="DD30" s="113">
        <v>0</v>
      </c>
      <c r="DE30" s="113">
        <v>0</v>
      </c>
      <c r="DF30" s="113">
        <v>0</v>
      </c>
      <c r="DG30" s="113">
        <v>0</v>
      </c>
      <c r="DH30" s="113">
        <v>0</v>
      </c>
      <c r="DI30" s="113">
        <v>0</v>
      </c>
      <c r="DJ30" s="113">
        <v>0</v>
      </c>
      <c r="DK30" s="113">
        <v>0</v>
      </c>
      <c r="DL30" s="113">
        <v>0</v>
      </c>
      <c r="DM30" s="113">
        <v>0</v>
      </c>
      <c r="DN30" s="113">
        <v>0</v>
      </c>
      <c r="DO30" s="113">
        <v>0</v>
      </c>
      <c r="DP30" s="113">
        <v>0</v>
      </c>
      <c r="DQ30" s="113">
        <v>0</v>
      </c>
      <c r="DR30" s="113">
        <v>0</v>
      </c>
      <c r="DS30" s="113">
        <v>0</v>
      </c>
      <c r="DT30" s="113">
        <v>0</v>
      </c>
      <c r="DU30" s="113">
        <v>0</v>
      </c>
      <c r="DV30" s="113">
        <v>0</v>
      </c>
      <c r="DW30" s="113">
        <v>0</v>
      </c>
      <c r="DX30" s="113">
        <v>0</v>
      </c>
      <c r="DY30" s="113">
        <v>0</v>
      </c>
      <c r="DZ30" s="113">
        <v>0</v>
      </c>
      <c r="EA30" s="113">
        <v>0</v>
      </c>
      <c r="EB30" s="113">
        <v>0</v>
      </c>
      <c r="EC30" s="113">
        <v>0</v>
      </c>
      <c r="ED30" s="113">
        <v>0</v>
      </c>
      <c r="EE30" s="113">
        <v>0</v>
      </c>
      <c r="EF30" s="113">
        <v>0</v>
      </c>
      <c r="EG30" s="113">
        <v>0</v>
      </c>
      <c r="EH30" s="113">
        <v>0</v>
      </c>
      <c r="EI30" s="113">
        <v>0</v>
      </c>
      <c r="EJ30" s="113">
        <v>0</v>
      </c>
      <c r="EK30" s="113">
        <v>0</v>
      </c>
      <c r="EL30" s="113">
        <v>0</v>
      </c>
      <c r="EM30" s="113">
        <v>0</v>
      </c>
      <c r="EN30" s="113">
        <v>0</v>
      </c>
      <c r="EO30" s="113">
        <v>0</v>
      </c>
      <c r="EP30" s="113">
        <v>0</v>
      </c>
      <c r="EQ30" s="113">
        <v>0</v>
      </c>
      <c r="ER30" s="113">
        <v>0</v>
      </c>
      <c r="ES30" s="113">
        <v>0</v>
      </c>
      <c r="ET30" s="113">
        <v>0</v>
      </c>
      <c r="EU30" s="113">
        <v>0</v>
      </c>
      <c r="EV30" s="113">
        <v>0</v>
      </c>
      <c r="EW30" s="113">
        <v>0</v>
      </c>
      <c r="EX30" s="113">
        <v>0</v>
      </c>
      <c r="EY30" s="113">
        <v>0</v>
      </c>
      <c r="EZ30" s="113">
        <v>0</v>
      </c>
      <c r="FA30" s="113">
        <v>0</v>
      </c>
      <c r="FB30" s="113">
        <v>0</v>
      </c>
      <c r="FC30" s="113">
        <v>0</v>
      </c>
      <c r="FD30" s="113">
        <v>0</v>
      </c>
      <c r="FE30" s="113">
        <v>0</v>
      </c>
      <c r="FF30" s="113">
        <v>0</v>
      </c>
      <c r="FG30" s="113">
        <v>0</v>
      </c>
      <c r="FH30" s="113">
        <v>0</v>
      </c>
      <c r="FI30" s="113">
        <v>0</v>
      </c>
      <c r="FJ30" s="113">
        <v>0</v>
      </c>
      <c r="FK30" s="113">
        <v>0</v>
      </c>
      <c r="FL30" s="113">
        <v>0</v>
      </c>
      <c r="FM30" s="113">
        <v>0</v>
      </c>
      <c r="FN30" s="113">
        <v>0</v>
      </c>
      <c r="FO30" s="113">
        <v>0</v>
      </c>
      <c r="FP30" s="113">
        <v>0</v>
      </c>
      <c r="FQ30" s="113">
        <v>0</v>
      </c>
      <c r="FR30" s="113">
        <v>0</v>
      </c>
      <c r="FS30" s="113">
        <v>0</v>
      </c>
      <c r="FT30" s="113">
        <v>0</v>
      </c>
      <c r="FU30" s="113">
        <v>0</v>
      </c>
      <c r="FV30" s="113">
        <v>0</v>
      </c>
      <c r="FW30" s="113">
        <v>0</v>
      </c>
      <c r="FX30" s="32">
        <v>0</v>
      </c>
      <c r="FY30" s="30">
        <v>0</v>
      </c>
      <c r="FZ30" s="30">
        <v>0</v>
      </c>
    </row>
    <row r="31" spans="1:182" x14ac:dyDescent="0.2">
      <c r="A31" s="28">
        <v>32509</v>
      </c>
      <c r="B31" s="28"/>
      <c r="C31" s="29">
        <v>159254</v>
      </c>
      <c r="D31" s="29">
        <v>39669</v>
      </c>
      <c r="E31" s="29">
        <f t="shared" si="0"/>
        <v>198923</v>
      </c>
      <c r="F31" s="30">
        <v>8847586</v>
      </c>
      <c r="G31" s="30">
        <v>0</v>
      </c>
      <c r="H31" s="30">
        <f t="shared" si="1"/>
        <v>8847586</v>
      </c>
      <c r="I31" s="42" t="s">
        <v>75</v>
      </c>
      <c r="J31" s="42" t="s">
        <v>75</v>
      </c>
      <c r="K31" s="32">
        <v>2315185</v>
      </c>
      <c r="L31" s="31" t="s">
        <v>75</v>
      </c>
      <c r="M31" s="31" t="s">
        <v>75</v>
      </c>
      <c r="N31" s="30">
        <v>13401396</v>
      </c>
      <c r="O31" s="31" t="s">
        <v>75</v>
      </c>
      <c r="P31" s="31" t="s">
        <v>75</v>
      </c>
      <c r="Q31" s="30">
        <v>13793685</v>
      </c>
      <c r="R31" s="31" t="s">
        <v>75</v>
      </c>
      <c r="S31" s="31" t="s">
        <v>75</v>
      </c>
      <c r="T31" s="32">
        <v>145396</v>
      </c>
      <c r="U31" s="31" t="s">
        <v>75</v>
      </c>
      <c r="V31" s="31" t="s">
        <v>75</v>
      </c>
      <c r="W31" s="31" t="s">
        <v>75</v>
      </c>
      <c r="X31" s="31" t="s">
        <v>75</v>
      </c>
      <c r="Y31" s="31" t="s">
        <v>75</v>
      </c>
      <c r="Z31" s="30">
        <v>101524</v>
      </c>
      <c r="AA31" s="31" t="s">
        <v>75</v>
      </c>
      <c r="AB31" s="31" t="s">
        <v>75</v>
      </c>
      <c r="AC31" s="30">
        <v>295035</v>
      </c>
      <c r="AD31" s="31" t="s">
        <v>75</v>
      </c>
      <c r="AE31" s="31" t="s">
        <v>75</v>
      </c>
      <c r="AF31" s="30">
        <v>10341</v>
      </c>
      <c r="AG31" s="42" t="s">
        <v>75</v>
      </c>
      <c r="AH31" s="42" t="s">
        <v>75</v>
      </c>
      <c r="AI31" s="32">
        <v>80980</v>
      </c>
      <c r="AJ31" s="31" t="s">
        <v>75</v>
      </c>
      <c r="AK31" s="31" t="s">
        <v>75</v>
      </c>
      <c r="AL31" s="31" t="s">
        <v>75</v>
      </c>
      <c r="AM31" s="31"/>
      <c r="AN31" s="31"/>
      <c r="AO31" s="31"/>
      <c r="AP31" s="31"/>
      <c r="AQ31" s="31"/>
      <c r="AR31" s="31"/>
      <c r="AS31" s="31" t="s">
        <v>75</v>
      </c>
      <c r="AT31" s="31" t="s">
        <v>75</v>
      </c>
      <c r="AU31" s="31" t="s">
        <v>75</v>
      </c>
      <c r="AV31" s="31" t="s">
        <v>75</v>
      </c>
      <c r="AW31" s="31" t="s">
        <v>75</v>
      </c>
      <c r="AX31" s="31" t="s">
        <v>75</v>
      </c>
      <c r="AY31" s="31" t="s">
        <v>75</v>
      </c>
      <c r="AZ31" s="31" t="s">
        <v>75</v>
      </c>
      <c r="BA31" s="31" t="s">
        <v>75</v>
      </c>
      <c r="BB31" s="31" t="s">
        <v>75</v>
      </c>
      <c r="BC31" s="31" t="s">
        <v>75</v>
      </c>
      <c r="BD31" s="31" t="s">
        <v>75</v>
      </c>
      <c r="BE31" s="113">
        <v>0</v>
      </c>
      <c r="BF31" s="113">
        <v>0</v>
      </c>
      <c r="BG31" s="113">
        <v>0</v>
      </c>
      <c r="BH31" s="113">
        <v>0</v>
      </c>
      <c r="BI31" s="113">
        <v>0</v>
      </c>
      <c r="BJ31" s="113">
        <v>0</v>
      </c>
      <c r="BK31" s="113">
        <v>0</v>
      </c>
      <c r="BL31" s="113">
        <v>0</v>
      </c>
      <c r="BM31" s="113">
        <v>0</v>
      </c>
      <c r="BN31" s="113">
        <v>0</v>
      </c>
      <c r="BO31" s="113">
        <v>0</v>
      </c>
      <c r="BP31" s="113">
        <v>0</v>
      </c>
      <c r="BQ31" s="113">
        <v>0</v>
      </c>
      <c r="BR31" s="113">
        <v>0</v>
      </c>
      <c r="BS31" s="113">
        <v>0</v>
      </c>
      <c r="BT31" s="113">
        <v>0</v>
      </c>
      <c r="BU31" s="113">
        <v>0</v>
      </c>
      <c r="BV31" s="113">
        <v>0</v>
      </c>
      <c r="BW31" s="113"/>
      <c r="BX31" s="113"/>
      <c r="BY31" s="113"/>
      <c r="BZ31" s="113">
        <v>0</v>
      </c>
      <c r="CA31" s="113">
        <v>0</v>
      </c>
      <c r="CB31" s="113">
        <v>0</v>
      </c>
      <c r="CC31" s="113"/>
      <c r="CD31" s="113"/>
      <c r="CE31" s="113"/>
      <c r="CF31" s="113">
        <v>0</v>
      </c>
      <c r="CG31" s="113">
        <v>0</v>
      </c>
      <c r="CH31" s="113">
        <v>0</v>
      </c>
      <c r="CI31" s="113">
        <v>0</v>
      </c>
      <c r="CJ31" s="113">
        <v>0</v>
      </c>
      <c r="CK31" s="113">
        <v>0</v>
      </c>
      <c r="CL31" s="113">
        <v>0</v>
      </c>
      <c r="CM31" s="113">
        <v>0</v>
      </c>
      <c r="CN31" s="113">
        <v>0</v>
      </c>
      <c r="CO31" s="113">
        <v>0</v>
      </c>
      <c r="CP31" s="113">
        <v>0</v>
      </c>
      <c r="CQ31" s="113">
        <v>0</v>
      </c>
      <c r="CR31" s="113">
        <v>0</v>
      </c>
      <c r="CS31" s="113">
        <v>0</v>
      </c>
      <c r="CT31" s="113">
        <v>0</v>
      </c>
      <c r="CU31" s="113">
        <v>0</v>
      </c>
      <c r="CV31" s="113">
        <v>0</v>
      </c>
      <c r="CW31" s="113">
        <v>0</v>
      </c>
      <c r="CX31" s="113">
        <v>0</v>
      </c>
      <c r="CY31" s="113">
        <v>0</v>
      </c>
      <c r="CZ31" s="113">
        <v>0</v>
      </c>
      <c r="DA31" s="113">
        <v>0</v>
      </c>
      <c r="DB31" s="113">
        <v>0</v>
      </c>
      <c r="DC31" s="113">
        <v>0</v>
      </c>
      <c r="DD31" s="113">
        <v>0</v>
      </c>
      <c r="DE31" s="113">
        <v>0</v>
      </c>
      <c r="DF31" s="113">
        <v>0</v>
      </c>
      <c r="DG31" s="113">
        <v>0</v>
      </c>
      <c r="DH31" s="113">
        <v>0</v>
      </c>
      <c r="DI31" s="113">
        <v>0</v>
      </c>
      <c r="DJ31" s="113">
        <v>0</v>
      </c>
      <c r="DK31" s="113">
        <v>0</v>
      </c>
      <c r="DL31" s="113">
        <v>0</v>
      </c>
      <c r="DM31" s="113">
        <v>0</v>
      </c>
      <c r="DN31" s="113">
        <v>0</v>
      </c>
      <c r="DO31" s="113">
        <v>0</v>
      </c>
      <c r="DP31" s="113">
        <v>0</v>
      </c>
      <c r="DQ31" s="113">
        <v>0</v>
      </c>
      <c r="DR31" s="113">
        <v>0</v>
      </c>
      <c r="DS31" s="113">
        <v>0</v>
      </c>
      <c r="DT31" s="113">
        <v>0</v>
      </c>
      <c r="DU31" s="113">
        <v>0</v>
      </c>
      <c r="DV31" s="113">
        <v>0</v>
      </c>
      <c r="DW31" s="113">
        <v>0</v>
      </c>
      <c r="DX31" s="113">
        <v>0</v>
      </c>
      <c r="DY31" s="113">
        <v>0</v>
      </c>
      <c r="DZ31" s="113">
        <v>0</v>
      </c>
      <c r="EA31" s="113">
        <v>0</v>
      </c>
      <c r="EB31" s="113">
        <v>0</v>
      </c>
      <c r="EC31" s="113">
        <v>0</v>
      </c>
      <c r="ED31" s="113">
        <v>0</v>
      </c>
      <c r="EE31" s="113">
        <v>0</v>
      </c>
      <c r="EF31" s="113">
        <v>0</v>
      </c>
      <c r="EG31" s="113">
        <v>0</v>
      </c>
      <c r="EH31" s="113">
        <v>0</v>
      </c>
      <c r="EI31" s="113">
        <v>0</v>
      </c>
      <c r="EJ31" s="113">
        <v>0</v>
      </c>
      <c r="EK31" s="113">
        <v>0</v>
      </c>
      <c r="EL31" s="113">
        <v>0</v>
      </c>
      <c r="EM31" s="113">
        <v>0</v>
      </c>
      <c r="EN31" s="113">
        <v>0</v>
      </c>
      <c r="EO31" s="113">
        <v>0</v>
      </c>
      <c r="EP31" s="113">
        <v>0</v>
      </c>
      <c r="EQ31" s="113">
        <v>0</v>
      </c>
      <c r="ER31" s="113">
        <v>0</v>
      </c>
      <c r="ES31" s="113">
        <v>0</v>
      </c>
      <c r="ET31" s="113">
        <v>0</v>
      </c>
      <c r="EU31" s="113">
        <v>0</v>
      </c>
      <c r="EV31" s="113">
        <v>0</v>
      </c>
      <c r="EW31" s="113">
        <v>0</v>
      </c>
      <c r="EX31" s="113">
        <v>0</v>
      </c>
      <c r="EY31" s="113">
        <v>0</v>
      </c>
      <c r="EZ31" s="113">
        <v>0</v>
      </c>
      <c r="FA31" s="113">
        <v>0</v>
      </c>
      <c r="FB31" s="113">
        <v>0</v>
      </c>
      <c r="FC31" s="113">
        <v>0</v>
      </c>
      <c r="FD31" s="113">
        <v>0</v>
      </c>
      <c r="FE31" s="113">
        <v>0</v>
      </c>
      <c r="FF31" s="113">
        <v>0</v>
      </c>
      <c r="FG31" s="113">
        <v>0</v>
      </c>
      <c r="FH31" s="113">
        <v>0</v>
      </c>
      <c r="FI31" s="113">
        <v>0</v>
      </c>
      <c r="FJ31" s="113">
        <v>0</v>
      </c>
      <c r="FK31" s="113">
        <v>0</v>
      </c>
      <c r="FL31" s="113">
        <v>0</v>
      </c>
      <c r="FM31" s="113">
        <v>0</v>
      </c>
      <c r="FN31" s="113">
        <v>0</v>
      </c>
      <c r="FO31" s="113">
        <v>0</v>
      </c>
      <c r="FP31" s="113">
        <v>0</v>
      </c>
      <c r="FQ31" s="113">
        <v>0</v>
      </c>
      <c r="FR31" s="113">
        <v>0</v>
      </c>
      <c r="FS31" s="113">
        <v>0</v>
      </c>
      <c r="FT31" s="113">
        <v>0</v>
      </c>
      <c r="FU31" s="113">
        <v>0</v>
      </c>
      <c r="FV31" s="113">
        <v>0</v>
      </c>
      <c r="FW31" s="113">
        <v>0</v>
      </c>
      <c r="FX31" s="32">
        <v>0</v>
      </c>
      <c r="FY31" s="30">
        <v>0</v>
      </c>
      <c r="FZ31" s="30">
        <v>0</v>
      </c>
    </row>
    <row r="32" spans="1:182" x14ac:dyDescent="0.2">
      <c r="A32" s="28">
        <v>32540</v>
      </c>
      <c r="B32" s="28"/>
      <c r="C32" s="29">
        <v>353714</v>
      </c>
      <c r="D32" s="29">
        <v>113592</v>
      </c>
      <c r="E32" s="29">
        <f t="shared" si="0"/>
        <v>467306</v>
      </c>
      <c r="F32" s="30">
        <v>7223333</v>
      </c>
      <c r="G32" s="30">
        <v>0</v>
      </c>
      <c r="H32" s="30">
        <f t="shared" si="1"/>
        <v>7223333</v>
      </c>
      <c r="I32" s="42" t="s">
        <v>75</v>
      </c>
      <c r="J32" s="42" t="s">
        <v>75</v>
      </c>
      <c r="K32" s="32">
        <v>2647701</v>
      </c>
      <c r="L32" s="31" t="s">
        <v>75</v>
      </c>
      <c r="M32" s="31" t="s">
        <v>75</v>
      </c>
      <c r="N32" s="30">
        <v>10554717</v>
      </c>
      <c r="O32" s="31" t="s">
        <v>75</v>
      </c>
      <c r="P32" s="31" t="s">
        <v>75</v>
      </c>
      <c r="Q32" s="30">
        <v>12440494</v>
      </c>
      <c r="R32" s="31" t="s">
        <v>75</v>
      </c>
      <c r="S32" s="31" t="s">
        <v>75</v>
      </c>
      <c r="T32" s="32">
        <v>103294</v>
      </c>
      <c r="U32" s="31" t="s">
        <v>75</v>
      </c>
      <c r="V32" s="31" t="s">
        <v>75</v>
      </c>
      <c r="W32" s="31" t="s">
        <v>75</v>
      </c>
      <c r="X32" s="31" t="s">
        <v>75</v>
      </c>
      <c r="Y32" s="31" t="s">
        <v>75</v>
      </c>
      <c r="Z32" s="30">
        <v>108386</v>
      </c>
      <c r="AA32" s="31" t="s">
        <v>75</v>
      </c>
      <c r="AB32" s="31" t="s">
        <v>75</v>
      </c>
      <c r="AC32" s="30">
        <v>452531</v>
      </c>
      <c r="AD32" s="31" t="s">
        <v>75</v>
      </c>
      <c r="AE32" s="31" t="s">
        <v>75</v>
      </c>
      <c r="AF32" s="30">
        <v>5281</v>
      </c>
      <c r="AG32" s="42" t="s">
        <v>75</v>
      </c>
      <c r="AH32" s="42" t="s">
        <v>75</v>
      </c>
      <c r="AI32" s="32">
        <v>95521</v>
      </c>
      <c r="AJ32" s="31" t="s">
        <v>75</v>
      </c>
      <c r="AK32" s="31" t="s">
        <v>75</v>
      </c>
      <c r="AL32" s="31" t="s">
        <v>75</v>
      </c>
      <c r="AM32" s="31"/>
      <c r="AN32" s="31"/>
      <c r="AO32" s="31"/>
      <c r="AP32" s="31"/>
      <c r="AQ32" s="31"/>
      <c r="AR32" s="31"/>
      <c r="AS32" s="31" t="s">
        <v>75</v>
      </c>
      <c r="AT32" s="31" t="s">
        <v>75</v>
      </c>
      <c r="AU32" s="31" t="s">
        <v>75</v>
      </c>
      <c r="AV32" s="31" t="s">
        <v>75</v>
      </c>
      <c r="AW32" s="31" t="s">
        <v>75</v>
      </c>
      <c r="AX32" s="31" t="s">
        <v>75</v>
      </c>
      <c r="AY32" s="31" t="s">
        <v>75</v>
      </c>
      <c r="AZ32" s="31" t="s">
        <v>75</v>
      </c>
      <c r="BA32" s="31" t="s">
        <v>75</v>
      </c>
      <c r="BB32" s="31" t="s">
        <v>75</v>
      </c>
      <c r="BC32" s="31" t="s">
        <v>75</v>
      </c>
      <c r="BD32" s="31" t="s">
        <v>75</v>
      </c>
      <c r="BE32" s="113">
        <v>0</v>
      </c>
      <c r="BF32" s="113">
        <v>0</v>
      </c>
      <c r="BG32" s="113">
        <v>0</v>
      </c>
      <c r="BH32" s="113">
        <v>0</v>
      </c>
      <c r="BI32" s="113">
        <v>0</v>
      </c>
      <c r="BJ32" s="113">
        <v>0</v>
      </c>
      <c r="BK32" s="113">
        <v>0</v>
      </c>
      <c r="BL32" s="113">
        <v>0</v>
      </c>
      <c r="BM32" s="113">
        <v>0</v>
      </c>
      <c r="BN32" s="113">
        <v>0</v>
      </c>
      <c r="BO32" s="113">
        <v>0</v>
      </c>
      <c r="BP32" s="113">
        <v>0</v>
      </c>
      <c r="BQ32" s="113">
        <v>0</v>
      </c>
      <c r="BR32" s="113">
        <v>0</v>
      </c>
      <c r="BS32" s="113">
        <v>0</v>
      </c>
      <c r="BT32" s="113">
        <v>0</v>
      </c>
      <c r="BU32" s="113">
        <v>0</v>
      </c>
      <c r="BV32" s="113">
        <v>0</v>
      </c>
      <c r="BW32" s="113"/>
      <c r="BX32" s="113"/>
      <c r="BY32" s="113"/>
      <c r="BZ32" s="113">
        <v>0</v>
      </c>
      <c r="CA32" s="113">
        <v>0</v>
      </c>
      <c r="CB32" s="113">
        <v>0</v>
      </c>
      <c r="CC32" s="113"/>
      <c r="CD32" s="113"/>
      <c r="CE32" s="113"/>
      <c r="CF32" s="113">
        <v>0</v>
      </c>
      <c r="CG32" s="113">
        <v>0</v>
      </c>
      <c r="CH32" s="113">
        <v>0</v>
      </c>
      <c r="CI32" s="113">
        <v>0</v>
      </c>
      <c r="CJ32" s="113">
        <v>0</v>
      </c>
      <c r="CK32" s="113">
        <v>0</v>
      </c>
      <c r="CL32" s="113">
        <v>0</v>
      </c>
      <c r="CM32" s="113">
        <v>0</v>
      </c>
      <c r="CN32" s="113">
        <v>0</v>
      </c>
      <c r="CO32" s="113">
        <v>0</v>
      </c>
      <c r="CP32" s="113">
        <v>0</v>
      </c>
      <c r="CQ32" s="113">
        <v>0</v>
      </c>
      <c r="CR32" s="113">
        <v>0</v>
      </c>
      <c r="CS32" s="113">
        <v>0</v>
      </c>
      <c r="CT32" s="113">
        <v>0</v>
      </c>
      <c r="CU32" s="113">
        <v>0</v>
      </c>
      <c r="CV32" s="113">
        <v>0</v>
      </c>
      <c r="CW32" s="113">
        <v>0</v>
      </c>
      <c r="CX32" s="113">
        <v>0</v>
      </c>
      <c r="CY32" s="113">
        <v>0</v>
      </c>
      <c r="CZ32" s="113">
        <v>0</v>
      </c>
      <c r="DA32" s="113">
        <v>0</v>
      </c>
      <c r="DB32" s="113">
        <v>0</v>
      </c>
      <c r="DC32" s="113">
        <v>0</v>
      </c>
      <c r="DD32" s="113">
        <v>0</v>
      </c>
      <c r="DE32" s="113">
        <v>0</v>
      </c>
      <c r="DF32" s="113">
        <v>0</v>
      </c>
      <c r="DG32" s="113">
        <v>0</v>
      </c>
      <c r="DH32" s="113">
        <v>0</v>
      </c>
      <c r="DI32" s="113">
        <v>0</v>
      </c>
      <c r="DJ32" s="113">
        <v>0</v>
      </c>
      <c r="DK32" s="113">
        <v>0</v>
      </c>
      <c r="DL32" s="113">
        <v>0</v>
      </c>
      <c r="DM32" s="113">
        <v>0</v>
      </c>
      <c r="DN32" s="113">
        <v>0</v>
      </c>
      <c r="DO32" s="113">
        <v>0</v>
      </c>
      <c r="DP32" s="113">
        <v>0</v>
      </c>
      <c r="DQ32" s="113">
        <v>0</v>
      </c>
      <c r="DR32" s="113">
        <v>0</v>
      </c>
      <c r="DS32" s="113">
        <v>0</v>
      </c>
      <c r="DT32" s="113">
        <v>0</v>
      </c>
      <c r="DU32" s="113">
        <v>0</v>
      </c>
      <c r="DV32" s="113">
        <v>0</v>
      </c>
      <c r="DW32" s="113">
        <v>0</v>
      </c>
      <c r="DX32" s="113">
        <v>0</v>
      </c>
      <c r="DY32" s="113">
        <v>0</v>
      </c>
      <c r="DZ32" s="113">
        <v>0</v>
      </c>
      <c r="EA32" s="113">
        <v>0</v>
      </c>
      <c r="EB32" s="113">
        <v>0</v>
      </c>
      <c r="EC32" s="113">
        <v>0</v>
      </c>
      <c r="ED32" s="113">
        <v>0</v>
      </c>
      <c r="EE32" s="113">
        <v>0</v>
      </c>
      <c r="EF32" s="113">
        <v>0</v>
      </c>
      <c r="EG32" s="113">
        <v>0</v>
      </c>
      <c r="EH32" s="113">
        <v>0</v>
      </c>
      <c r="EI32" s="113">
        <v>0</v>
      </c>
      <c r="EJ32" s="113">
        <v>0</v>
      </c>
      <c r="EK32" s="113">
        <v>0</v>
      </c>
      <c r="EL32" s="113">
        <v>0</v>
      </c>
      <c r="EM32" s="113">
        <v>0</v>
      </c>
      <c r="EN32" s="113">
        <v>0</v>
      </c>
      <c r="EO32" s="113">
        <v>0</v>
      </c>
      <c r="EP32" s="113">
        <v>0</v>
      </c>
      <c r="EQ32" s="113">
        <v>0</v>
      </c>
      <c r="ER32" s="113">
        <v>0</v>
      </c>
      <c r="ES32" s="113">
        <v>0</v>
      </c>
      <c r="ET32" s="113">
        <v>0</v>
      </c>
      <c r="EU32" s="113">
        <v>0</v>
      </c>
      <c r="EV32" s="113">
        <v>0</v>
      </c>
      <c r="EW32" s="113">
        <v>0</v>
      </c>
      <c r="EX32" s="113">
        <v>0</v>
      </c>
      <c r="EY32" s="113">
        <v>0</v>
      </c>
      <c r="EZ32" s="113">
        <v>0</v>
      </c>
      <c r="FA32" s="113">
        <v>0</v>
      </c>
      <c r="FB32" s="113">
        <v>0</v>
      </c>
      <c r="FC32" s="113">
        <v>0</v>
      </c>
      <c r="FD32" s="113">
        <v>0</v>
      </c>
      <c r="FE32" s="113">
        <v>0</v>
      </c>
      <c r="FF32" s="113">
        <v>0</v>
      </c>
      <c r="FG32" s="113">
        <v>0</v>
      </c>
      <c r="FH32" s="113">
        <v>0</v>
      </c>
      <c r="FI32" s="113">
        <v>0</v>
      </c>
      <c r="FJ32" s="113">
        <v>0</v>
      </c>
      <c r="FK32" s="113">
        <v>0</v>
      </c>
      <c r="FL32" s="113">
        <v>0</v>
      </c>
      <c r="FM32" s="113">
        <v>0</v>
      </c>
      <c r="FN32" s="113">
        <v>0</v>
      </c>
      <c r="FO32" s="113">
        <v>0</v>
      </c>
      <c r="FP32" s="113">
        <v>0</v>
      </c>
      <c r="FQ32" s="113">
        <v>0</v>
      </c>
      <c r="FR32" s="113">
        <v>0</v>
      </c>
      <c r="FS32" s="113">
        <v>0</v>
      </c>
      <c r="FT32" s="113">
        <v>0</v>
      </c>
      <c r="FU32" s="113">
        <v>0</v>
      </c>
      <c r="FV32" s="113">
        <v>0</v>
      </c>
      <c r="FW32" s="113">
        <v>0</v>
      </c>
      <c r="FX32" s="32">
        <v>0</v>
      </c>
      <c r="FY32" s="30">
        <v>0</v>
      </c>
      <c r="FZ32" s="30">
        <v>0</v>
      </c>
    </row>
    <row r="33" spans="1:182" x14ac:dyDescent="0.2">
      <c r="A33" s="28">
        <v>32568</v>
      </c>
      <c r="B33" s="28"/>
      <c r="C33" s="29">
        <v>184795</v>
      </c>
      <c r="D33" s="29">
        <v>41808</v>
      </c>
      <c r="E33" s="29">
        <f t="shared" si="0"/>
        <v>226603</v>
      </c>
      <c r="F33" s="30">
        <v>6359073</v>
      </c>
      <c r="G33" s="30">
        <v>0</v>
      </c>
      <c r="H33" s="30">
        <f t="shared" si="1"/>
        <v>6359073</v>
      </c>
      <c r="I33" s="42" t="s">
        <v>75</v>
      </c>
      <c r="J33" s="42" t="s">
        <v>75</v>
      </c>
      <c r="K33" s="32">
        <v>2383586</v>
      </c>
      <c r="L33" s="31" t="s">
        <v>75</v>
      </c>
      <c r="M33" s="31" t="s">
        <v>75</v>
      </c>
      <c r="N33" s="30">
        <v>9968060</v>
      </c>
      <c r="O33" s="31" t="s">
        <v>75</v>
      </c>
      <c r="P33" s="31" t="s">
        <v>75</v>
      </c>
      <c r="Q33" s="30">
        <v>12153023</v>
      </c>
      <c r="R33" s="31" t="s">
        <v>75</v>
      </c>
      <c r="S33" s="31" t="s">
        <v>75</v>
      </c>
      <c r="T33" s="32">
        <v>238828</v>
      </c>
      <c r="U33" s="31" t="s">
        <v>75</v>
      </c>
      <c r="V33" s="31" t="s">
        <v>75</v>
      </c>
      <c r="W33" s="31" t="s">
        <v>75</v>
      </c>
      <c r="X33" s="31" t="s">
        <v>75</v>
      </c>
      <c r="Y33" s="31" t="s">
        <v>75</v>
      </c>
      <c r="Z33" s="30">
        <v>100664</v>
      </c>
      <c r="AA33" s="31" t="s">
        <v>75</v>
      </c>
      <c r="AB33" s="31" t="s">
        <v>75</v>
      </c>
      <c r="AC33" s="30">
        <v>345942</v>
      </c>
      <c r="AD33" s="31" t="s">
        <v>75</v>
      </c>
      <c r="AE33" s="31" t="s">
        <v>75</v>
      </c>
      <c r="AF33" s="30">
        <v>14637</v>
      </c>
      <c r="AG33" s="42" t="s">
        <v>75</v>
      </c>
      <c r="AH33" s="42" t="s">
        <v>75</v>
      </c>
      <c r="AI33" s="32">
        <v>78807</v>
      </c>
      <c r="AJ33" s="31" t="s">
        <v>75</v>
      </c>
      <c r="AK33" s="31" t="s">
        <v>75</v>
      </c>
      <c r="AL33" s="31" t="s">
        <v>75</v>
      </c>
      <c r="AM33" s="31"/>
      <c r="AN33" s="31"/>
      <c r="AO33" s="31"/>
      <c r="AP33" s="31"/>
      <c r="AQ33" s="31"/>
      <c r="AR33" s="31"/>
      <c r="AS33" s="31" t="s">
        <v>75</v>
      </c>
      <c r="AT33" s="31" t="s">
        <v>75</v>
      </c>
      <c r="AU33" s="31" t="s">
        <v>75</v>
      </c>
      <c r="AV33" s="31" t="s">
        <v>75</v>
      </c>
      <c r="AW33" s="31" t="s">
        <v>75</v>
      </c>
      <c r="AX33" s="31" t="s">
        <v>75</v>
      </c>
      <c r="AY33" s="31" t="s">
        <v>75</v>
      </c>
      <c r="AZ33" s="31" t="s">
        <v>75</v>
      </c>
      <c r="BA33" s="31" t="s">
        <v>75</v>
      </c>
      <c r="BB33" s="31" t="s">
        <v>75</v>
      </c>
      <c r="BC33" s="31" t="s">
        <v>75</v>
      </c>
      <c r="BD33" s="31" t="s">
        <v>75</v>
      </c>
      <c r="BE33" s="113">
        <v>0</v>
      </c>
      <c r="BF33" s="113">
        <v>0</v>
      </c>
      <c r="BG33" s="113">
        <v>0</v>
      </c>
      <c r="BH33" s="113">
        <v>0</v>
      </c>
      <c r="BI33" s="113">
        <v>0</v>
      </c>
      <c r="BJ33" s="113">
        <v>0</v>
      </c>
      <c r="BK33" s="113">
        <v>0</v>
      </c>
      <c r="BL33" s="113">
        <v>0</v>
      </c>
      <c r="BM33" s="113">
        <v>0</v>
      </c>
      <c r="BN33" s="113">
        <v>0</v>
      </c>
      <c r="BO33" s="113">
        <v>0</v>
      </c>
      <c r="BP33" s="113">
        <v>0</v>
      </c>
      <c r="BQ33" s="113">
        <v>0</v>
      </c>
      <c r="BR33" s="113">
        <v>0</v>
      </c>
      <c r="BS33" s="113">
        <v>0</v>
      </c>
      <c r="BT33" s="113">
        <v>0</v>
      </c>
      <c r="BU33" s="113">
        <v>0</v>
      </c>
      <c r="BV33" s="113">
        <v>0</v>
      </c>
      <c r="BW33" s="113"/>
      <c r="BX33" s="113"/>
      <c r="BY33" s="113"/>
      <c r="BZ33" s="113">
        <v>0</v>
      </c>
      <c r="CA33" s="113">
        <v>0</v>
      </c>
      <c r="CB33" s="113">
        <v>0</v>
      </c>
      <c r="CC33" s="113"/>
      <c r="CD33" s="113"/>
      <c r="CE33" s="113"/>
      <c r="CF33" s="113">
        <v>0</v>
      </c>
      <c r="CG33" s="113">
        <v>0</v>
      </c>
      <c r="CH33" s="113">
        <v>0</v>
      </c>
      <c r="CI33" s="113">
        <v>0</v>
      </c>
      <c r="CJ33" s="113">
        <v>0</v>
      </c>
      <c r="CK33" s="113">
        <v>0</v>
      </c>
      <c r="CL33" s="113">
        <v>0</v>
      </c>
      <c r="CM33" s="113">
        <v>0</v>
      </c>
      <c r="CN33" s="113">
        <v>0</v>
      </c>
      <c r="CO33" s="113">
        <v>0</v>
      </c>
      <c r="CP33" s="113">
        <v>0</v>
      </c>
      <c r="CQ33" s="113">
        <v>0</v>
      </c>
      <c r="CR33" s="113">
        <v>0</v>
      </c>
      <c r="CS33" s="113">
        <v>0</v>
      </c>
      <c r="CT33" s="113">
        <v>0</v>
      </c>
      <c r="CU33" s="113">
        <v>0</v>
      </c>
      <c r="CV33" s="113">
        <v>0</v>
      </c>
      <c r="CW33" s="113">
        <v>0</v>
      </c>
      <c r="CX33" s="113">
        <v>0</v>
      </c>
      <c r="CY33" s="113">
        <v>0</v>
      </c>
      <c r="CZ33" s="113">
        <v>0</v>
      </c>
      <c r="DA33" s="113">
        <v>0</v>
      </c>
      <c r="DB33" s="113">
        <v>0</v>
      </c>
      <c r="DC33" s="113">
        <v>0</v>
      </c>
      <c r="DD33" s="113">
        <v>0</v>
      </c>
      <c r="DE33" s="113">
        <v>0</v>
      </c>
      <c r="DF33" s="113">
        <v>0</v>
      </c>
      <c r="DG33" s="113">
        <v>0</v>
      </c>
      <c r="DH33" s="113">
        <v>0</v>
      </c>
      <c r="DI33" s="113">
        <v>0</v>
      </c>
      <c r="DJ33" s="113">
        <v>0</v>
      </c>
      <c r="DK33" s="113">
        <v>0</v>
      </c>
      <c r="DL33" s="113">
        <v>0</v>
      </c>
      <c r="DM33" s="113">
        <v>0</v>
      </c>
      <c r="DN33" s="113">
        <v>0</v>
      </c>
      <c r="DO33" s="113">
        <v>0</v>
      </c>
      <c r="DP33" s="113">
        <v>0</v>
      </c>
      <c r="DQ33" s="113">
        <v>0</v>
      </c>
      <c r="DR33" s="113">
        <v>0</v>
      </c>
      <c r="DS33" s="113">
        <v>0</v>
      </c>
      <c r="DT33" s="113">
        <v>0</v>
      </c>
      <c r="DU33" s="113">
        <v>0</v>
      </c>
      <c r="DV33" s="113">
        <v>0</v>
      </c>
      <c r="DW33" s="113">
        <v>0</v>
      </c>
      <c r="DX33" s="113">
        <v>0</v>
      </c>
      <c r="DY33" s="113">
        <v>0</v>
      </c>
      <c r="DZ33" s="113">
        <v>0</v>
      </c>
      <c r="EA33" s="113">
        <v>0</v>
      </c>
      <c r="EB33" s="113">
        <v>0</v>
      </c>
      <c r="EC33" s="113">
        <v>0</v>
      </c>
      <c r="ED33" s="113">
        <v>0</v>
      </c>
      <c r="EE33" s="113">
        <v>0</v>
      </c>
      <c r="EF33" s="113">
        <v>0</v>
      </c>
      <c r="EG33" s="113">
        <v>0</v>
      </c>
      <c r="EH33" s="113">
        <v>0</v>
      </c>
      <c r="EI33" s="113">
        <v>0</v>
      </c>
      <c r="EJ33" s="113">
        <v>0</v>
      </c>
      <c r="EK33" s="113">
        <v>0</v>
      </c>
      <c r="EL33" s="113">
        <v>0</v>
      </c>
      <c r="EM33" s="113">
        <v>0</v>
      </c>
      <c r="EN33" s="113">
        <v>0</v>
      </c>
      <c r="EO33" s="113">
        <v>0</v>
      </c>
      <c r="EP33" s="113">
        <v>0</v>
      </c>
      <c r="EQ33" s="113">
        <v>0</v>
      </c>
      <c r="ER33" s="113">
        <v>0</v>
      </c>
      <c r="ES33" s="113">
        <v>0</v>
      </c>
      <c r="ET33" s="113">
        <v>0</v>
      </c>
      <c r="EU33" s="113">
        <v>0</v>
      </c>
      <c r="EV33" s="113">
        <v>0</v>
      </c>
      <c r="EW33" s="113">
        <v>0</v>
      </c>
      <c r="EX33" s="113">
        <v>0</v>
      </c>
      <c r="EY33" s="113">
        <v>0</v>
      </c>
      <c r="EZ33" s="113">
        <v>0</v>
      </c>
      <c r="FA33" s="113">
        <v>0</v>
      </c>
      <c r="FB33" s="113">
        <v>0</v>
      </c>
      <c r="FC33" s="113">
        <v>0</v>
      </c>
      <c r="FD33" s="113">
        <v>0</v>
      </c>
      <c r="FE33" s="113">
        <v>0</v>
      </c>
      <c r="FF33" s="113">
        <v>0</v>
      </c>
      <c r="FG33" s="113">
        <v>0</v>
      </c>
      <c r="FH33" s="113">
        <v>0</v>
      </c>
      <c r="FI33" s="113">
        <v>0</v>
      </c>
      <c r="FJ33" s="113">
        <v>0</v>
      </c>
      <c r="FK33" s="113">
        <v>0</v>
      </c>
      <c r="FL33" s="113">
        <v>0</v>
      </c>
      <c r="FM33" s="113">
        <v>0</v>
      </c>
      <c r="FN33" s="113">
        <v>0</v>
      </c>
      <c r="FO33" s="113">
        <v>0</v>
      </c>
      <c r="FP33" s="113">
        <v>0</v>
      </c>
      <c r="FQ33" s="113">
        <v>0</v>
      </c>
      <c r="FR33" s="113">
        <v>0</v>
      </c>
      <c r="FS33" s="113">
        <v>0</v>
      </c>
      <c r="FT33" s="113">
        <v>0</v>
      </c>
      <c r="FU33" s="113">
        <v>0</v>
      </c>
      <c r="FV33" s="113">
        <v>0</v>
      </c>
      <c r="FW33" s="113">
        <v>0</v>
      </c>
      <c r="FX33" s="32">
        <v>0</v>
      </c>
      <c r="FY33" s="30">
        <v>0</v>
      </c>
      <c r="FZ33" s="30">
        <v>0</v>
      </c>
    </row>
    <row r="34" spans="1:182" x14ac:dyDescent="0.2">
      <c r="A34" s="28">
        <v>32599</v>
      </c>
      <c r="B34" s="28"/>
      <c r="C34" s="29">
        <v>425932</v>
      </c>
      <c r="D34" s="29">
        <v>172330</v>
      </c>
      <c r="E34" s="29">
        <f t="shared" si="0"/>
        <v>598262</v>
      </c>
      <c r="F34" s="30">
        <v>2933869</v>
      </c>
      <c r="G34" s="30">
        <v>0</v>
      </c>
      <c r="H34" s="30">
        <f t="shared" si="1"/>
        <v>2933869</v>
      </c>
      <c r="I34" s="42" t="s">
        <v>75</v>
      </c>
      <c r="J34" s="42" t="s">
        <v>75</v>
      </c>
      <c r="K34" s="32">
        <v>2031180</v>
      </c>
      <c r="L34" s="31" t="s">
        <v>75</v>
      </c>
      <c r="M34" s="31" t="s">
        <v>75</v>
      </c>
      <c r="N34" s="30">
        <v>8509116</v>
      </c>
      <c r="O34" s="31" t="s">
        <v>75</v>
      </c>
      <c r="P34" s="31" t="s">
        <v>75</v>
      </c>
      <c r="Q34" s="30">
        <v>8721919</v>
      </c>
      <c r="R34" s="31" t="s">
        <v>75</v>
      </c>
      <c r="S34" s="31" t="s">
        <v>75</v>
      </c>
      <c r="T34" s="32">
        <v>273435</v>
      </c>
      <c r="U34" s="31" t="s">
        <v>75</v>
      </c>
      <c r="V34" s="31" t="s">
        <v>75</v>
      </c>
      <c r="W34" s="31" t="s">
        <v>75</v>
      </c>
      <c r="X34" s="31" t="s">
        <v>75</v>
      </c>
      <c r="Y34" s="31" t="s">
        <v>75</v>
      </c>
      <c r="Z34" s="30">
        <v>131473</v>
      </c>
      <c r="AA34" s="31" t="s">
        <v>75</v>
      </c>
      <c r="AB34" s="31" t="s">
        <v>75</v>
      </c>
      <c r="AC34" s="30">
        <v>504989</v>
      </c>
      <c r="AD34" s="31" t="s">
        <v>75</v>
      </c>
      <c r="AE34" s="31" t="s">
        <v>75</v>
      </c>
      <c r="AF34" s="30">
        <v>9834</v>
      </c>
      <c r="AG34" s="42" t="s">
        <v>75</v>
      </c>
      <c r="AH34" s="42" t="s">
        <v>75</v>
      </c>
      <c r="AI34" s="32">
        <v>104188</v>
      </c>
      <c r="AJ34" s="31" t="s">
        <v>75</v>
      </c>
      <c r="AK34" s="31" t="s">
        <v>75</v>
      </c>
      <c r="AL34" s="31" t="s">
        <v>75</v>
      </c>
      <c r="AM34" s="31"/>
      <c r="AN34" s="31"/>
      <c r="AO34" s="31"/>
      <c r="AP34" s="31"/>
      <c r="AQ34" s="31"/>
      <c r="AR34" s="31"/>
      <c r="AS34" s="31" t="s">
        <v>75</v>
      </c>
      <c r="AT34" s="31" t="s">
        <v>75</v>
      </c>
      <c r="AU34" s="31" t="s">
        <v>75</v>
      </c>
      <c r="AV34" s="31" t="s">
        <v>75</v>
      </c>
      <c r="AW34" s="31" t="s">
        <v>75</v>
      </c>
      <c r="AX34" s="31" t="s">
        <v>75</v>
      </c>
      <c r="AY34" s="31" t="s">
        <v>75</v>
      </c>
      <c r="AZ34" s="31" t="s">
        <v>75</v>
      </c>
      <c r="BA34" s="31" t="s">
        <v>75</v>
      </c>
      <c r="BB34" s="31" t="s">
        <v>75</v>
      </c>
      <c r="BC34" s="31" t="s">
        <v>75</v>
      </c>
      <c r="BD34" s="31" t="s">
        <v>75</v>
      </c>
      <c r="BE34" s="113">
        <v>0</v>
      </c>
      <c r="BF34" s="113">
        <v>0</v>
      </c>
      <c r="BG34" s="113">
        <v>0</v>
      </c>
      <c r="BH34" s="113">
        <v>0</v>
      </c>
      <c r="BI34" s="113">
        <v>0</v>
      </c>
      <c r="BJ34" s="113">
        <v>0</v>
      </c>
      <c r="BK34" s="113">
        <v>0</v>
      </c>
      <c r="BL34" s="113">
        <v>0</v>
      </c>
      <c r="BM34" s="113">
        <v>0</v>
      </c>
      <c r="BN34" s="113">
        <v>0</v>
      </c>
      <c r="BO34" s="113">
        <v>0</v>
      </c>
      <c r="BP34" s="113">
        <v>0</v>
      </c>
      <c r="BQ34" s="113">
        <v>0</v>
      </c>
      <c r="BR34" s="113">
        <v>0</v>
      </c>
      <c r="BS34" s="113">
        <v>0</v>
      </c>
      <c r="BT34" s="113">
        <v>0</v>
      </c>
      <c r="BU34" s="113">
        <v>0</v>
      </c>
      <c r="BV34" s="113">
        <v>0</v>
      </c>
      <c r="BW34" s="113"/>
      <c r="BX34" s="113"/>
      <c r="BY34" s="113"/>
      <c r="BZ34" s="113">
        <v>0</v>
      </c>
      <c r="CA34" s="113">
        <v>0</v>
      </c>
      <c r="CB34" s="113">
        <v>0</v>
      </c>
      <c r="CC34" s="113"/>
      <c r="CD34" s="113"/>
      <c r="CE34" s="113"/>
      <c r="CF34" s="113">
        <v>0</v>
      </c>
      <c r="CG34" s="113">
        <v>0</v>
      </c>
      <c r="CH34" s="113">
        <v>0</v>
      </c>
      <c r="CI34" s="113">
        <v>0</v>
      </c>
      <c r="CJ34" s="113">
        <v>0</v>
      </c>
      <c r="CK34" s="113">
        <v>0</v>
      </c>
      <c r="CL34" s="113">
        <v>0</v>
      </c>
      <c r="CM34" s="113">
        <v>0</v>
      </c>
      <c r="CN34" s="113">
        <v>0</v>
      </c>
      <c r="CO34" s="113">
        <v>0</v>
      </c>
      <c r="CP34" s="113">
        <v>0</v>
      </c>
      <c r="CQ34" s="113">
        <v>0</v>
      </c>
      <c r="CR34" s="113">
        <v>0</v>
      </c>
      <c r="CS34" s="113">
        <v>0</v>
      </c>
      <c r="CT34" s="113">
        <v>0</v>
      </c>
      <c r="CU34" s="113">
        <v>0</v>
      </c>
      <c r="CV34" s="113">
        <v>0</v>
      </c>
      <c r="CW34" s="113">
        <v>0</v>
      </c>
      <c r="CX34" s="113">
        <v>0</v>
      </c>
      <c r="CY34" s="113">
        <v>0</v>
      </c>
      <c r="CZ34" s="113">
        <v>0</v>
      </c>
      <c r="DA34" s="113">
        <v>0</v>
      </c>
      <c r="DB34" s="113">
        <v>0</v>
      </c>
      <c r="DC34" s="113">
        <v>0</v>
      </c>
      <c r="DD34" s="113">
        <v>0</v>
      </c>
      <c r="DE34" s="113">
        <v>0</v>
      </c>
      <c r="DF34" s="113">
        <v>0</v>
      </c>
      <c r="DG34" s="113">
        <v>0</v>
      </c>
      <c r="DH34" s="113">
        <v>0</v>
      </c>
      <c r="DI34" s="113">
        <v>0</v>
      </c>
      <c r="DJ34" s="113">
        <v>0</v>
      </c>
      <c r="DK34" s="113">
        <v>0</v>
      </c>
      <c r="DL34" s="113">
        <v>0</v>
      </c>
      <c r="DM34" s="113">
        <v>0</v>
      </c>
      <c r="DN34" s="113">
        <v>0</v>
      </c>
      <c r="DO34" s="113">
        <v>0</v>
      </c>
      <c r="DP34" s="113">
        <v>0</v>
      </c>
      <c r="DQ34" s="113">
        <v>0</v>
      </c>
      <c r="DR34" s="113">
        <v>0</v>
      </c>
      <c r="DS34" s="113">
        <v>0</v>
      </c>
      <c r="DT34" s="113">
        <v>0</v>
      </c>
      <c r="DU34" s="113">
        <v>0</v>
      </c>
      <c r="DV34" s="113">
        <v>0</v>
      </c>
      <c r="DW34" s="113">
        <v>0</v>
      </c>
      <c r="DX34" s="113">
        <v>0</v>
      </c>
      <c r="DY34" s="113">
        <v>0</v>
      </c>
      <c r="DZ34" s="113">
        <v>0</v>
      </c>
      <c r="EA34" s="113">
        <v>0</v>
      </c>
      <c r="EB34" s="113">
        <v>0</v>
      </c>
      <c r="EC34" s="113">
        <v>0</v>
      </c>
      <c r="ED34" s="113">
        <v>0</v>
      </c>
      <c r="EE34" s="113">
        <v>0</v>
      </c>
      <c r="EF34" s="113">
        <v>0</v>
      </c>
      <c r="EG34" s="113">
        <v>0</v>
      </c>
      <c r="EH34" s="113">
        <v>0</v>
      </c>
      <c r="EI34" s="113">
        <v>0</v>
      </c>
      <c r="EJ34" s="113">
        <v>0</v>
      </c>
      <c r="EK34" s="113">
        <v>0</v>
      </c>
      <c r="EL34" s="113">
        <v>0</v>
      </c>
      <c r="EM34" s="113">
        <v>0</v>
      </c>
      <c r="EN34" s="113">
        <v>0</v>
      </c>
      <c r="EO34" s="113">
        <v>0</v>
      </c>
      <c r="EP34" s="113">
        <v>0</v>
      </c>
      <c r="EQ34" s="113">
        <v>0</v>
      </c>
      <c r="ER34" s="113">
        <v>0</v>
      </c>
      <c r="ES34" s="113">
        <v>0</v>
      </c>
      <c r="ET34" s="113">
        <v>0</v>
      </c>
      <c r="EU34" s="113">
        <v>0</v>
      </c>
      <c r="EV34" s="113">
        <v>0</v>
      </c>
      <c r="EW34" s="113">
        <v>0</v>
      </c>
      <c r="EX34" s="113">
        <v>0</v>
      </c>
      <c r="EY34" s="113">
        <v>0</v>
      </c>
      <c r="EZ34" s="113">
        <v>0</v>
      </c>
      <c r="FA34" s="113">
        <v>0</v>
      </c>
      <c r="FB34" s="113">
        <v>0</v>
      </c>
      <c r="FC34" s="113">
        <v>0</v>
      </c>
      <c r="FD34" s="113">
        <v>0</v>
      </c>
      <c r="FE34" s="113">
        <v>0</v>
      </c>
      <c r="FF34" s="113">
        <v>0</v>
      </c>
      <c r="FG34" s="113">
        <v>0</v>
      </c>
      <c r="FH34" s="113">
        <v>0</v>
      </c>
      <c r="FI34" s="113">
        <v>0</v>
      </c>
      <c r="FJ34" s="113">
        <v>0</v>
      </c>
      <c r="FK34" s="113">
        <v>0</v>
      </c>
      <c r="FL34" s="113">
        <v>0</v>
      </c>
      <c r="FM34" s="113">
        <v>0</v>
      </c>
      <c r="FN34" s="113">
        <v>0</v>
      </c>
      <c r="FO34" s="113">
        <v>0</v>
      </c>
      <c r="FP34" s="113">
        <v>0</v>
      </c>
      <c r="FQ34" s="113">
        <v>0</v>
      </c>
      <c r="FR34" s="113">
        <v>0</v>
      </c>
      <c r="FS34" s="113">
        <v>0</v>
      </c>
      <c r="FT34" s="113">
        <v>0</v>
      </c>
      <c r="FU34" s="113">
        <v>0</v>
      </c>
      <c r="FV34" s="113">
        <v>0</v>
      </c>
      <c r="FW34" s="113">
        <v>0</v>
      </c>
      <c r="FX34" s="32">
        <v>0</v>
      </c>
      <c r="FY34" s="30">
        <v>0</v>
      </c>
      <c r="FZ34" s="30">
        <v>0</v>
      </c>
    </row>
    <row r="35" spans="1:182" x14ac:dyDescent="0.2">
      <c r="A35" s="28">
        <v>32629</v>
      </c>
      <c r="B35" s="28"/>
      <c r="C35" s="29">
        <v>281290</v>
      </c>
      <c r="D35" s="29">
        <v>39824</v>
      </c>
      <c r="E35" s="29">
        <f t="shared" si="0"/>
        <v>321114</v>
      </c>
      <c r="F35" s="30">
        <v>2661739</v>
      </c>
      <c r="G35" s="30">
        <v>0</v>
      </c>
      <c r="H35" s="30">
        <f t="shared" si="1"/>
        <v>2661739</v>
      </c>
      <c r="I35" s="42" t="s">
        <v>75</v>
      </c>
      <c r="J35" s="42" t="s">
        <v>75</v>
      </c>
      <c r="K35" s="32">
        <v>1780496</v>
      </c>
      <c r="L35" s="31" t="s">
        <v>75</v>
      </c>
      <c r="M35" s="31" t="s">
        <v>75</v>
      </c>
      <c r="N35" s="30">
        <v>8457566</v>
      </c>
      <c r="O35" s="31" t="s">
        <v>75</v>
      </c>
      <c r="P35" s="31" t="s">
        <v>75</v>
      </c>
      <c r="Q35" s="30">
        <v>8254901</v>
      </c>
      <c r="R35" s="31" t="s">
        <v>75</v>
      </c>
      <c r="S35" s="31" t="s">
        <v>75</v>
      </c>
      <c r="T35" s="32">
        <v>226005</v>
      </c>
      <c r="U35" s="31" t="s">
        <v>75</v>
      </c>
      <c r="V35" s="31" t="s">
        <v>75</v>
      </c>
      <c r="W35" s="31" t="s">
        <v>75</v>
      </c>
      <c r="X35" s="31" t="s">
        <v>75</v>
      </c>
      <c r="Y35" s="31" t="s">
        <v>75</v>
      </c>
      <c r="Z35" s="30">
        <v>100069</v>
      </c>
      <c r="AA35" s="31" t="s">
        <v>75</v>
      </c>
      <c r="AB35" s="31" t="s">
        <v>75</v>
      </c>
      <c r="AC35" s="30">
        <v>416385</v>
      </c>
      <c r="AD35" s="31" t="s">
        <v>75</v>
      </c>
      <c r="AE35" s="31" t="s">
        <v>75</v>
      </c>
      <c r="AF35" s="30">
        <v>9029</v>
      </c>
      <c r="AG35" s="42" t="s">
        <v>75</v>
      </c>
      <c r="AH35" s="42" t="s">
        <v>75</v>
      </c>
      <c r="AI35" s="32">
        <v>102519</v>
      </c>
      <c r="AJ35" s="31" t="s">
        <v>75</v>
      </c>
      <c r="AK35" s="31" t="s">
        <v>75</v>
      </c>
      <c r="AL35" s="31" t="s">
        <v>75</v>
      </c>
      <c r="AM35" s="31"/>
      <c r="AN35" s="31"/>
      <c r="AO35" s="31"/>
      <c r="AP35" s="31"/>
      <c r="AQ35" s="31"/>
      <c r="AR35" s="31"/>
      <c r="AS35" s="31" t="s">
        <v>75</v>
      </c>
      <c r="AT35" s="31" t="s">
        <v>75</v>
      </c>
      <c r="AU35" s="31" t="s">
        <v>75</v>
      </c>
      <c r="AV35" s="31" t="s">
        <v>75</v>
      </c>
      <c r="AW35" s="31" t="s">
        <v>75</v>
      </c>
      <c r="AX35" s="31" t="s">
        <v>75</v>
      </c>
      <c r="AY35" s="31" t="s">
        <v>75</v>
      </c>
      <c r="AZ35" s="31" t="s">
        <v>75</v>
      </c>
      <c r="BA35" s="31" t="s">
        <v>75</v>
      </c>
      <c r="BB35" s="31" t="s">
        <v>75</v>
      </c>
      <c r="BC35" s="31" t="s">
        <v>75</v>
      </c>
      <c r="BD35" s="31" t="s">
        <v>75</v>
      </c>
      <c r="BE35" s="113">
        <v>0</v>
      </c>
      <c r="BF35" s="113">
        <v>0</v>
      </c>
      <c r="BG35" s="113">
        <v>0</v>
      </c>
      <c r="BH35" s="113">
        <v>0</v>
      </c>
      <c r="BI35" s="113">
        <v>0</v>
      </c>
      <c r="BJ35" s="113">
        <v>0</v>
      </c>
      <c r="BK35" s="113">
        <v>0</v>
      </c>
      <c r="BL35" s="113">
        <v>0</v>
      </c>
      <c r="BM35" s="113">
        <v>0</v>
      </c>
      <c r="BN35" s="113">
        <v>0</v>
      </c>
      <c r="BO35" s="113">
        <v>0</v>
      </c>
      <c r="BP35" s="113">
        <v>0</v>
      </c>
      <c r="BQ35" s="113">
        <v>0</v>
      </c>
      <c r="BR35" s="113">
        <v>0</v>
      </c>
      <c r="BS35" s="113">
        <v>0</v>
      </c>
      <c r="BT35" s="113">
        <v>0</v>
      </c>
      <c r="BU35" s="113">
        <v>0</v>
      </c>
      <c r="BV35" s="113">
        <v>0</v>
      </c>
      <c r="BW35" s="113"/>
      <c r="BX35" s="113"/>
      <c r="BY35" s="113"/>
      <c r="BZ35" s="113">
        <v>0</v>
      </c>
      <c r="CA35" s="113">
        <v>0</v>
      </c>
      <c r="CB35" s="113">
        <v>0</v>
      </c>
      <c r="CC35" s="113"/>
      <c r="CD35" s="113"/>
      <c r="CE35" s="113"/>
      <c r="CF35" s="113">
        <v>0</v>
      </c>
      <c r="CG35" s="113">
        <v>0</v>
      </c>
      <c r="CH35" s="113">
        <v>0</v>
      </c>
      <c r="CI35" s="113">
        <v>0</v>
      </c>
      <c r="CJ35" s="113">
        <v>0</v>
      </c>
      <c r="CK35" s="113">
        <v>0</v>
      </c>
      <c r="CL35" s="113">
        <v>0</v>
      </c>
      <c r="CM35" s="113">
        <v>0</v>
      </c>
      <c r="CN35" s="113">
        <v>0</v>
      </c>
      <c r="CO35" s="113">
        <v>0</v>
      </c>
      <c r="CP35" s="113">
        <v>0</v>
      </c>
      <c r="CQ35" s="113">
        <v>0</v>
      </c>
      <c r="CR35" s="113">
        <v>0</v>
      </c>
      <c r="CS35" s="113">
        <v>0</v>
      </c>
      <c r="CT35" s="113">
        <v>0</v>
      </c>
      <c r="CU35" s="113">
        <v>0</v>
      </c>
      <c r="CV35" s="113">
        <v>0</v>
      </c>
      <c r="CW35" s="113">
        <v>0</v>
      </c>
      <c r="CX35" s="113">
        <v>0</v>
      </c>
      <c r="CY35" s="113">
        <v>0</v>
      </c>
      <c r="CZ35" s="113">
        <v>0</v>
      </c>
      <c r="DA35" s="113">
        <v>0</v>
      </c>
      <c r="DB35" s="113">
        <v>0</v>
      </c>
      <c r="DC35" s="113">
        <v>0</v>
      </c>
      <c r="DD35" s="113">
        <v>0</v>
      </c>
      <c r="DE35" s="113">
        <v>0</v>
      </c>
      <c r="DF35" s="113">
        <v>0</v>
      </c>
      <c r="DG35" s="113">
        <v>0</v>
      </c>
      <c r="DH35" s="113">
        <v>0</v>
      </c>
      <c r="DI35" s="113">
        <v>0</v>
      </c>
      <c r="DJ35" s="113">
        <v>0</v>
      </c>
      <c r="DK35" s="113">
        <v>0</v>
      </c>
      <c r="DL35" s="113">
        <v>0</v>
      </c>
      <c r="DM35" s="113">
        <v>0</v>
      </c>
      <c r="DN35" s="113">
        <v>0</v>
      </c>
      <c r="DO35" s="113">
        <v>0</v>
      </c>
      <c r="DP35" s="113">
        <v>0</v>
      </c>
      <c r="DQ35" s="113">
        <v>0</v>
      </c>
      <c r="DR35" s="113">
        <v>0</v>
      </c>
      <c r="DS35" s="113">
        <v>0</v>
      </c>
      <c r="DT35" s="113">
        <v>0</v>
      </c>
      <c r="DU35" s="113">
        <v>0</v>
      </c>
      <c r="DV35" s="113">
        <v>0</v>
      </c>
      <c r="DW35" s="113">
        <v>0</v>
      </c>
      <c r="DX35" s="113">
        <v>0</v>
      </c>
      <c r="DY35" s="113">
        <v>0</v>
      </c>
      <c r="DZ35" s="113">
        <v>0</v>
      </c>
      <c r="EA35" s="113">
        <v>0</v>
      </c>
      <c r="EB35" s="113">
        <v>0</v>
      </c>
      <c r="EC35" s="113">
        <v>0</v>
      </c>
      <c r="ED35" s="113">
        <v>0</v>
      </c>
      <c r="EE35" s="113">
        <v>0</v>
      </c>
      <c r="EF35" s="113">
        <v>0</v>
      </c>
      <c r="EG35" s="113">
        <v>0</v>
      </c>
      <c r="EH35" s="113">
        <v>0</v>
      </c>
      <c r="EI35" s="113">
        <v>0</v>
      </c>
      <c r="EJ35" s="113">
        <v>0</v>
      </c>
      <c r="EK35" s="113">
        <v>0</v>
      </c>
      <c r="EL35" s="113">
        <v>0</v>
      </c>
      <c r="EM35" s="113">
        <v>0</v>
      </c>
      <c r="EN35" s="113">
        <v>0</v>
      </c>
      <c r="EO35" s="113">
        <v>0</v>
      </c>
      <c r="EP35" s="113">
        <v>0</v>
      </c>
      <c r="EQ35" s="113">
        <v>0</v>
      </c>
      <c r="ER35" s="113">
        <v>0</v>
      </c>
      <c r="ES35" s="113">
        <v>0</v>
      </c>
      <c r="ET35" s="113">
        <v>0</v>
      </c>
      <c r="EU35" s="113">
        <v>0</v>
      </c>
      <c r="EV35" s="113">
        <v>0</v>
      </c>
      <c r="EW35" s="113">
        <v>0</v>
      </c>
      <c r="EX35" s="113">
        <v>0</v>
      </c>
      <c r="EY35" s="113">
        <v>0</v>
      </c>
      <c r="EZ35" s="113">
        <v>0</v>
      </c>
      <c r="FA35" s="113">
        <v>0</v>
      </c>
      <c r="FB35" s="113">
        <v>0</v>
      </c>
      <c r="FC35" s="113">
        <v>0</v>
      </c>
      <c r="FD35" s="113">
        <v>0</v>
      </c>
      <c r="FE35" s="113">
        <v>0</v>
      </c>
      <c r="FF35" s="113">
        <v>0</v>
      </c>
      <c r="FG35" s="113">
        <v>0</v>
      </c>
      <c r="FH35" s="113">
        <v>0</v>
      </c>
      <c r="FI35" s="113">
        <v>0</v>
      </c>
      <c r="FJ35" s="113">
        <v>0</v>
      </c>
      <c r="FK35" s="113">
        <v>0</v>
      </c>
      <c r="FL35" s="113">
        <v>0</v>
      </c>
      <c r="FM35" s="113">
        <v>0</v>
      </c>
      <c r="FN35" s="113">
        <v>0</v>
      </c>
      <c r="FO35" s="113">
        <v>0</v>
      </c>
      <c r="FP35" s="113">
        <v>0</v>
      </c>
      <c r="FQ35" s="113">
        <v>0</v>
      </c>
      <c r="FR35" s="113">
        <v>0</v>
      </c>
      <c r="FS35" s="113">
        <v>0</v>
      </c>
      <c r="FT35" s="113">
        <v>0</v>
      </c>
      <c r="FU35" s="113">
        <v>0</v>
      </c>
      <c r="FV35" s="113">
        <v>0</v>
      </c>
      <c r="FW35" s="113">
        <v>0</v>
      </c>
      <c r="FX35" s="32">
        <v>0</v>
      </c>
      <c r="FY35" s="30">
        <v>0</v>
      </c>
      <c r="FZ35" s="30">
        <v>0</v>
      </c>
    </row>
    <row r="36" spans="1:182" x14ac:dyDescent="0.2">
      <c r="A36" s="28">
        <v>32660</v>
      </c>
      <c r="B36" s="28"/>
      <c r="C36" s="29">
        <v>470619</v>
      </c>
      <c r="D36" s="29">
        <v>100407</v>
      </c>
      <c r="E36" s="29">
        <f t="shared" si="0"/>
        <v>571026</v>
      </c>
      <c r="F36" s="30">
        <v>1597930</v>
      </c>
      <c r="G36" s="30">
        <v>0</v>
      </c>
      <c r="H36" s="30">
        <f t="shared" si="1"/>
        <v>1597930</v>
      </c>
      <c r="I36" s="42" t="s">
        <v>75</v>
      </c>
      <c r="J36" s="42" t="s">
        <v>75</v>
      </c>
      <c r="K36" s="32">
        <v>1561220</v>
      </c>
      <c r="L36" s="31" t="s">
        <v>75</v>
      </c>
      <c r="M36" s="31" t="s">
        <v>75</v>
      </c>
      <c r="N36" s="30">
        <v>7897975</v>
      </c>
      <c r="O36" s="31" t="s">
        <v>75</v>
      </c>
      <c r="P36" s="31" t="s">
        <v>75</v>
      </c>
      <c r="Q36" s="30">
        <v>7304603</v>
      </c>
      <c r="R36" s="31" t="s">
        <v>75</v>
      </c>
      <c r="S36" s="31" t="s">
        <v>75</v>
      </c>
      <c r="T36" s="32">
        <v>224866</v>
      </c>
      <c r="U36" s="31" t="s">
        <v>75</v>
      </c>
      <c r="V36" s="31" t="s">
        <v>75</v>
      </c>
      <c r="W36" s="31" t="s">
        <v>75</v>
      </c>
      <c r="X36" s="31" t="s">
        <v>75</v>
      </c>
      <c r="Y36" s="31" t="s">
        <v>75</v>
      </c>
      <c r="Z36" s="30">
        <v>165600</v>
      </c>
      <c r="AA36" s="31" t="s">
        <v>75</v>
      </c>
      <c r="AB36" s="31" t="s">
        <v>75</v>
      </c>
      <c r="AC36" s="30">
        <v>643284</v>
      </c>
      <c r="AD36" s="31" t="s">
        <v>75</v>
      </c>
      <c r="AE36" s="31" t="s">
        <v>75</v>
      </c>
      <c r="AF36" s="30">
        <v>11232</v>
      </c>
      <c r="AG36" s="42" t="s">
        <v>75</v>
      </c>
      <c r="AH36" s="42" t="s">
        <v>75</v>
      </c>
      <c r="AI36" s="32">
        <v>128401</v>
      </c>
      <c r="AJ36" s="31" t="s">
        <v>75</v>
      </c>
      <c r="AK36" s="31" t="s">
        <v>75</v>
      </c>
      <c r="AL36" s="31" t="s">
        <v>75</v>
      </c>
      <c r="AM36" s="31"/>
      <c r="AN36" s="31"/>
      <c r="AO36" s="31"/>
      <c r="AP36" s="31"/>
      <c r="AQ36" s="31"/>
      <c r="AR36" s="31"/>
      <c r="AS36" s="31" t="s">
        <v>75</v>
      </c>
      <c r="AT36" s="31" t="s">
        <v>75</v>
      </c>
      <c r="AU36" s="31" t="s">
        <v>75</v>
      </c>
      <c r="AV36" s="31" t="s">
        <v>75</v>
      </c>
      <c r="AW36" s="31" t="s">
        <v>75</v>
      </c>
      <c r="AX36" s="31" t="s">
        <v>75</v>
      </c>
      <c r="AY36" s="31" t="s">
        <v>75</v>
      </c>
      <c r="AZ36" s="31" t="s">
        <v>75</v>
      </c>
      <c r="BA36" s="31" t="s">
        <v>75</v>
      </c>
      <c r="BB36" s="31" t="s">
        <v>75</v>
      </c>
      <c r="BC36" s="31" t="s">
        <v>75</v>
      </c>
      <c r="BD36" s="31" t="s">
        <v>75</v>
      </c>
      <c r="BE36" s="113">
        <v>0</v>
      </c>
      <c r="BF36" s="113">
        <v>0</v>
      </c>
      <c r="BG36" s="113">
        <v>0</v>
      </c>
      <c r="BH36" s="113">
        <v>0</v>
      </c>
      <c r="BI36" s="113">
        <v>0</v>
      </c>
      <c r="BJ36" s="113">
        <v>0</v>
      </c>
      <c r="BK36" s="113">
        <v>0</v>
      </c>
      <c r="BL36" s="113">
        <v>0</v>
      </c>
      <c r="BM36" s="113">
        <v>0</v>
      </c>
      <c r="BN36" s="113">
        <v>0</v>
      </c>
      <c r="BO36" s="113">
        <v>0</v>
      </c>
      <c r="BP36" s="113">
        <v>0</v>
      </c>
      <c r="BQ36" s="113">
        <v>0</v>
      </c>
      <c r="BR36" s="113">
        <v>0</v>
      </c>
      <c r="BS36" s="113">
        <v>0</v>
      </c>
      <c r="BT36" s="113">
        <v>0</v>
      </c>
      <c r="BU36" s="113">
        <v>0</v>
      </c>
      <c r="BV36" s="113">
        <v>0</v>
      </c>
      <c r="BW36" s="113"/>
      <c r="BX36" s="113"/>
      <c r="BY36" s="113"/>
      <c r="BZ36" s="113">
        <v>0</v>
      </c>
      <c r="CA36" s="113">
        <v>0</v>
      </c>
      <c r="CB36" s="113">
        <v>0</v>
      </c>
      <c r="CC36" s="113"/>
      <c r="CD36" s="113"/>
      <c r="CE36" s="113"/>
      <c r="CF36" s="113">
        <v>0</v>
      </c>
      <c r="CG36" s="113">
        <v>0</v>
      </c>
      <c r="CH36" s="113">
        <v>0</v>
      </c>
      <c r="CI36" s="113">
        <v>0</v>
      </c>
      <c r="CJ36" s="113">
        <v>0</v>
      </c>
      <c r="CK36" s="113">
        <v>0</v>
      </c>
      <c r="CL36" s="113">
        <v>0</v>
      </c>
      <c r="CM36" s="113">
        <v>0</v>
      </c>
      <c r="CN36" s="113">
        <v>0</v>
      </c>
      <c r="CO36" s="113">
        <v>0</v>
      </c>
      <c r="CP36" s="113">
        <v>0</v>
      </c>
      <c r="CQ36" s="113">
        <v>0</v>
      </c>
      <c r="CR36" s="113">
        <v>0</v>
      </c>
      <c r="CS36" s="113">
        <v>0</v>
      </c>
      <c r="CT36" s="113">
        <v>0</v>
      </c>
      <c r="CU36" s="113">
        <v>0</v>
      </c>
      <c r="CV36" s="113">
        <v>0</v>
      </c>
      <c r="CW36" s="113">
        <v>0</v>
      </c>
      <c r="CX36" s="113">
        <v>0</v>
      </c>
      <c r="CY36" s="113">
        <v>0</v>
      </c>
      <c r="CZ36" s="113">
        <v>0</v>
      </c>
      <c r="DA36" s="113">
        <v>0</v>
      </c>
      <c r="DB36" s="113">
        <v>0</v>
      </c>
      <c r="DC36" s="113">
        <v>0</v>
      </c>
      <c r="DD36" s="113">
        <v>0</v>
      </c>
      <c r="DE36" s="113">
        <v>0</v>
      </c>
      <c r="DF36" s="113">
        <v>0</v>
      </c>
      <c r="DG36" s="113">
        <v>0</v>
      </c>
      <c r="DH36" s="113">
        <v>0</v>
      </c>
      <c r="DI36" s="113">
        <v>0</v>
      </c>
      <c r="DJ36" s="113">
        <v>0</v>
      </c>
      <c r="DK36" s="113">
        <v>0</v>
      </c>
      <c r="DL36" s="113">
        <v>0</v>
      </c>
      <c r="DM36" s="113">
        <v>0</v>
      </c>
      <c r="DN36" s="113">
        <v>0</v>
      </c>
      <c r="DO36" s="113">
        <v>0</v>
      </c>
      <c r="DP36" s="113">
        <v>0</v>
      </c>
      <c r="DQ36" s="113">
        <v>0</v>
      </c>
      <c r="DR36" s="113">
        <v>0</v>
      </c>
      <c r="DS36" s="113">
        <v>0</v>
      </c>
      <c r="DT36" s="113">
        <v>0</v>
      </c>
      <c r="DU36" s="113">
        <v>0</v>
      </c>
      <c r="DV36" s="113">
        <v>0</v>
      </c>
      <c r="DW36" s="113">
        <v>0</v>
      </c>
      <c r="DX36" s="113">
        <v>0</v>
      </c>
      <c r="DY36" s="113">
        <v>0</v>
      </c>
      <c r="DZ36" s="113">
        <v>0</v>
      </c>
      <c r="EA36" s="113">
        <v>0</v>
      </c>
      <c r="EB36" s="113">
        <v>0</v>
      </c>
      <c r="EC36" s="113">
        <v>0</v>
      </c>
      <c r="ED36" s="113">
        <v>0</v>
      </c>
      <c r="EE36" s="113">
        <v>0</v>
      </c>
      <c r="EF36" s="113">
        <v>0</v>
      </c>
      <c r="EG36" s="113">
        <v>0</v>
      </c>
      <c r="EH36" s="113">
        <v>0</v>
      </c>
      <c r="EI36" s="113">
        <v>0</v>
      </c>
      <c r="EJ36" s="113">
        <v>0</v>
      </c>
      <c r="EK36" s="113">
        <v>0</v>
      </c>
      <c r="EL36" s="113">
        <v>0</v>
      </c>
      <c r="EM36" s="113">
        <v>0</v>
      </c>
      <c r="EN36" s="113">
        <v>0</v>
      </c>
      <c r="EO36" s="113">
        <v>0</v>
      </c>
      <c r="EP36" s="113">
        <v>0</v>
      </c>
      <c r="EQ36" s="113">
        <v>0</v>
      </c>
      <c r="ER36" s="113">
        <v>0</v>
      </c>
      <c r="ES36" s="113">
        <v>0</v>
      </c>
      <c r="ET36" s="113">
        <v>0</v>
      </c>
      <c r="EU36" s="113">
        <v>0</v>
      </c>
      <c r="EV36" s="113">
        <v>0</v>
      </c>
      <c r="EW36" s="113">
        <v>0</v>
      </c>
      <c r="EX36" s="113">
        <v>0</v>
      </c>
      <c r="EY36" s="113">
        <v>0</v>
      </c>
      <c r="EZ36" s="113">
        <v>0</v>
      </c>
      <c r="FA36" s="113">
        <v>0</v>
      </c>
      <c r="FB36" s="113">
        <v>0</v>
      </c>
      <c r="FC36" s="113">
        <v>0</v>
      </c>
      <c r="FD36" s="113">
        <v>0</v>
      </c>
      <c r="FE36" s="113">
        <v>0</v>
      </c>
      <c r="FF36" s="113">
        <v>0</v>
      </c>
      <c r="FG36" s="113">
        <v>0</v>
      </c>
      <c r="FH36" s="113">
        <v>0</v>
      </c>
      <c r="FI36" s="113">
        <v>0</v>
      </c>
      <c r="FJ36" s="113">
        <v>0</v>
      </c>
      <c r="FK36" s="113">
        <v>0</v>
      </c>
      <c r="FL36" s="113">
        <v>0</v>
      </c>
      <c r="FM36" s="113">
        <v>0</v>
      </c>
      <c r="FN36" s="113">
        <v>0</v>
      </c>
      <c r="FO36" s="113">
        <v>0</v>
      </c>
      <c r="FP36" s="113">
        <v>0</v>
      </c>
      <c r="FQ36" s="113">
        <v>0</v>
      </c>
      <c r="FR36" s="113">
        <v>0</v>
      </c>
      <c r="FS36" s="113">
        <v>0</v>
      </c>
      <c r="FT36" s="113">
        <v>0</v>
      </c>
      <c r="FU36" s="113">
        <v>0</v>
      </c>
      <c r="FV36" s="113">
        <v>0</v>
      </c>
      <c r="FW36" s="113">
        <v>0</v>
      </c>
      <c r="FX36" s="32">
        <v>0</v>
      </c>
      <c r="FY36" s="30">
        <v>0</v>
      </c>
      <c r="FZ36" s="30">
        <v>0</v>
      </c>
    </row>
    <row r="37" spans="1:182" x14ac:dyDescent="0.2">
      <c r="A37" s="28">
        <v>32690</v>
      </c>
      <c r="B37" s="28"/>
      <c r="C37" s="29">
        <v>169068</v>
      </c>
      <c r="D37" s="29">
        <v>67082</v>
      </c>
      <c r="E37" s="29">
        <f t="shared" si="0"/>
        <v>236150</v>
      </c>
      <c r="F37" s="30">
        <v>2156017</v>
      </c>
      <c r="G37" s="30">
        <v>0</v>
      </c>
      <c r="H37" s="30">
        <f t="shared" si="1"/>
        <v>2156017</v>
      </c>
      <c r="I37" s="42" t="s">
        <v>75</v>
      </c>
      <c r="J37" s="42" t="s">
        <v>75</v>
      </c>
      <c r="K37" s="32">
        <v>1501914</v>
      </c>
      <c r="L37" s="31" t="s">
        <v>75</v>
      </c>
      <c r="M37" s="31" t="s">
        <v>75</v>
      </c>
      <c r="N37" s="30">
        <v>7265275</v>
      </c>
      <c r="O37" s="31" t="s">
        <v>75</v>
      </c>
      <c r="P37" s="31" t="s">
        <v>75</v>
      </c>
      <c r="Q37" s="30">
        <v>6761606</v>
      </c>
      <c r="R37" s="31" t="s">
        <v>75</v>
      </c>
      <c r="S37" s="31" t="s">
        <v>75</v>
      </c>
      <c r="T37" s="32">
        <v>206744</v>
      </c>
      <c r="U37" s="31" t="s">
        <v>75</v>
      </c>
      <c r="V37" s="31" t="s">
        <v>75</v>
      </c>
      <c r="W37" s="31" t="s">
        <v>75</v>
      </c>
      <c r="X37" s="31" t="s">
        <v>75</v>
      </c>
      <c r="Y37" s="31" t="s">
        <v>75</v>
      </c>
      <c r="Z37" s="30">
        <v>128085</v>
      </c>
      <c r="AA37" s="31" t="s">
        <v>75</v>
      </c>
      <c r="AB37" s="31" t="s">
        <v>75</v>
      </c>
      <c r="AC37" s="30">
        <v>451707</v>
      </c>
      <c r="AD37" s="31" t="s">
        <v>75</v>
      </c>
      <c r="AE37" s="31" t="s">
        <v>75</v>
      </c>
      <c r="AF37" s="30">
        <v>12356</v>
      </c>
      <c r="AG37" s="42" t="s">
        <v>75</v>
      </c>
      <c r="AH37" s="42" t="s">
        <v>75</v>
      </c>
      <c r="AI37" s="32">
        <v>83474</v>
      </c>
      <c r="AJ37" s="31" t="s">
        <v>75</v>
      </c>
      <c r="AK37" s="31" t="s">
        <v>75</v>
      </c>
      <c r="AL37" s="31" t="s">
        <v>75</v>
      </c>
      <c r="AM37" s="31"/>
      <c r="AN37" s="31"/>
      <c r="AO37" s="31"/>
      <c r="AP37" s="31"/>
      <c r="AQ37" s="31"/>
      <c r="AR37" s="31"/>
      <c r="AS37" s="31" t="s">
        <v>75</v>
      </c>
      <c r="AT37" s="31" t="s">
        <v>75</v>
      </c>
      <c r="AU37" s="31" t="s">
        <v>75</v>
      </c>
      <c r="AV37" s="31" t="s">
        <v>75</v>
      </c>
      <c r="AW37" s="31" t="s">
        <v>75</v>
      </c>
      <c r="AX37" s="31" t="s">
        <v>75</v>
      </c>
      <c r="AY37" s="31" t="s">
        <v>75</v>
      </c>
      <c r="AZ37" s="31" t="s">
        <v>75</v>
      </c>
      <c r="BA37" s="31" t="s">
        <v>75</v>
      </c>
      <c r="BB37" s="31" t="s">
        <v>75</v>
      </c>
      <c r="BC37" s="31" t="s">
        <v>75</v>
      </c>
      <c r="BD37" s="31" t="s">
        <v>75</v>
      </c>
      <c r="BE37" s="113">
        <v>0</v>
      </c>
      <c r="BF37" s="113">
        <v>0</v>
      </c>
      <c r="BG37" s="113">
        <v>0</v>
      </c>
      <c r="BH37" s="113">
        <v>0</v>
      </c>
      <c r="BI37" s="113">
        <v>0</v>
      </c>
      <c r="BJ37" s="113">
        <v>0</v>
      </c>
      <c r="BK37" s="113">
        <v>0</v>
      </c>
      <c r="BL37" s="113">
        <v>0</v>
      </c>
      <c r="BM37" s="113">
        <v>0</v>
      </c>
      <c r="BN37" s="113">
        <v>0</v>
      </c>
      <c r="BO37" s="113">
        <v>0</v>
      </c>
      <c r="BP37" s="113">
        <v>0</v>
      </c>
      <c r="BQ37" s="113">
        <v>0</v>
      </c>
      <c r="BR37" s="113">
        <v>0</v>
      </c>
      <c r="BS37" s="113">
        <v>0</v>
      </c>
      <c r="BT37" s="113">
        <v>0</v>
      </c>
      <c r="BU37" s="113">
        <v>0</v>
      </c>
      <c r="BV37" s="113">
        <v>0</v>
      </c>
      <c r="BW37" s="113"/>
      <c r="BX37" s="113"/>
      <c r="BY37" s="113"/>
      <c r="BZ37" s="113">
        <v>0</v>
      </c>
      <c r="CA37" s="113">
        <v>0</v>
      </c>
      <c r="CB37" s="113">
        <v>0</v>
      </c>
      <c r="CC37" s="113"/>
      <c r="CD37" s="113"/>
      <c r="CE37" s="113"/>
      <c r="CF37" s="113">
        <v>0</v>
      </c>
      <c r="CG37" s="113">
        <v>0</v>
      </c>
      <c r="CH37" s="113">
        <v>0</v>
      </c>
      <c r="CI37" s="113">
        <v>0</v>
      </c>
      <c r="CJ37" s="113">
        <v>0</v>
      </c>
      <c r="CK37" s="113">
        <v>0</v>
      </c>
      <c r="CL37" s="113">
        <v>0</v>
      </c>
      <c r="CM37" s="113">
        <v>0</v>
      </c>
      <c r="CN37" s="113">
        <v>0</v>
      </c>
      <c r="CO37" s="113">
        <v>0</v>
      </c>
      <c r="CP37" s="113">
        <v>0</v>
      </c>
      <c r="CQ37" s="113">
        <v>0</v>
      </c>
      <c r="CR37" s="113">
        <v>0</v>
      </c>
      <c r="CS37" s="113">
        <v>0</v>
      </c>
      <c r="CT37" s="113">
        <v>0</v>
      </c>
      <c r="CU37" s="113">
        <v>0</v>
      </c>
      <c r="CV37" s="113">
        <v>0</v>
      </c>
      <c r="CW37" s="113">
        <v>0</v>
      </c>
      <c r="CX37" s="113">
        <v>0</v>
      </c>
      <c r="CY37" s="113">
        <v>0</v>
      </c>
      <c r="CZ37" s="113">
        <v>0</v>
      </c>
      <c r="DA37" s="113">
        <v>0</v>
      </c>
      <c r="DB37" s="113">
        <v>0</v>
      </c>
      <c r="DC37" s="113">
        <v>0</v>
      </c>
      <c r="DD37" s="113">
        <v>0</v>
      </c>
      <c r="DE37" s="113">
        <v>0</v>
      </c>
      <c r="DF37" s="113">
        <v>0</v>
      </c>
      <c r="DG37" s="113">
        <v>0</v>
      </c>
      <c r="DH37" s="113">
        <v>0</v>
      </c>
      <c r="DI37" s="113">
        <v>0</v>
      </c>
      <c r="DJ37" s="113">
        <v>0</v>
      </c>
      <c r="DK37" s="113">
        <v>0</v>
      </c>
      <c r="DL37" s="113">
        <v>0</v>
      </c>
      <c r="DM37" s="113">
        <v>0</v>
      </c>
      <c r="DN37" s="113">
        <v>0</v>
      </c>
      <c r="DO37" s="113">
        <v>0</v>
      </c>
      <c r="DP37" s="113">
        <v>0</v>
      </c>
      <c r="DQ37" s="113">
        <v>0</v>
      </c>
      <c r="DR37" s="113">
        <v>0</v>
      </c>
      <c r="DS37" s="113">
        <v>0</v>
      </c>
      <c r="DT37" s="113">
        <v>0</v>
      </c>
      <c r="DU37" s="113">
        <v>0</v>
      </c>
      <c r="DV37" s="113">
        <v>0</v>
      </c>
      <c r="DW37" s="113">
        <v>0</v>
      </c>
      <c r="DX37" s="113">
        <v>0</v>
      </c>
      <c r="DY37" s="113">
        <v>0</v>
      </c>
      <c r="DZ37" s="113">
        <v>0</v>
      </c>
      <c r="EA37" s="113">
        <v>0</v>
      </c>
      <c r="EB37" s="113">
        <v>0</v>
      </c>
      <c r="EC37" s="113">
        <v>0</v>
      </c>
      <c r="ED37" s="113">
        <v>0</v>
      </c>
      <c r="EE37" s="113">
        <v>0</v>
      </c>
      <c r="EF37" s="113">
        <v>0</v>
      </c>
      <c r="EG37" s="113">
        <v>0</v>
      </c>
      <c r="EH37" s="113">
        <v>0</v>
      </c>
      <c r="EI37" s="113">
        <v>0</v>
      </c>
      <c r="EJ37" s="113">
        <v>0</v>
      </c>
      <c r="EK37" s="113">
        <v>0</v>
      </c>
      <c r="EL37" s="113">
        <v>0</v>
      </c>
      <c r="EM37" s="113">
        <v>0</v>
      </c>
      <c r="EN37" s="113">
        <v>0</v>
      </c>
      <c r="EO37" s="113">
        <v>0</v>
      </c>
      <c r="EP37" s="113">
        <v>0</v>
      </c>
      <c r="EQ37" s="113">
        <v>0</v>
      </c>
      <c r="ER37" s="113">
        <v>0</v>
      </c>
      <c r="ES37" s="113">
        <v>0</v>
      </c>
      <c r="ET37" s="113">
        <v>0</v>
      </c>
      <c r="EU37" s="113">
        <v>0</v>
      </c>
      <c r="EV37" s="113">
        <v>0</v>
      </c>
      <c r="EW37" s="113">
        <v>0</v>
      </c>
      <c r="EX37" s="113">
        <v>0</v>
      </c>
      <c r="EY37" s="113">
        <v>0</v>
      </c>
      <c r="EZ37" s="113">
        <v>0</v>
      </c>
      <c r="FA37" s="113">
        <v>0</v>
      </c>
      <c r="FB37" s="113">
        <v>0</v>
      </c>
      <c r="FC37" s="113">
        <v>0</v>
      </c>
      <c r="FD37" s="113">
        <v>0</v>
      </c>
      <c r="FE37" s="113">
        <v>0</v>
      </c>
      <c r="FF37" s="113">
        <v>0</v>
      </c>
      <c r="FG37" s="113">
        <v>0</v>
      </c>
      <c r="FH37" s="113">
        <v>0</v>
      </c>
      <c r="FI37" s="113">
        <v>0</v>
      </c>
      <c r="FJ37" s="113">
        <v>0</v>
      </c>
      <c r="FK37" s="113">
        <v>0</v>
      </c>
      <c r="FL37" s="113">
        <v>0</v>
      </c>
      <c r="FM37" s="113">
        <v>0</v>
      </c>
      <c r="FN37" s="113">
        <v>0</v>
      </c>
      <c r="FO37" s="113">
        <v>0</v>
      </c>
      <c r="FP37" s="113">
        <v>0</v>
      </c>
      <c r="FQ37" s="113">
        <v>0</v>
      </c>
      <c r="FR37" s="113">
        <v>0</v>
      </c>
      <c r="FS37" s="113">
        <v>0</v>
      </c>
      <c r="FT37" s="113">
        <v>0</v>
      </c>
      <c r="FU37" s="113">
        <v>0</v>
      </c>
      <c r="FV37" s="113">
        <v>0</v>
      </c>
      <c r="FW37" s="113">
        <v>0</v>
      </c>
      <c r="FX37" s="32">
        <v>0</v>
      </c>
      <c r="FY37" s="30">
        <v>0</v>
      </c>
      <c r="FZ37" s="30">
        <v>0</v>
      </c>
    </row>
    <row r="38" spans="1:182" x14ac:dyDescent="0.2">
      <c r="A38" s="28">
        <v>32721</v>
      </c>
      <c r="B38" s="28"/>
      <c r="C38" s="29">
        <v>384847</v>
      </c>
      <c r="D38" s="29">
        <v>134534</v>
      </c>
      <c r="E38" s="29">
        <f t="shared" si="0"/>
        <v>519381</v>
      </c>
      <c r="F38" s="30">
        <v>3060712</v>
      </c>
      <c r="G38" s="30">
        <v>0</v>
      </c>
      <c r="H38" s="30">
        <f t="shared" si="1"/>
        <v>3060712</v>
      </c>
      <c r="I38" s="42" t="s">
        <v>75</v>
      </c>
      <c r="J38" s="42" t="s">
        <v>75</v>
      </c>
      <c r="K38" s="32">
        <v>1721101</v>
      </c>
      <c r="L38" s="31" t="s">
        <v>75</v>
      </c>
      <c r="M38" s="31" t="s">
        <v>75</v>
      </c>
      <c r="N38" s="30">
        <v>8381459</v>
      </c>
      <c r="O38" s="31" t="s">
        <v>75</v>
      </c>
      <c r="P38" s="31" t="s">
        <v>75</v>
      </c>
      <c r="Q38" s="30">
        <v>8672156</v>
      </c>
      <c r="R38" s="31" t="s">
        <v>75</v>
      </c>
      <c r="S38" s="31" t="s">
        <v>75</v>
      </c>
      <c r="T38" s="32">
        <v>241344</v>
      </c>
      <c r="U38" s="31" t="s">
        <v>75</v>
      </c>
      <c r="V38" s="31" t="s">
        <v>75</v>
      </c>
      <c r="W38" s="31" t="s">
        <v>75</v>
      </c>
      <c r="X38" s="31" t="s">
        <v>75</v>
      </c>
      <c r="Y38" s="31" t="s">
        <v>75</v>
      </c>
      <c r="Z38" s="30">
        <v>221431</v>
      </c>
      <c r="AA38" s="31" t="s">
        <v>75</v>
      </c>
      <c r="AB38" s="31" t="s">
        <v>75</v>
      </c>
      <c r="AC38" s="30">
        <v>634819</v>
      </c>
      <c r="AD38" s="31" t="s">
        <v>75</v>
      </c>
      <c r="AE38" s="31" t="s">
        <v>75</v>
      </c>
      <c r="AF38" s="30">
        <v>15012</v>
      </c>
      <c r="AG38" s="42" t="s">
        <v>75</v>
      </c>
      <c r="AH38" s="42" t="s">
        <v>75</v>
      </c>
      <c r="AI38" s="32">
        <v>112640</v>
      </c>
      <c r="AJ38" s="31" t="s">
        <v>75</v>
      </c>
      <c r="AK38" s="31" t="s">
        <v>75</v>
      </c>
      <c r="AL38" s="31" t="s">
        <v>75</v>
      </c>
      <c r="AM38" s="31"/>
      <c r="AN38" s="31"/>
      <c r="AO38" s="31"/>
      <c r="AP38" s="31"/>
      <c r="AQ38" s="31"/>
      <c r="AR38" s="31"/>
      <c r="AS38" s="31" t="s">
        <v>75</v>
      </c>
      <c r="AT38" s="31" t="s">
        <v>75</v>
      </c>
      <c r="AU38" s="31" t="s">
        <v>75</v>
      </c>
      <c r="AV38" s="31" t="s">
        <v>75</v>
      </c>
      <c r="AW38" s="31" t="s">
        <v>75</v>
      </c>
      <c r="AX38" s="31" t="s">
        <v>75</v>
      </c>
      <c r="AY38" s="31" t="s">
        <v>75</v>
      </c>
      <c r="AZ38" s="31" t="s">
        <v>75</v>
      </c>
      <c r="BA38" s="31" t="s">
        <v>75</v>
      </c>
      <c r="BB38" s="31" t="s">
        <v>75</v>
      </c>
      <c r="BC38" s="31" t="s">
        <v>75</v>
      </c>
      <c r="BD38" s="31" t="s">
        <v>75</v>
      </c>
      <c r="BE38" s="113">
        <v>0</v>
      </c>
      <c r="BF38" s="113">
        <v>0</v>
      </c>
      <c r="BG38" s="113">
        <v>0</v>
      </c>
      <c r="BH38" s="113">
        <v>0</v>
      </c>
      <c r="BI38" s="113">
        <v>0</v>
      </c>
      <c r="BJ38" s="113">
        <v>0</v>
      </c>
      <c r="BK38" s="113">
        <v>0</v>
      </c>
      <c r="BL38" s="113">
        <v>0</v>
      </c>
      <c r="BM38" s="113">
        <v>0</v>
      </c>
      <c r="BN38" s="113">
        <v>0</v>
      </c>
      <c r="BO38" s="113">
        <v>0</v>
      </c>
      <c r="BP38" s="113">
        <v>0</v>
      </c>
      <c r="BQ38" s="113">
        <v>0</v>
      </c>
      <c r="BR38" s="113">
        <v>0</v>
      </c>
      <c r="BS38" s="113">
        <v>0</v>
      </c>
      <c r="BT38" s="113">
        <v>0</v>
      </c>
      <c r="BU38" s="113">
        <v>0</v>
      </c>
      <c r="BV38" s="113">
        <v>0</v>
      </c>
      <c r="BW38" s="113"/>
      <c r="BX38" s="113"/>
      <c r="BY38" s="113"/>
      <c r="BZ38" s="113">
        <v>0</v>
      </c>
      <c r="CA38" s="113">
        <v>0</v>
      </c>
      <c r="CB38" s="113">
        <v>0</v>
      </c>
      <c r="CC38" s="113"/>
      <c r="CD38" s="113"/>
      <c r="CE38" s="113"/>
      <c r="CF38" s="113">
        <v>0</v>
      </c>
      <c r="CG38" s="113">
        <v>0</v>
      </c>
      <c r="CH38" s="113">
        <v>0</v>
      </c>
      <c r="CI38" s="113">
        <v>0</v>
      </c>
      <c r="CJ38" s="113">
        <v>0</v>
      </c>
      <c r="CK38" s="113">
        <v>0</v>
      </c>
      <c r="CL38" s="113">
        <v>0</v>
      </c>
      <c r="CM38" s="113">
        <v>0</v>
      </c>
      <c r="CN38" s="113">
        <v>0</v>
      </c>
      <c r="CO38" s="113">
        <v>0</v>
      </c>
      <c r="CP38" s="113">
        <v>0</v>
      </c>
      <c r="CQ38" s="113">
        <v>0</v>
      </c>
      <c r="CR38" s="113">
        <v>0</v>
      </c>
      <c r="CS38" s="113">
        <v>0</v>
      </c>
      <c r="CT38" s="113">
        <v>0</v>
      </c>
      <c r="CU38" s="113">
        <v>0</v>
      </c>
      <c r="CV38" s="113">
        <v>0</v>
      </c>
      <c r="CW38" s="113">
        <v>0</v>
      </c>
      <c r="CX38" s="113">
        <v>0</v>
      </c>
      <c r="CY38" s="113">
        <v>0</v>
      </c>
      <c r="CZ38" s="113">
        <v>0</v>
      </c>
      <c r="DA38" s="113">
        <v>0</v>
      </c>
      <c r="DB38" s="113">
        <v>0</v>
      </c>
      <c r="DC38" s="113">
        <v>0</v>
      </c>
      <c r="DD38" s="113">
        <v>0</v>
      </c>
      <c r="DE38" s="113">
        <v>0</v>
      </c>
      <c r="DF38" s="113">
        <v>0</v>
      </c>
      <c r="DG38" s="113">
        <v>0</v>
      </c>
      <c r="DH38" s="113">
        <v>0</v>
      </c>
      <c r="DI38" s="113">
        <v>0</v>
      </c>
      <c r="DJ38" s="113">
        <v>0</v>
      </c>
      <c r="DK38" s="113">
        <v>0</v>
      </c>
      <c r="DL38" s="113">
        <v>0</v>
      </c>
      <c r="DM38" s="113">
        <v>0</v>
      </c>
      <c r="DN38" s="113">
        <v>0</v>
      </c>
      <c r="DO38" s="113">
        <v>0</v>
      </c>
      <c r="DP38" s="113">
        <v>0</v>
      </c>
      <c r="DQ38" s="113">
        <v>0</v>
      </c>
      <c r="DR38" s="113">
        <v>0</v>
      </c>
      <c r="DS38" s="113">
        <v>0</v>
      </c>
      <c r="DT38" s="113">
        <v>0</v>
      </c>
      <c r="DU38" s="113">
        <v>0</v>
      </c>
      <c r="DV38" s="113">
        <v>0</v>
      </c>
      <c r="DW38" s="113">
        <v>0</v>
      </c>
      <c r="DX38" s="113">
        <v>0</v>
      </c>
      <c r="DY38" s="113">
        <v>0</v>
      </c>
      <c r="DZ38" s="113">
        <v>0</v>
      </c>
      <c r="EA38" s="113">
        <v>0</v>
      </c>
      <c r="EB38" s="113">
        <v>0</v>
      </c>
      <c r="EC38" s="113">
        <v>0</v>
      </c>
      <c r="ED38" s="113">
        <v>0</v>
      </c>
      <c r="EE38" s="113">
        <v>0</v>
      </c>
      <c r="EF38" s="113">
        <v>0</v>
      </c>
      <c r="EG38" s="113">
        <v>0</v>
      </c>
      <c r="EH38" s="113">
        <v>0</v>
      </c>
      <c r="EI38" s="113">
        <v>0</v>
      </c>
      <c r="EJ38" s="113">
        <v>0</v>
      </c>
      <c r="EK38" s="113">
        <v>0</v>
      </c>
      <c r="EL38" s="113">
        <v>0</v>
      </c>
      <c r="EM38" s="113">
        <v>0</v>
      </c>
      <c r="EN38" s="113">
        <v>0</v>
      </c>
      <c r="EO38" s="113">
        <v>0</v>
      </c>
      <c r="EP38" s="113">
        <v>0</v>
      </c>
      <c r="EQ38" s="113">
        <v>0</v>
      </c>
      <c r="ER38" s="113">
        <v>0</v>
      </c>
      <c r="ES38" s="113">
        <v>0</v>
      </c>
      <c r="ET38" s="113">
        <v>0</v>
      </c>
      <c r="EU38" s="113">
        <v>0</v>
      </c>
      <c r="EV38" s="113">
        <v>0</v>
      </c>
      <c r="EW38" s="113">
        <v>0</v>
      </c>
      <c r="EX38" s="113">
        <v>0</v>
      </c>
      <c r="EY38" s="113">
        <v>0</v>
      </c>
      <c r="EZ38" s="113">
        <v>0</v>
      </c>
      <c r="FA38" s="113">
        <v>0</v>
      </c>
      <c r="FB38" s="113">
        <v>0</v>
      </c>
      <c r="FC38" s="113">
        <v>0</v>
      </c>
      <c r="FD38" s="113">
        <v>0</v>
      </c>
      <c r="FE38" s="113">
        <v>0</v>
      </c>
      <c r="FF38" s="113">
        <v>0</v>
      </c>
      <c r="FG38" s="113">
        <v>0</v>
      </c>
      <c r="FH38" s="113">
        <v>0</v>
      </c>
      <c r="FI38" s="113">
        <v>0</v>
      </c>
      <c r="FJ38" s="113">
        <v>0</v>
      </c>
      <c r="FK38" s="113">
        <v>0</v>
      </c>
      <c r="FL38" s="113">
        <v>0</v>
      </c>
      <c r="FM38" s="113">
        <v>0</v>
      </c>
      <c r="FN38" s="113">
        <v>0</v>
      </c>
      <c r="FO38" s="113">
        <v>0</v>
      </c>
      <c r="FP38" s="113">
        <v>0</v>
      </c>
      <c r="FQ38" s="113">
        <v>0</v>
      </c>
      <c r="FR38" s="113">
        <v>0</v>
      </c>
      <c r="FS38" s="113">
        <v>0</v>
      </c>
      <c r="FT38" s="113">
        <v>0</v>
      </c>
      <c r="FU38" s="113">
        <v>0</v>
      </c>
      <c r="FV38" s="113">
        <v>0</v>
      </c>
      <c r="FW38" s="113">
        <v>0</v>
      </c>
      <c r="FX38" s="32">
        <v>0</v>
      </c>
      <c r="FY38" s="30">
        <v>0</v>
      </c>
      <c r="FZ38" s="30">
        <v>0</v>
      </c>
    </row>
    <row r="39" spans="1:182" x14ac:dyDescent="0.2">
      <c r="A39" s="28">
        <v>32752</v>
      </c>
      <c r="B39" s="28"/>
      <c r="C39" s="29">
        <v>222629</v>
      </c>
      <c r="D39" s="29">
        <v>74562</v>
      </c>
      <c r="E39" s="29">
        <f t="shared" si="0"/>
        <v>297191</v>
      </c>
      <c r="F39" s="30">
        <v>4420321</v>
      </c>
      <c r="G39" s="30">
        <v>0</v>
      </c>
      <c r="H39" s="30">
        <f t="shared" si="1"/>
        <v>4420321</v>
      </c>
      <c r="I39" s="42" t="s">
        <v>75</v>
      </c>
      <c r="J39" s="42" t="s">
        <v>75</v>
      </c>
      <c r="K39" s="32">
        <v>1992253</v>
      </c>
      <c r="L39" s="31" t="s">
        <v>75</v>
      </c>
      <c r="M39" s="31" t="s">
        <v>75</v>
      </c>
      <c r="N39" s="30">
        <v>7401829</v>
      </c>
      <c r="O39" s="31" t="s">
        <v>75</v>
      </c>
      <c r="P39" s="31" t="s">
        <v>75</v>
      </c>
      <c r="Q39" s="30">
        <v>8634540</v>
      </c>
      <c r="R39" s="31" t="s">
        <v>75</v>
      </c>
      <c r="S39" s="31" t="s">
        <v>75</v>
      </c>
      <c r="T39" s="32">
        <v>207642</v>
      </c>
      <c r="U39" s="31" t="s">
        <v>75</v>
      </c>
      <c r="V39" s="31" t="s">
        <v>75</v>
      </c>
      <c r="W39" s="31" t="s">
        <v>75</v>
      </c>
      <c r="X39" s="31" t="s">
        <v>75</v>
      </c>
      <c r="Y39" s="31" t="s">
        <v>75</v>
      </c>
      <c r="Z39" s="30">
        <v>142375</v>
      </c>
      <c r="AA39" s="31" t="s">
        <v>75</v>
      </c>
      <c r="AB39" s="31" t="s">
        <v>75</v>
      </c>
      <c r="AC39" s="30">
        <v>327024</v>
      </c>
      <c r="AD39" s="31" t="s">
        <v>75</v>
      </c>
      <c r="AE39" s="31" t="s">
        <v>75</v>
      </c>
      <c r="AF39" s="30">
        <v>17254</v>
      </c>
      <c r="AG39" s="42" t="s">
        <v>75</v>
      </c>
      <c r="AH39" s="42" t="s">
        <v>75</v>
      </c>
      <c r="AI39" s="32">
        <v>71613</v>
      </c>
      <c r="AJ39" s="31" t="s">
        <v>75</v>
      </c>
      <c r="AK39" s="31" t="s">
        <v>75</v>
      </c>
      <c r="AL39" s="31" t="s">
        <v>75</v>
      </c>
      <c r="AM39" s="31"/>
      <c r="AN39" s="31"/>
      <c r="AO39" s="31"/>
      <c r="AP39" s="31"/>
      <c r="AQ39" s="31"/>
      <c r="AR39" s="31"/>
      <c r="AS39" s="31" t="s">
        <v>75</v>
      </c>
      <c r="AT39" s="31" t="s">
        <v>75</v>
      </c>
      <c r="AU39" s="31" t="s">
        <v>75</v>
      </c>
      <c r="AV39" s="31" t="s">
        <v>75</v>
      </c>
      <c r="AW39" s="31" t="s">
        <v>75</v>
      </c>
      <c r="AX39" s="31" t="s">
        <v>75</v>
      </c>
      <c r="AY39" s="31" t="s">
        <v>75</v>
      </c>
      <c r="AZ39" s="31" t="s">
        <v>75</v>
      </c>
      <c r="BA39" s="31" t="s">
        <v>75</v>
      </c>
      <c r="BB39" s="31" t="s">
        <v>75</v>
      </c>
      <c r="BC39" s="31" t="s">
        <v>75</v>
      </c>
      <c r="BD39" s="31" t="s">
        <v>75</v>
      </c>
      <c r="BE39" s="113">
        <v>0</v>
      </c>
      <c r="BF39" s="113">
        <v>0</v>
      </c>
      <c r="BG39" s="113">
        <v>0</v>
      </c>
      <c r="BH39" s="113">
        <v>0</v>
      </c>
      <c r="BI39" s="113">
        <v>0</v>
      </c>
      <c r="BJ39" s="113">
        <v>0</v>
      </c>
      <c r="BK39" s="113">
        <v>0</v>
      </c>
      <c r="BL39" s="113">
        <v>0</v>
      </c>
      <c r="BM39" s="113">
        <v>0</v>
      </c>
      <c r="BN39" s="113">
        <v>0</v>
      </c>
      <c r="BO39" s="113">
        <v>0</v>
      </c>
      <c r="BP39" s="113">
        <v>0</v>
      </c>
      <c r="BQ39" s="113">
        <v>0</v>
      </c>
      <c r="BR39" s="113">
        <v>0</v>
      </c>
      <c r="BS39" s="113">
        <v>0</v>
      </c>
      <c r="BT39" s="113">
        <v>0</v>
      </c>
      <c r="BU39" s="113">
        <v>0</v>
      </c>
      <c r="BV39" s="113">
        <v>0</v>
      </c>
      <c r="BW39" s="113"/>
      <c r="BX39" s="113"/>
      <c r="BY39" s="113"/>
      <c r="BZ39" s="113">
        <v>0</v>
      </c>
      <c r="CA39" s="113">
        <v>0</v>
      </c>
      <c r="CB39" s="113">
        <v>0</v>
      </c>
      <c r="CC39" s="113"/>
      <c r="CD39" s="113"/>
      <c r="CE39" s="113"/>
      <c r="CF39" s="113">
        <v>0</v>
      </c>
      <c r="CG39" s="113">
        <v>0</v>
      </c>
      <c r="CH39" s="113">
        <v>0</v>
      </c>
      <c r="CI39" s="113">
        <v>0</v>
      </c>
      <c r="CJ39" s="113">
        <v>0</v>
      </c>
      <c r="CK39" s="113">
        <v>0</v>
      </c>
      <c r="CL39" s="113">
        <v>0</v>
      </c>
      <c r="CM39" s="113">
        <v>0</v>
      </c>
      <c r="CN39" s="113">
        <v>0</v>
      </c>
      <c r="CO39" s="113">
        <v>0</v>
      </c>
      <c r="CP39" s="113">
        <v>0</v>
      </c>
      <c r="CQ39" s="113">
        <v>0</v>
      </c>
      <c r="CR39" s="113">
        <v>0</v>
      </c>
      <c r="CS39" s="113">
        <v>0</v>
      </c>
      <c r="CT39" s="113">
        <v>0</v>
      </c>
      <c r="CU39" s="113">
        <v>0</v>
      </c>
      <c r="CV39" s="113">
        <v>0</v>
      </c>
      <c r="CW39" s="113">
        <v>0</v>
      </c>
      <c r="CX39" s="113">
        <v>0</v>
      </c>
      <c r="CY39" s="113">
        <v>0</v>
      </c>
      <c r="CZ39" s="113">
        <v>0</v>
      </c>
      <c r="DA39" s="113">
        <v>0</v>
      </c>
      <c r="DB39" s="113">
        <v>0</v>
      </c>
      <c r="DC39" s="113">
        <v>0</v>
      </c>
      <c r="DD39" s="113">
        <v>0</v>
      </c>
      <c r="DE39" s="113">
        <v>0</v>
      </c>
      <c r="DF39" s="113">
        <v>0</v>
      </c>
      <c r="DG39" s="113">
        <v>0</v>
      </c>
      <c r="DH39" s="113">
        <v>0</v>
      </c>
      <c r="DI39" s="113">
        <v>0</v>
      </c>
      <c r="DJ39" s="113">
        <v>0</v>
      </c>
      <c r="DK39" s="113">
        <v>0</v>
      </c>
      <c r="DL39" s="113">
        <v>0</v>
      </c>
      <c r="DM39" s="113">
        <v>0</v>
      </c>
      <c r="DN39" s="113">
        <v>0</v>
      </c>
      <c r="DO39" s="113">
        <v>0</v>
      </c>
      <c r="DP39" s="113">
        <v>0</v>
      </c>
      <c r="DQ39" s="113">
        <v>0</v>
      </c>
      <c r="DR39" s="113">
        <v>0</v>
      </c>
      <c r="DS39" s="113">
        <v>0</v>
      </c>
      <c r="DT39" s="113">
        <v>0</v>
      </c>
      <c r="DU39" s="113">
        <v>0</v>
      </c>
      <c r="DV39" s="113">
        <v>0</v>
      </c>
      <c r="DW39" s="113">
        <v>0</v>
      </c>
      <c r="DX39" s="113">
        <v>0</v>
      </c>
      <c r="DY39" s="113">
        <v>0</v>
      </c>
      <c r="DZ39" s="113">
        <v>0</v>
      </c>
      <c r="EA39" s="113">
        <v>0</v>
      </c>
      <c r="EB39" s="113">
        <v>0</v>
      </c>
      <c r="EC39" s="113">
        <v>0</v>
      </c>
      <c r="ED39" s="113">
        <v>0</v>
      </c>
      <c r="EE39" s="113">
        <v>0</v>
      </c>
      <c r="EF39" s="113">
        <v>0</v>
      </c>
      <c r="EG39" s="113">
        <v>0</v>
      </c>
      <c r="EH39" s="113">
        <v>0</v>
      </c>
      <c r="EI39" s="113">
        <v>0</v>
      </c>
      <c r="EJ39" s="113">
        <v>0</v>
      </c>
      <c r="EK39" s="113">
        <v>0</v>
      </c>
      <c r="EL39" s="113">
        <v>0</v>
      </c>
      <c r="EM39" s="113">
        <v>0</v>
      </c>
      <c r="EN39" s="113">
        <v>0</v>
      </c>
      <c r="EO39" s="113">
        <v>0</v>
      </c>
      <c r="EP39" s="113">
        <v>0</v>
      </c>
      <c r="EQ39" s="113">
        <v>0</v>
      </c>
      <c r="ER39" s="113">
        <v>0</v>
      </c>
      <c r="ES39" s="113">
        <v>0</v>
      </c>
      <c r="ET39" s="113">
        <v>0</v>
      </c>
      <c r="EU39" s="113">
        <v>0</v>
      </c>
      <c r="EV39" s="113">
        <v>0</v>
      </c>
      <c r="EW39" s="113">
        <v>0</v>
      </c>
      <c r="EX39" s="113">
        <v>0</v>
      </c>
      <c r="EY39" s="113">
        <v>0</v>
      </c>
      <c r="EZ39" s="113">
        <v>0</v>
      </c>
      <c r="FA39" s="113">
        <v>0</v>
      </c>
      <c r="FB39" s="113">
        <v>0</v>
      </c>
      <c r="FC39" s="113">
        <v>0</v>
      </c>
      <c r="FD39" s="113">
        <v>0</v>
      </c>
      <c r="FE39" s="113">
        <v>0</v>
      </c>
      <c r="FF39" s="113">
        <v>0</v>
      </c>
      <c r="FG39" s="113">
        <v>0</v>
      </c>
      <c r="FH39" s="113">
        <v>0</v>
      </c>
      <c r="FI39" s="113">
        <v>0</v>
      </c>
      <c r="FJ39" s="113">
        <v>0</v>
      </c>
      <c r="FK39" s="113">
        <v>0</v>
      </c>
      <c r="FL39" s="113">
        <v>0</v>
      </c>
      <c r="FM39" s="113">
        <v>0</v>
      </c>
      <c r="FN39" s="113">
        <v>0</v>
      </c>
      <c r="FO39" s="113">
        <v>0</v>
      </c>
      <c r="FP39" s="113">
        <v>0</v>
      </c>
      <c r="FQ39" s="113">
        <v>0</v>
      </c>
      <c r="FR39" s="113">
        <v>0</v>
      </c>
      <c r="FS39" s="113">
        <v>0</v>
      </c>
      <c r="FT39" s="113">
        <v>0</v>
      </c>
      <c r="FU39" s="113">
        <v>0</v>
      </c>
      <c r="FV39" s="113">
        <v>0</v>
      </c>
      <c r="FW39" s="113">
        <v>0</v>
      </c>
      <c r="FX39" s="32">
        <v>0</v>
      </c>
      <c r="FY39" s="30">
        <v>0</v>
      </c>
      <c r="FZ39" s="30">
        <v>0</v>
      </c>
    </row>
    <row r="40" spans="1:182" x14ac:dyDescent="0.2">
      <c r="A40" s="28">
        <v>32782</v>
      </c>
      <c r="B40" s="28"/>
      <c r="C40" s="29">
        <v>482906</v>
      </c>
      <c r="D40" s="29">
        <v>165866</v>
      </c>
      <c r="E40" s="29">
        <f t="shared" si="0"/>
        <v>648772</v>
      </c>
      <c r="F40" s="30">
        <v>7280628</v>
      </c>
      <c r="G40" s="30">
        <v>0</v>
      </c>
      <c r="H40" s="30">
        <f t="shared" si="1"/>
        <v>7280628</v>
      </c>
      <c r="I40" s="42" t="s">
        <v>75</v>
      </c>
      <c r="J40" s="42" t="s">
        <v>75</v>
      </c>
      <c r="K40" s="32">
        <v>2070554</v>
      </c>
      <c r="L40" s="31" t="s">
        <v>75</v>
      </c>
      <c r="M40" s="31" t="s">
        <v>75</v>
      </c>
      <c r="N40" s="30">
        <v>9739102</v>
      </c>
      <c r="O40" s="31" t="s">
        <v>75</v>
      </c>
      <c r="P40" s="31" t="s">
        <v>75</v>
      </c>
      <c r="Q40" s="30">
        <v>10542723</v>
      </c>
      <c r="R40" s="31" t="s">
        <v>75</v>
      </c>
      <c r="S40" s="31" t="s">
        <v>75</v>
      </c>
      <c r="T40" s="32">
        <v>174637</v>
      </c>
      <c r="U40" s="31" t="s">
        <v>75</v>
      </c>
      <c r="V40" s="31" t="s">
        <v>75</v>
      </c>
      <c r="W40" s="31" t="s">
        <v>75</v>
      </c>
      <c r="X40" s="31" t="s">
        <v>75</v>
      </c>
      <c r="Y40" s="31" t="s">
        <v>75</v>
      </c>
      <c r="Z40" s="30">
        <v>261715</v>
      </c>
      <c r="AA40" s="31" t="s">
        <v>75</v>
      </c>
      <c r="AB40" s="31" t="s">
        <v>75</v>
      </c>
      <c r="AC40" s="30">
        <v>574410</v>
      </c>
      <c r="AD40" s="31" t="s">
        <v>75</v>
      </c>
      <c r="AE40" s="31" t="s">
        <v>75</v>
      </c>
      <c r="AF40" s="30">
        <v>39140</v>
      </c>
      <c r="AG40" s="42" t="s">
        <v>75</v>
      </c>
      <c r="AH40" s="42" t="s">
        <v>75</v>
      </c>
      <c r="AI40" s="32">
        <v>113666</v>
      </c>
      <c r="AJ40" s="31" t="s">
        <v>75</v>
      </c>
      <c r="AK40" s="31" t="s">
        <v>75</v>
      </c>
      <c r="AL40" s="31" t="s">
        <v>75</v>
      </c>
      <c r="AM40" s="31"/>
      <c r="AN40" s="31"/>
      <c r="AO40" s="31"/>
      <c r="AP40" s="31"/>
      <c r="AQ40" s="31"/>
      <c r="AR40" s="31"/>
      <c r="AS40" s="31" t="s">
        <v>75</v>
      </c>
      <c r="AT40" s="31" t="s">
        <v>75</v>
      </c>
      <c r="AU40" s="31" t="s">
        <v>75</v>
      </c>
      <c r="AV40" s="31" t="s">
        <v>75</v>
      </c>
      <c r="AW40" s="31" t="s">
        <v>75</v>
      </c>
      <c r="AX40" s="31" t="s">
        <v>75</v>
      </c>
      <c r="AY40" s="31" t="s">
        <v>75</v>
      </c>
      <c r="AZ40" s="31" t="s">
        <v>75</v>
      </c>
      <c r="BA40" s="31" t="s">
        <v>75</v>
      </c>
      <c r="BB40" s="31" t="s">
        <v>75</v>
      </c>
      <c r="BC40" s="31" t="s">
        <v>75</v>
      </c>
      <c r="BD40" s="31" t="s">
        <v>75</v>
      </c>
      <c r="BE40" s="113">
        <v>0</v>
      </c>
      <c r="BF40" s="113">
        <v>0</v>
      </c>
      <c r="BG40" s="113">
        <v>0</v>
      </c>
      <c r="BH40" s="113">
        <v>0</v>
      </c>
      <c r="BI40" s="113">
        <v>0</v>
      </c>
      <c r="BJ40" s="113">
        <v>0</v>
      </c>
      <c r="BK40" s="113">
        <v>0</v>
      </c>
      <c r="BL40" s="113">
        <v>0</v>
      </c>
      <c r="BM40" s="113">
        <v>0</v>
      </c>
      <c r="BN40" s="113">
        <v>0</v>
      </c>
      <c r="BO40" s="113">
        <v>0</v>
      </c>
      <c r="BP40" s="113">
        <v>0</v>
      </c>
      <c r="BQ40" s="113">
        <v>0</v>
      </c>
      <c r="BR40" s="113">
        <v>0</v>
      </c>
      <c r="BS40" s="113">
        <v>0</v>
      </c>
      <c r="BT40" s="113">
        <v>0</v>
      </c>
      <c r="BU40" s="113">
        <v>0</v>
      </c>
      <c r="BV40" s="113">
        <v>0</v>
      </c>
      <c r="BW40" s="113"/>
      <c r="BX40" s="113"/>
      <c r="BY40" s="113"/>
      <c r="BZ40" s="113">
        <v>0</v>
      </c>
      <c r="CA40" s="113">
        <v>0</v>
      </c>
      <c r="CB40" s="113">
        <v>0</v>
      </c>
      <c r="CC40" s="113"/>
      <c r="CD40" s="113"/>
      <c r="CE40" s="113"/>
      <c r="CF40" s="113">
        <v>0</v>
      </c>
      <c r="CG40" s="113">
        <v>0</v>
      </c>
      <c r="CH40" s="113">
        <v>0</v>
      </c>
      <c r="CI40" s="113">
        <v>0</v>
      </c>
      <c r="CJ40" s="113">
        <v>0</v>
      </c>
      <c r="CK40" s="113">
        <v>0</v>
      </c>
      <c r="CL40" s="113">
        <v>0</v>
      </c>
      <c r="CM40" s="113">
        <v>0</v>
      </c>
      <c r="CN40" s="113">
        <v>0</v>
      </c>
      <c r="CO40" s="113">
        <v>0</v>
      </c>
      <c r="CP40" s="113">
        <v>0</v>
      </c>
      <c r="CQ40" s="113">
        <v>0</v>
      </c>
      <c r="CR40" s="113">
        <v>0</v>
      </c>
      <c r="CS40" s="113">
        <v>0</v>
      </c>
      <c r="CT40" s="113">
        <v>0</v>
      </c>
      <c r="CU40" s="113">
        <v>0</v>
      </c>
      <c r="CV40" s="113">
        <v>0</v>
      </c>
      <c r="CW40" s="113">
        <v>0</v>
      </c>
      <c r="CX40" s="113">
        <v>0</v>
      </c>
      <c r="CY40" s="113">
        <v>0</v>
      </c>
      <c r="CZ40" s="113">
        <v>0</v>
      </c>
      <c r="DA40" s="113">
        <v>0</v>
      </c>
      <c r="DB40" s="113">
        <v>0</v>
      </c>
      <c r="DC40" s="113">
        <v>0</v>
      </c>
      <c r="DD40" s="113">
        <v>0</v>
      </c>
      <c r="DE40" s="113">
        <v>0</v>
      </c>
      <c r="DF40" s="113">
        <v>0</v>
      </c>
      <c r="DG40" s="113">
        <v>0</v>
      </c>
      <c r="DH40" s="113">
        <v>0</v>
      </c>
      <c r="DI40" s="113">
        <v>0</v>
      </c>
      <c r="DJ40" s="113">
        <v>0</v>
      </c>
      <c r="DK40" s="113">
        <v>0</v>
      </c>
      <c r="DL40" s="113">
        <v>0</v>
      </c>
      <c r="DM40" s="113">
        <v>0</v>
      </c>
      <c r="DN40" s="113">
        <v>0</v>
      </c>
      <c r="DO40" s="113">
        <v>0</v>
      </c>
      <c r="DP40" s="113">
        <v>0</v>
      </c>
      <c r="DQ40" s="113">
        <v>0</v>
      </c>
      <c r="DR40" s="113">
        <v>0</v>
      </c>
      <c r="DS40" s="113">
        <v>0</v>
      </c>
      <c r="DT40" s="113">
        <v>0</v>
      </c>
      <c r="DU40" s="113">
        <v>0</v>
      </c>
      <c r="DV40" s="113">
        <v>0</v>
      </c>
      <c r="DW40" s="113">
        <v>0</v>
      </c>
      <c r="DX40" s="113">
        <v>0</v>
      </c>
      <c r="DY40" s="113">
        <v>0</v>
      </c>
      <c r="DZ40" s="113">
        <v>0</v>
      </c>
      <c r="EA40" s="113">
        <v>0</v>
      </c>
      <c r="EB40" s="113">
        <v>0</v>
      </c>
      <c r="EC40" s="113">
        <v>0</v>
      </c>
      <c r="ED40" s="113">
        <v>0</v>
      </c>
      <c r="EE40" s="113">
        <v>0</v>
      </c>
      <c r="EF40" s="113">
        <v>0</v>
      </c>
      <c r="EG40" s="113">
        <v>0</v>
      </c>
      <c r="EH40" s="113">
        <v>0</v>
      </c>
      <c r="EI40" s="113">
        <v>0</v>
      </c>
      <c r="EJ40" s="113">
        <v>0</v>
      </c>
      <c r="EK40" s="113">
        <v>0</v>
      </c>
      <c r="EL40" s="113">
        <v>0</v>
      </c>
      <c r="EM40" s="113">
        <v>0</v>
      </c>
      <c r="EN40" s="113">
        <v>0</v>
      </c>
      <c r="EO40" s="113">
        <v>0</v>
      </c>
      <c r="EP40" s="113">
        <v>0</v>
      </c>
      <c r="EQ40" s="113">
        <v>0</v>
      </c>
      <c r="ER40" s="113">
        <v>0</v>
      </c>
      <c r="ES40" s="113">
        <v>0</v>
      </c>
      <c r="ET40" s="113">
        <v>0</v>
      </c>
      <c r="EU40" s="113">
        <v>0</v>
      </c>
      <c r="EV40" s="113">
        <v>0</v>
      </c>
      <c r="EW40" s="113">
        <v>0</v>
      </c>
      <c r="EX40" s="113">
        <v>0</v>
      </c>
      <c r="EY40" s="113">
        <v>0</v>
      </c>
      <c r="EZ40" s="113">
        <v>0</v>
      </c>
      <c r="FA40" s="113">
        <v>0</v>
      </c>
      <c r="FB40" s="113">
        <v>0</v>
      </c>
      <c r="FC40" s="113">
        <v>0</v>
      </c>
      <c r="FD40" s="113">
        <v>0</v>
      </c>
      <c r="FE40" s="113">
        <v>0</v>
      </c>
      <c r="FF40" s="113">
        <v>0</v>
      </c>
      <c r="FG40" s="113">
        <v>0</v>
      </c>
      <c r="FH40" s="113">
        <v>0</v>
      </c>
      <c r="FI40" s="113">
        <v>0</v>
      </c>
      <c r="FJ40" s="113">
        <v>0</v>
      </c>
      <c r="FK40" s="113">
        <v>0</v>
      </c>
      <c r="FL40" s="113">
        <v>0</v>
      </c>
      <c r="FM40" s="113">
        <v>0</v>
      </c>
      <c r="FN40" s="113">
        <v>0</v>
      </c>
      <c r="FO40" s="113">
        <v>0</v>
      </c>
      <c r="FP40" s="113">
        <v>0</v>
      </c>
      <c r="FQ40" s="113">
        <v>0</v>
      </c>
      <c r="FR40" s="113">
        <v>0</v>
      </c>
      <c r="FS40" s="113">
        <v>0</v>
      </c>
      <c r="FT40" s="113">
        <v>0</v>
      </c>
      <c r="FU40" s="113">
        <v>0</v>
      </c>
      <c r="FV40" s="113">
        <v>0</v>
      </c>
      <c r="FW40" s="113">
        <v>0</v>
      </c>
      <c r="FX40" s="32">
        <v>0</v>
      </c>
      <c r="FY40" s="30">
        <v>0</v>
      </c>
      <c r="FZ40" s="30">
        <v>0</v>
      </c>
    </row>
    <row r="41" spans="1:182" x14ac:dyDescent="0.2">
      <c r="A41" s="28">
        <v>32813</v>
      </c>
      <c r="B41" s="28"/>
      <c r="C41" s="29">
        <v>231379</v>
      </c>
      <c r="D41" s="29">
        <v>96676</v>
      </c>
      <c r="E41" s="29">
        <f t="shared" si="0"/>
        <v>328055</v>
      </c>
      <c r="F41" s="30">
        <v>8042301</v>
      </c>
      <c r="G41" s="30">
        <v>0</v>
      </c>
      <c r="H41" s="30">
        <f t="shared" si="1"/>
        <v>8042301</v>
      </c>
      <c r="I41" s="42" t="s">
        <v>75</v>
      </c>
      <c r="J41" s="42" t="s">
        <v>75</v>
      </c>
      <c r="K41" s="32">
        <v>2401720</v>
      </c>
      <c r="L41" s="31" t="s">
        <v>75</v>
      </c>
      <c r="M41" s="31" t="s">
        <v>75</v>
      </c>
      <c r="N41" s="30">
        <v>10794387</v>
      </c>
      <c r="O41" s="31" t="s">
        <v>75</v>
      </c>
      <c r="P41" s="31" t="s">
        <v>75</v>
      </c>
      <c r="Q41" s="30">
        <v>12097108</v>
      </c>
      <c r="R41" s="31" t="s">
        <v>75</v>
      </c>
      <c r="S41" s="31" t="s">
        <v>75</v>
      </c>
      <c r="T41" s="32">
        <v>166231</v>
      </c>
      <c r="U41" s="31" t="s">
        <v>75</v>
      </c>
      <c r="V41" s="31" t="s">
        <v>75</v>
      </c>
      <c r="W41" s="31" t="s">
        <v>75</v>
      </c>
      <c r="X41" s="31" t="s">
        <v>75</v>
      </c>
      <c r="Y41" s="31" t="s">
        <v>75</v>
      </c>
      <c r="Z41" s="30">
        <v>163482</v>
      </c>
      <c r="AA41" s="31" t="s">
        <v>75</v>
      </c>
      <c r="AB41" s="31" t="s">
        <v>75</v>
      </c>
      <c r="AC41" s="30">
        <v>404994</v>
      </c>
      <c r="AD41" s="31" t="s">
        <v>75</v>
      </c>
      <c r="AE41" s="31" t="s">
        <v>75</v>
      </c>
      <c r="AF41" s="30">
        <v>22952</v>
      </c>
      <c r="AG41" s="42" t="s">
        <v>75</v>
      </c>
      <c r="AH41" s="42" t="s">
        <v>75</v>
      </c>
      <c r="AI41" s="32">
        <v>77886</v>
      </c>
      <c r="AJ41" s="31" t="s">
        <v>75</v>
      </c>
      <c r="AK41" s="31" t="s">
        <v>75</v>
      </c>
      <c r="AL41" s="31" t="s">
        <v>75</v>
      </c>
      <c r="AM41" s="31"/>
      <c r="AN41" s="31"/>
      <c r="AO41" s="31"/>
      <c r="AP41" s="31"/>
      <c r="AQ41" s="31"/>
      <c r="AR41" s="31"/>
      <c r="AS41" s="31" t="s">
        <v>75</v>
      </c>
      <c r="AT41" s="31" t="s">
        <v>75</v>
      </c>
      <c r="AU41" s="31" t="s">
        <v>75</v>
      </c>
      <c r="AV41" s="31" t="s">
        <v>75</v>
      </c>
      <c r="AW41" s="31" t="s">
        <v>75</v>
      </c>
      <c r="AX41" s="31" t="s">
        <v>75</v>
      </c>
      <c r="AY41" s="31" t="s">
        <v>75</v>
      </c>
      <c r="AZ41" s="31" t="s">
        <v>75</v>
      </c>
      <c r="BA41" s="31" t="s">
        <v>75</v>
      </c>
      <c r="BB41" s="31" t="s">
        <v>75</v>
      </c>
      <c r="BC41" s="31" t="s">
        <v>75</v>
      </c>
      <c r="BD41" s="31" t="s">
        <v>75</v>
      </c>
      <c r="BE41" s="113">
        <v>0</v>
      </c>
      <c r="BF41" s="113">
        <v>0</v>
      </c>
      <c r="BG41" s="113">
        <v>0</v>
      </c>
      <c r="BH41" s="113">
        <v>0</v>
      </c>
      <c r="BI41" s="113">
        <v>0</v>
      </c>
      <c r="BJ41" s="113">
        <v>0</v>
      </c>
      <c r="BK41" s="113">
        <v>0</v>
      </c>
      <c r="BL41" s="113">
        <v>0</v>
      </c>
      <c r="BM41" s="113">
        <v>0</v>
      </c>
      <c r="BN41" s="113">
        <v>0</v>
      </c>
      <c r="BO41" s="113">
        <v>0</v>
      </c>
      <c r="BP41" s="113">
        <v>0</v>
      </c>
      <c r="BQ41" s="113">
        <v>0</v>
      </c>
      <c r="BR41" s="113">
        <v>0</v>
      </c>
      <c r="BS41" s="113">
        <v>0</v>
      </c>
      <c r="BT41" s="113">
        <v>0</v>
      </c>
      <c r="BU41" s="113">
        <v>0</v>
      </c>
      <c r="BV41" s="113">
        <v>0</v>
      </c>
      <c r="BW41" s="113"/>
      <c r="BX41" s="113"/>
      <c r="BY41" s="113"/>
      <c r="BZ41" s="113">
        <v>0</v>
      </c>
      <c r="CA41" s="113">
        <v>0</v>
      </c>
      <c r="CB41" s="113">
        <v>0</v>
      </c>
      <c r="CC41" s="113"/>
      <c r="CD41" s="113"/>
      <c r="CE41" s="113"/>
      <c r="CF41" s="113">
        <v>0</v>
      </c>
      <c r="CG41" s="113">
        <v>0</v>
      </c>
      <c r="CH41" s="113">
        <v>0</v>
      </c>
      <c r="CI41" s="113">
        <v>0</v>
      </c>
      <c r="CJ41" s="113">
        <v>0</v>
      </c>
      <c r="CK41" s="113">
        <v>0</v>
      </c>
      <c r="CL41" s="113">
        <v>0</v>
      </c>
      <c r="CM41" s="113">
        <v>0</v>
      </c>
      <c r="CN41" s="113">
        <v>0</v>
      </c>
      <c r="CO41" s="113">
        <v>0</v>
      </c>
      <c r="CP41" s="113">
        <v>0</v>
      </c>
      <c r="CQ41" s="113">
        <v>0</v>
      </c>
      <c r="CR41" s="113">
        <v>0</v>
      </c>
      <c r="CS41" s="113">
        <v>0</v>
      </c>
      <c r="CT41" s="113">
        <v>0</v>
      </c>
      <c r="CU41" s="113">
        <v>0</v>
      </c>
      <c r="CV41" s="113">
        <v>0</v>
      </c>
      <c r="CW41" s="113">
        <v>0</v>
      </c>
      <c r="CX41" s="113">
        <v>0</v>
      </c>
      <c r="CY41" s="113">
        <v>0</v>
      </c>
      <c r="CZ41" s="113">
        <v>0</v>
      </c>
      <c r="DA41" s="113">
        <v>0</v>
      </c>
      <c r="DB41" s="113">
        <v>0</v>
      </c>
      <c r="DC41" s="113">
        <v>0</v>
      </c>
      <c r="DD41" s="113">
        <v>0</v>
      </c>
      <c r="DE41" s="113">
        <v>0</v>
      </c>
      <c r="DF41" s="113">
        <v>0</v>
      </c>
      <c r="DG41" s="113">
        <v>0</v>
      </c>
      <c r="DH41" s="113">
        <v>0</v>
      </c>
      <c r="DI41" s="113">
        <v>0</v>
      </c>
      <c r="DJ41" s="113">
        <v>0</v>
      </c>
      <c r="DK41" s="113">
        <v>0</v>
      </c>
      <c r="DL41" s="113">
        <v>0</v>
      </c>
      <c r="DM41" s="113">
        <v>0</v>
      </c>
      <c r="DN41" s="113">
        <v>0</v>
      </c>
      <c r="DO41" s="113">
        <v>0</v>
      </c>
      <c r="DP41" s="113">
        <v>0</v>
      </c>
      <c r="DQ41" s="113">
        <v>0</v>
      </c>
      <c r="DR41" s="113">
        <v>0</v>
      </c>
      <c r="DS41" s="113">
        <v>0</v>
      </c>
      <c r="DT41" s="113">
        <v>0</v>
      </c>
      <c r="DU41" s="113">
        <v>0</v>
      </c>
      <c r="DV41" s="113">
        <v>0</v>
      </c>
      <c r="DW41" s="113">
        <v>0</v>
      </c>
      <c r="DX41" s="113">
        <v>0</v>
      </c>
      <c r="DY41" s="113">
        <v>0</v>
      </c>
      <c r="DZ41" s="113">
        <v>0</v>
      </c>
      <c r="EA41" s="113">
        <v>0</v>
      </c>
      <c r="EB41" s="113">
        <v>0</v>
      </c>
      <c r="EC41" s="113">
        <v>0</v>
      </c>
      <c r="ED41" s="113">
        <v>0</v>
      </c>
      <c r="EE41" s="113">
        <v>0</v>
      </c>
      <c r="EF41" s="113">
        <v>0</v>
      </c>
      <c r="EG41" s="113">
        <v>0</v>
      </c>
      <c r="EH41" s="113">
        <v>0</v>
      </c>
      <c r="EI41" s="113">
        <v>0</v>
      </c>
      <c r="EJ41" s="113">
        <v>0</v>
      </c>
      <c r="EK41" s="113">
        <v>0</v>
      </c>
      <c r="EL41" s="113">
        <v>0</v>
      </c>
      <c r="EM41" s="113">
        <v>0</v>
      </c>
      <c r="EN41" s="113">
        <v>0</v>
      </c>
      <c r="EO41" s="113">
        <v>0</v>
      </c>
      <c r="EP41" s="113">
        <v>0</v>
      </c>
      <c r="EQ41" s="113">
        <v>0</v>
      </c>
      <c r="ER41" s="113">
        <v>0</v>
      </c>
      <c r="ES41" s="113">
        <v>0</v>
      </c>
      <c r="ET41" s="113">
        <v>0</v>
      </c>
      <c r="EU41" s="113">
        <v>0</v>
      </c>
      <c r="EV41" s="113">
        <v>0</v>
      </c>
      <c r="EW41" s="113">
        <v>0</v>
      </c>
      <c r="EX41" s="113">
        <v>0</v>
      </c>
      <c r="EY41" s="113">
        <v>0</v>
      </c>
      <c r="EZ41" s="113">
        <v>0</v>
      </c>
      <c r="FA41" s="113">
        <v>0</v>
      </c>
      <c r="FB41" s="113">
        <v>0</v>
      </c>
      <c r="FC41" s="113">
        <v>0</v>
      </c>
      <c r="FD41" s="113">
        <v>0</v>
      </c>
      <c r="FE41" s="113">
        <v>0</v>
      </c>
      <c r="FF41" s="113">
        <v>0</v>
      </c>
      <c r="FG41" s="113">
        <v>0</v>
      </c>
      <c r="FH41" s="113">
        <v>0</v>
      </c>
      <c r="FI41" s="113">
        <v>0</v>
      </c>
      <c r="FJ41" s="113">
        <v>0</v>
      </c>
      <c r="FK41" s="113">
        <v>0</v>
      </c>
      <c r="FL41" s="113">
        <v>0</v>
      </c>
      <c r="FM41" s="113">
        <v>0</v>
      </c>
      <c r="FN41" s="113">
        <v>0</v>
      </c>
      <c r="FO41" s="113">
        <v>0</v>
      </c>
      <c r="FP41" s="113">
        <v>0</v>
      </c>
      <c r="FQ41" s="113">
        <v>0</v>
      </c>
      <c r="FR41" s="113">
        <v>0</v>
      </c>
      <c r="FS41" s="113">
        <v>0</v>
      </c>
      <c r="FT41" s="113">
        <v>0</v>
      </c>
      <c r="FU41" s="113">
        <v>0</v>
      </c>
      <c r="FV41" s="113">
        <v>0</v>
      </c>
      <c r="FW41" s="113">
        <v>0</v>
      </c>
      <c r="FX41" s="32">
        <v>0</v>
      </c>
      <c r="FY41" s="30">
        <v>0</v>
      </c>
      <c r="FZ41" s="30">
        <v>0</v>
      </c>
    </row>
    <row r="42" spans="1:182" x14ac:dyDescent="0.2">
      <c r="A42" s="28">
        <v>32843</v>
      </c>
      <c r="B42" s="28"/>
      <c r="C42" s="29">
        <v>377273</v>
      </c>
      <c r="D42" s="29">
        <v>233101</v>
      </c>
      <c r="E42" s="29">
        <f t="shared" si="0"/>
        <v>610374</v>
      </c>
      <c r="F42" s="30">
        <v>11324015</v>
      </c>
      <c r="G42" s="30">
        <v>0</v>
      </c>
      <c r="H42" s="30">
        <f t="shared" si="1"/>
        <v>11324015</v>
      </c>
      <c r="I42" s="42" t="s">
        <v>75</v>
      </c>
      <c r="J42" s="42" t="s">
        <v>75</v>
      </c>
      <c r="K42" s="32">
        <v>3755593</v>
      </c>
      <c r="L42" s="31" t="s">
        <v>75</v>
      </c>
      <c r="M42" s="31" t="s">
        <v>75</v>
      </c>
      <c r="N42" s="30">
        <v>16813265</v>
      </c>
      <c r="O42" s="31" t="s">
        <v>75</v>
      </c>
      <c r="P42" s="31" t="s">
        <v>75</v>
      </c>
      <c r="Q42" s="30">
        <v>12940925</v>
      </c>
      <c r="R42" s="31" t="s">
        <v>75</v>
      </c>
      <c r="S42" s="31" t="s">
        <v>75</v>
      </c>
      <c r="T42" s="32">
        <v>107793</v>
      </c>
      <c r="U42" s="31" t="s">
        <v>75</v>
      </c>
      <c r="V42" s="31" t="s">
        <v>75</v>
      </c>
      <c r="W42" s="31" t="s">
        <v>75</v>
      </c>
      <c r="X42" s="31" t="s">
        <v>75</v>
      </c>
      <c r="Y42" s="31" t="s">
        <v>75</v>
      </c>
      <c r="Z42" s="30">
        <v>183838</v>
      </c>
      <c r="AA42" s="31" t="s">
        <v>75</v>
      </c>
      <c r="AB42" s="31" t="s">
        <v>75</v>
      </c>
      <c r="AC42" s="30">
        <v>446430</v>
      </c>
      <c r="AD42" s="31" t="s">
        <v>75</v>
      </c>
      <c r="AE42" s="31" t="s">
        <v>75</v>
      </c>
      <c r="AF42" s="30">
        <v>46282</v>
      </c>
      <c r="AG42" s="42" t="s">
        <v>75</v>
      </c>
      <c r="AH42" s="42" t="s">
        <v>75</v>
      </c>
      <c r="AI42" s="32">
        <v>104286</v>
      </c>
      <c r="AJ42" s="31" t="s">
        <v>75</v>
      </c>
      <c r="AK42" s="31" t="s">
        <v>75</v>
      </c>
      <c r="AL42" s="31" t="s">
        <v>75</v>
      </c>
      <c r="AM42" s="31"/>
      <c r="AN42" s="31"/>
      <c r="AO42" s="31"/>
      <c r="AP42" s="31"/>
      <c r="AQ42" s="31"/>
      <c r="AR42" s="31"/>
      <c r="AS42" s="31" t="s">
        <v>75</v>
      </c>
      <c r="AT42" s="31" t="s">
        <v>75</v>
      </c>
      <c r="AU42" s="31" t="s">
        <v>75</v>
      </c>
      <c r="AV42" s="31" t="s">
        <v>75</v>
      </c>
      <c r="AW42" s="31" t="s">
        <v>75</v>
      </c>
      <c r="AX42" s="31" t="s">
        <v>75</v>
      </c>
      <c r="AY42" s="31" t="s">
        <v>75</v>
      </c>
      <c r="AZ42" s="31" t="s">
        <v>75</v>
      </c>
      <c r="BA42" s="31" t="s">
        <v>75</v>
      </c>
      <c r="BB42" s="31" t="s">
        <v>75</v>
      </c>
      <c r="BC42" s="31" t="s">
        <v>75</v>
      </c>
      <c r="BD42" s="31" t="s">
        <v>75</v>
      </c>
      <c r="BE42" s="113">
        <v>0</v>
      </c>
      <c r="BF42" s="113">
        <v>0</v>
      </c>
      <c r="BG42" s="113">
        <v>0</v>
      </c>
      <c r="BH42" s="113">
        <v>0</v>
      </c>
      <c r="BI42" s="113">
        <v>0</v>
      </c>
      <c r="BJ42" s="113">
        <v>0</v>
      </c>
      <c r="BK42" s="113">
        <v>0</v>
      </c>
      <c r="BL42" s="113">
        <v>0</v>
      </c>
      <c r="BM42" s="113">
        <v>0</v>
      </c>
      <c r="BN42" s="113">
        <v>0</v>
      </c>
      <c r="BO42" s="113">
        <v>0</v>
      </c>
      <c r="BP42" s="113">
        <v>0</v>
      </c>
      <c r="BQ42" s="113">
        <v>0</v>
      </c>
      <c r="BR42" s="113">
        <v>0</v>
      </c>
      <c r="BS42" s="113">
        <v>0</v>
      </c>
      <c r="BT42" s="113">
        <v>0</v>
      </c>
      <c r="BU42" s="113">
        <v>0</v>
      </c>
      <c r="BV42" s="113">
        <v>0</v>
      </c>
      <c r="BW42" s="113"/>
      <c r="BX42" s="113"/>
      <c r="BY42" s="113"/>
      <c r="BZ42" s="113">
        <v>0</v>
      </c>
      <c r="CA42" s="113">
        <v>0</v>
      </c>
      <c r="CB42" s="113">
        <v>0</v>
      </c>
      <c r="CC42" s="113"/>
      <c r="CD42" s="113"/>
      <c r="CE42" s="113"/>
      <c r="CF42" s="113">
        <v>0</v>
      </c>
      <c r="CG42" s="113">
        <v>0</v>
      </c>
      <c r="CH42" s="113">
        <v>0</v>
      </c>
      <c r="CI42" s="113">
        <v>0</v>
      </c>
      <c r="CJ42" s="113">
        <v>0</v>
      </c>
      <c r="CK42" s="113">
        <v>0</v>
      </c>
      <c r="CL42" s="113">
        <v>0</v>
      </c>
      <c r="CM42" s="113">
        <v>0</v>
      </c>
      <c r="CN42" s="113">
        <v>0</v>
      </c>
      <c r="CO42" s="113">
        <v>0</v>
      </c>
      <c r="CP42" s="113">
        <v>0</v>
      </c>
      <c r="CQ42" s="113">
        <v>0</v>
      </c>
      <c r="CR42" s="113">
        <v>0</v>
      </c>
      <c r="CS42" s="113">
        <v>0</v>
      </c>
      <c r="CT42" s="113">
        <v>0</v>
      </c>
      <c r="CU42" s="113">
        <v>0</v>
      </c>
      <c r="CV42" s="113">
        <v>0</v>
      </c>
      <c r="CW42" s="113">
        <v>0</v>
      </c>
      <c r="CX42" s="113">
        <v>0</v>
      </c>
      <c r="CY42" s="113">
        <v>0</v>
      </c>
      <c r="CZ42" s="113">
        <v>0</v>
      </c>
      <c r="DA42" s="113">
        <v>0</v>
      </c>
      <c r="DB42" s="113">
        <v>0</v>
      </c>
      <c r="DC42" s="113">
        <v>0</v>
      </c>
      <c r="DD42" s="113">
        <v>0</v>
      </c>
      <c r="DE42" s="113">
        <v>0</v>
      </c>
      <c r="DF42" s="113">
        <v>0</v>
      </c>
      <c r="DG42" s="113">
        <v>0</v>
      </c>
      <c r="DH42" s="113">
        <v>0</v>
      </c>
      <c r="DI42" s="113">
        <v>0</v>
      </c>
      <c r="DJ42" s="113">
        <v>0</v>
      </c>
      <c r="DK42" s="113">
        <v>0</v>
      </c>
      <c r="DL42" s="113">
        <v>0</v>
      </c>
      <c r="DM42" s="113">
        <v>0</v>
      </c>
      <c r="DN42" s="113">
        <v>0</v>
      </c>
      <c r="DO42" s="113">
        <v>0</v>
      </c>
      <c r="DP42" s="113">
        <v>0</v>
      </c>
      <c r="DQ42" s="113">
        <v>0</v>
      </c>
      <c r="DR42" s="113">
        <v>0</v>
      </c>
      <c r="DS42" s="113">
        <v>0</v>
      </c>
      <c r="DT42" s="113">
        <v>0</v>
      </c>
      <c r="DU42" s="113">
        <v>0</v>
      </c>
      <c r="DV42" s="113">
        <v>0</v>
      </c>
      <c r="DW42" s="113">
        <v>0</v>
      </c>
      <c r="DX42" s="113">
        <v>0</v>
      </c>
      <c r="DY42" s="113">
        <v>0</v>
      </c>
      <c r="DZ42" s="113">
        <v>0</v>
      </c>
      <c r="EA42" s="113">
        <v>0</v>
      </c>
      <c r="EB42" s="113">
        <v>0</v>
      </c>
      <c r="EC42" s="113">
        <v>0</v>
      </c>
      <c r="ED42" s="113">
        <v>0</v>
      </c>
      <c r="EE42" s="113">
        <v>0</v>
      </c>
      <c r="EF42" s="113">
        <v>0</v>
      </c>
      <c r="EG42" s="113">
        <v>0</v>
      </c>
      <c r="EH42" s="113">
        <v>0</v>
      </c>
      <c r="EI42" s="113">
        <v>0</v>
      </c>
      <c r="EJ42" s="113">
        <v>0</v>
      </c>
      <c r="EK42" s="113">
        <v>0</v>
      </c>
      <c r="EL42" s="113">
        <v>0</v>
      </c>
      <c r="EM42" s="113">
        <v>0</v>
      </c>
      <c r="EN42" s="113">
        <v>0</v>
      </c>
      <c r="EO42" s="113">
        <v>0</v>
      </c>
      <c r="EP42" s="113">
        <v>0</v>
      </c>
      <c r="EQ42" s="113">
        <v>0</v>
      </c>
      <c r="ER42" s="113">
        <v>0</v>
      </c>
      <c r="ES42" s="113">
        <v>0</v>
      </c>
      <c r="ET42" s="113">
        <v>0</v>
      </c>
      <c r="EU42" s="113">
        <v>0</v>
      </c>
      <c r="EV42" s="113">
        <v>0</v>
      </c>
      <c r="EW42" s="113">
        <v>0</v>
      </c>
      <c r="EX42" s="113">
        <v>0</v>
      </c>
      <c r="EY42" s="113">
        <v>0</v>
      </c>
      <c r="EZ42" s="113">
        <v>0</v>
      </c>
      <c r="FA42" s="113">
        <v>0</v>
      </c>
      <c r="FB42" s="113">
        <v>0</v>
      </c>
      <c r="FC42" s="113">
        <v>0</v>
      </c>
      <c r="FD42" s="113">
        <v>0</v>
      </c>
      <c r="FE42" s="113">
        <v>0</v>
      </c>
      <c r="FF42" s="113">
        <v>0</v>
      </c>
      <c r="FG42" s="113">
        <v>0</v>
      </c>
      <c r="FH42" s="113">
        <v>0</v>
      </c>
      <c r="FI42" s="113">
        <v>0</v>
      </c>
      <c r="FJ42" s="113">
        <v>0</v>
      </c>
      <c r="FK42" s="113">
        <v>0</v>
      </c>
      <c r="FL42" s="113">
        <v>0</v>
      </c>
      <c r="FM42" s="113">
        <v>0</v>
      </c>
      <c r="FN42" s="113">
        <v>0</v>
      </c>
      <c r="FO42" s="113">
        <v>0</v>
      </c>
      <c r="FP42" s="113">
        <v>0</v>
      </c>
      <c r="FQ42" s="113">
        <v>0</v>
      </c>
      <c r="FR42" s="113">
        <v>0</v>
      </c>
      <c r="FS42" s="113">
        <v>0</v>
      </c>
      <c r="FT42" s="113">
        <v>0</v>
      </c>
      <c r="FU42" s="113">
        <v>0</v>
      </c>
      <c r="FV42" s="113">
        <v>0</v>
      </c>
      <c r="FW42" s="113">
        <v>0</v>
      </c>
      <c r="FX42" s="32">
        <v>0</v>
      </c>
      <c r="FY42" s="30">
        <v>0</v>
      </c>
      <c r="FZ42" s="30">
        <v>0</v>
      </c>
    </row>
    <row r="43" spans="1:182" x14ac:dyDescent="0.2">
      <c r="A43" s="28">
        <v>32874</v>
      </c>
      <c r="B43" s="28"/>
      <c r="C43" s="29">
        <v>81968</v>
      </c>
      <c r="D43" s="29">
        <v>54186</v>
      </c>
      <c r="E43" s="29">
        <f t="shared" si="0"/>
        <v>136154</v>
      </c>
      <c r="F43" s="30">
        <v>10054670</v>
      </c>
      <c r="G43" s="30">
        <v>0</v>
      </c>
      <c r="H43" s="30">
        <f t="shared" si="1"/>
        <v>10054670</v>
      </c>
      <c r="I43" s="42" t="s">
        <v>75</v>
      </c>
      <c r="J43" s="42" t="s">
        <v>75</v>
      </c>
      <c r="K43" s="32">
        <v>3396252</v>
      </c>
      <c r="L43" s="31" t="s">
        <v>75</v>
      </c>
      <c r="M43" s="31" t="s">
        <v>75</v>
      </c>
      <c r="N43" s="30">
        <v>13030527</v>
      </c>
      <c r="O43" s="31" t="s">
        <v>75</v>
      </c>
      <c r="P43" s="31" t="s">
        <v>75</v>
      </c>
      <c r="Q43" s="30">
        <v>16646981</v>
      </c>
      <c r="R43" s="31" t="s">
        <v>75</v>
      </c>
      <c r="S43" s="31" t="s">
        <v>75</v>
      </c>
      <c r="T43" s="32">
        <v>120517</v>
      </c>
      <c r="U43" s="31" t="s">
        <v>75</v>
      </c>
      <c r="V43" s="31" t="s">
        <v>75</v>
      </c>
      <c r="W43" s="31" t="s">
        <v>75</v>
      </c>
      <c r="X43" s="31" t="s">
        <v>75</v>
      </c>
      <c r="Y43" s="31" t="s">
        <v>75</v>
      </c>
      <c r="Z43" s="30">
        <v>81533</v>
      </c>
      <c r="AA43" s="31" t="s">
        <v>75</v>
      </c>
      <c r="AB43" s="31" t="s">
        <v>75</v>
      </c>
      <c r="AC43" s="30">
        <v>251586</v>
      </c>
      <c r="AD43" s="31" t="s">
        <v>75</v>
      </c>
      <c r="AE43" s="31" t="s">
        <v>75</v>
      </c>
      <c r="AF43" s="30">
        <v>9130</v>
      </c>
      <c r="AG43" s="42" t="s">
        <v>75</v>
      </c>
      <c r="AH43" s="42" t="s">
        <v>75</v>
      </c>
      <c r="AI43" s="32">
        <v>55776</v>
      </c>
      <c r="AJ43" s="31" t="s">
        <v>75</v>
      </c>
      <c r="AK43" s="31" t="s">
        <v>75</v>
      </c>
      <c r="AL43" s="31" t="s">
        <v>75</v>
      </c>
      <c r="AM43" s="31"/>
      <c r="AN43" s="31"/>
      <c r="AO43" s="31"/>
      <c r="AP43" s="31"/>
      <c r="AQ43" s="31"/>
      <c r="AR43" s="31"/>
      <c r="AS43" s="31" t="s">
        <v>75</v>
      </c>
      <c r="AT43" s="31" t="s">
        <v>75</v>
      </c>
      <c r="AU43" s="31" t="s">
        <v>75</v>
      </c>
      <c r="AV43" s="31" t="s">
        <v>75</v>
      </c>
      <c r="AW43" s="31" t="s">
        <v>75</v>
      </c>
      <c r="AX43" s="31" t="s">
        <v>75</v>
      </c>
      <c r="AY43" s="31" t="s">
        <v>75</v>
      </c>
      <c r="AZ43" s="31" t="s">
        <v>75</v>
      </c>
      <c r="BA43" s="31" t="s">
        <v>75</v>
      </c>
      <c r="BB43" s="31" t="s">
        <v>75</v>
      </c>
      <c r="BC43" s="31" t="s">
        <v>75</v>
      </c>
      <c r="BD43" s="31" t="s">
        <v>75</v>
      </c>
      <c r="BE43" s="113">
        <v>0</v>
      </c>
      <c r="BF43" s="113">
        <v>0</v>
      </c>
      <c r="BG43" s="113">
        <v>0</v>
      </c>
      <c r="BH43" s="113">
        <v>0</v>
      </c>
      <c r="BI43" s="113">
        <v>0</v>
      </c>
      <c r="BJ43" s="113">
        <v>0</v>
      </c>
      <c r="BK43" s="113">
        <v>0</v>
      </c>
      <c r="BL43" s="113">
        <v>0</v>
      </c>
      <c r="BM43" s="113">
        <v>0</v>
      </c>
      <c r="BN43" s="113">
        <v>0</v>
      </c>
      <c r="BO43" s="113">
        <v>0</v>
      </c>
      <c r="BP43" s="113">
        <v>0</v>
      </c>
      <c r="BQ43" s="113">
        <v>0</v>
      </c>
      <c r="BR43" s="113">
        <v>0</v>
      </c>
      <c r="BS43" s="113">
        <v>0</v>
      </c>
      <c r="BT43" s="113">
        <v>0</v>
      </c>
      <c r="BU43" s="113">
        <v>0</v>
      </c>
      <c r="BV43" s="113">
        <v>0</v>
      </c>
      <c r="BW43" s="113"/>
      <c r="BX43" s="113"/>
      <c r="BY43" s="113"/>
      <c r="BZ43" s="113">
        <v>0</v>
      </c>
      <c r="CA43" s="113">
        <v>0</v>
      </c>
      <c r="CB43" s="113">
        <v>0</v>
      </c>
      <c r="CC43" s="113"/>
      <c r="CD43" s="113"/>
      <c r="CE43" s="113"/>
      <c r="CF43" s="113">
        <v>0</v>
      </c>
      <c r="CG43" s="113">
        <v>0</v>
      </c>
      <c r="CH43" s="113">
        <v>0</v>
      </c>
      <c r="CI43" s="113">
        <v>0</v>
      </c>
      <c r="CJ43" s="113">
        <v>0</v>
      </c>
      <c r="CK43" s="113">
        <v>0</v>
      </c>
      <c r="CL43" s="113">
        <v>0</v>
      </c>
      <c r="CM43" s="113">
        <v>0</v>
      </c>
      <c r="CN43" s="113">
        <v>0</v>
      </c>
      <c r="CO43" s="113">
        <v>0</v>
      </c>
      <c r="CP43" s="113">
        <v>0</v>
      </c>
      <c r="CQ43" s="113">
        <v>0</v>
      </c>
      <c r="CR43" s="113">
        <v>0</v>
      </c>
      <c r="CS43" s="113">
        <v>0</v>
      </c>
      <c r="CT43" s="113">
        <v>0</v>
      </c>
      <c r="CU43" s="113">
        <v>0</v>
      </c>
      <c r="CV43" s="113">
        <v>0</v>
      </c>
      <c r="CW43" s="113">
        <v>0</v>
      </c>
      <c r="CX43" s="113">
        <v>0</v>
      </c>
      <c r="CY43" s="113">
        <v>0</v>
      </c>
      <c r="CZ43" s="113">
        <v>0</v>
      </c>
      <c r="DA43" s="113">
        <v>0</v>
      </c>
      <c r="DB43" s="113">
        <v>0</v>
      </c>
      <c r="DC43" s="113">
        <v>0</v>
      </c>
      <c r="DD43" s="113">
        <v>0</v>
      </c>
      <c r="DE43" s="113">
        <v>0</v>
      </c>
      <c r="DF43" s="113">
        <v>0</v>
      </c>
      <c r="DG43" s="113">
        <v>0</v>
      </c>
      <c r="DH43" s="113">
        <v>0</v>
      </c>
      <c r="DI43" s="113">
        <v>0</v>
      </c>
      <c r="DJ43" s="113">
        <v>0</v>
      </c>
      <c r="DK43" s="113">
        <v>0</v>
      </c>
      <c r="DL43" s="113">
        <v>0</v>
      </c>
      <c r="DM43" s="113">
        <v>0</v>
      </c>
      <c r="DN43" s="113">
        <v>0</v>
      </c>
      <c r="DO43" s="113">
        <v>0</v>
      </c>
      <c r="DP43" s="113">
        <v>0</v>
      </c>
      <c r="DQ43" s="113">
        <v>0</v>
      </c>
      <c r="DR43" s="113">
        <v>0</v>
      </c>
      <c r="DS43" s="113">
        <v>0</v>
      </c>
      <c r="DT43" s="113">
        <v>0</v>
      </c>
      <c r="DU43" s="113">
        <v>0</v>
      </c>
      <c r="DV43" s="113">
        <v>0</v>
      </c>
      <c r="DW43" s="113">
        <v>0</v>
      </c>
      <c r="DX43" s="113">
        <v>0</v>
      </c>
      <c r="DY43" s="113">
        <v>0</v>
      </c>
      <c r="DZ43" s="113">
        <v>0</v>
      </c>
      <c r="EA43" s="113">
        <v>0</v>
      </c>
      <c r="EB43" s="113">
        <v>0</v>
      </c>
      <c r="EC43" s="113">
        <v>0</v>
      </c>
      <c r="ED43" s="113">
        <v>0</v>
      </c>
      <c r="EE43" s="113">
        <v>0</v>
      </c>
      <c r="EF43" s="113">
        <v>0</v>
      </c>
      <c r="EG43" s="113">
        <v>0</v>
      </c>
      <c r="EH43" s="113">
        <v>0</v>
      </c>
      <c r="EI43" s="113">
        <v>0</v>
      </c>
      <c r="EJ43" s="113">
        <v>0</v>
      </c>
      <c r="EK43" s="113">
        <v>0</v>
      </c>
      <c r="EL43" s="113">
        <v>0</v>
      </c>
      <c r="EM43" s="113">
        <v>0</v>
      </c>
      <c r="EN43" s="113">
        <v>0</v>
      </c>
      <c r="EO43" s="113">
        <v>0</v>
      </c>
      <c r="EP43" s="113">
        <v>0</v>
      </c>
      <c r="EQ43" s="113">
        <v>0</v>
      </c>
      <c r="ER43" s="113">
        <v>0</v>
      </c>
      <c r="ES43" s="113">
        <v>0</v>
      </c>
      <c r="ET43" s="113">
        <v>0</v>
      </c>
      <c r="EU43" s="113">
        <v>0</v>
      </c>
      <c r="EV43" s="113">
        <v>0</v>
      </c>
      <c r="EW43" s="113">
        <v>0</v>
      </c>
      <c r="EX43" s="113">
        <v>0</v>
      </c>
      <c r="EY43" s="113">
        <v>0</v>
      </c>
      <c r="EZ43" s="113">
        <v>0</v>
      </c>
      <c r="FA43" s="113">
        <v>0</v>
      </c>
      <c r="FB43" s="113">
        <v>0</v>
      </c>
      <c r="FC43" s="113">
        <v>0</v>
      </c>
      <c r="FD43" s="113">
        <v>0</v>
      </c>
      <c r="FE43" s="113">
        <v>0</v>
      </c>
      <c r="FF43" s="113">
        <v>0</v>
      </c>
      <c r="FG43" s="113">
        <v>0</v>
      </c>
      <c r="FH43" s="113">
        <v>0</v>
      </c>
      <c r="FI43" s="113">
        <v>0</v>
      </c>
      <c r="FJ43" s="113">
        <v>0</v>
      </c>
      <c r="FK43" s="113">
        <v>0</v>
      </c>
      <c r="FL43" s="113">
        <v>0</v>
      </c>
      <c r="FM43" s="113">
        <v>0</v>
      </c>
      <c r="FN43" s="113">
        <v>0</v>
      </c>
      <c r="FO43" s="113">
        <v>0</v>
      </c>
      <c r="FP43" s="113">
        <v>0</v>
      </c>
      <c r="FQ43" s="113">
        <v>0</v>
      </c>
      <c r="FR43" s="113">
        <v>0</v>
      </c>
      <c r="FS43" s="113">
        <v>0</v>
      </c>
      <c r="FT43" s="113">
        <v>0</v>
      </c>
      <c r="FU43" s="113">
        <v>0</v>
      </c>
      <c r="FV43" s="113">
        <v>0</v>
      </c>
      <c r="FW43" s="113">
        <v>0</v>
      </c>
      <c r="FX43" s="32">
        <v>0</v>
      </c>
      <c r="FY43" s="30">
        <v>0</v>
      </c>
      <c r="FZ43" s="30">
        <v>0</v>
      </c>
    </row>
    <row r="44" spans="1:182" x14ac:dyDescent="0.2">
      <c r="A44" s="28">
        <v>32905</v>
      </c>
      <c r="B44" s="28"/>
      <c r="C44" s="29">
        <v>256735</v>
      </c>
      <c r="D44" s="29">
        <v>123413</v>
      </c>
      <c r="E44" s="29">
        <f t="shared" si="0"/>
        <v>380148</v>
      </c>
      <c r="F44" s="30">
        <v>7232983</v>
      </c>
      <c r="G44" s="30">
        <v>0</v>
      </c>
      <c r="H44" s="30">
        <f t="shared" si="1"/>
        <v>7232983</v>
      </c>
      <c r="I44" s="42" t="s">
        <v>75</v>
      </c>
      <c r="J44" s="42" t="s">
        <v>75</v>
      </c>
      <c r="K44" s="32">
        <v>2548436</v>
      </c>
      <c r="L44" s="31" t="s">
        <v>75</v>
      </c>
      <c r="M44" s="31" t="s">
        <v>75</v>
      </c>
      <c r="N44" s="30">
        <v>10450181</v>
      </c>
      <c r="O44" s="31" t="s">
        <v>75</v>
      </c>
      <c r="P44" s="31" t="s">
        <v>75</v>
      </c>
      <c r="Q44" s="30">
        <v>11679764</v>
      </c>
      <c r="R44" s="31" t="s">
        <v>75</v>
      </c>
      <c r="S44" s="31" t="s">
        <v>75</v>
      </c>
      <c r="T44" s="32">
        <v>131517</v>
      </c>
      <c r="U44" s="31" t="s">
        <v>75</v>
      </c>
      <c r="V44" s="31" t="s">
        <v>75</v>
      </c>
      <c r="W44" s="31" t="s">
        <v>75</v>
      </c>
      <c r="X44" s="31" t="s">
        <v>75</v>
      </c>
      <c r="Y44" s="31" t="s">
        <v>75</v>
      </c>
      <c r="Z44" s="30">
        <v>92112</v>
      </c>
      <c r="AA44" s="31" t="s">
        <v>75</v>
      </c>
      <c r="AB44" s="31" t="s">
        <v>75</v>
      </c>
      <c r="AC44" s="30">
        <v>433362</v>
      </c>
      <c r="AD44" s="31" t="s">
        <v>75</v>
      </c>
      <c r="AE44" s="31" t="s">
        <v>75</v>
      </c>
      <c r="AF44" s="30">
        <v>5862</v>
      </c>
      <c r="AG44" s="42" t="s">
        <v>75</v>
      </c>
      <c r="AH44" s="42" t="s">
        <v>75</v>
      </c>
      <c r="AI44" s="32">
        <v>73829</v>
      </c>
      <c r="AJ44" s="31" t="s">
        <v>75</v>
      </c>
      <c r="AK44" s="31" t="s">
        <v>75</v>
      </c>
      <c r="AL44" s="31" t="s">
        <v>75</v>
      </c>
      <c r="AM44" s="31"/>
      <c r="AN44" s="31"/>
      <c r="AO44" s="31"/>
      <c r="AP44" s="31"/>
      <c r="AQ44" s="31"/>
      <c r="AR44" s="31"/>
      <c r="AS44" s="31" t="s">
        <v>75</v>
      </c>
      <c r="AT44" s="31" t="s">
        <v>75</v>
      </c>
      <c r="AU44" s="31" t="s">
        <v>75</v>
      </c>
      <c r="AV44" s="31" t="s">
        <v>75</v>
      </c>
      <c r="AW44" s="31" t="s">
        <v>75</v>
      </c>
      <c r="AX44" s="31" t="s">
        <v>75</v>
      </c>
      <c r="AY44" s="31" t="s">
        <v>75</v>
      </c>
      <c r="AZ44" s="31" t="s">
        <v>75</v>
      </c>
      <c r="BA44" s="31" t="s">
        <v>75</v>
      </c>
      <c r="BB44" s="31" t="s">
        <v>75</v>
      </c>
      <c r="BC44" s="31" t="s">
        <v>75</v>
      </c>
      <c r="BD44" s="31" t="s">
        <v>75</v>
      </c>
      <c r="BE44" s="113">
        <v>0</v>
      </c>
      <c r="BF44" s="113">
        <v>0</v>
      </c>
      <c r="BG44" s="113">
        <v>0</v>
      </c>
      <c r="BH44" s="113">
        <v>0</v>
      </c>
      <c r="BI44" s="113">
        <v>0</v>
      </c>
      <c r="BJ44" s="113">
        <v>0</v>
      </c>
      <c r="BK44" s="113">
        <v>0</v>
      </c>
      <c r="BL44" s="113">
        <v>0</v>
      </c>
      <c r="BM44" s="113">
        <v>0</v>
      </c>
      <c r="BN44" s="113">
        <v>0</v>
      </c>
      <c r="BO44" s="113">
        <v>0</v>
      </c>
      <c r="BP44" s="113">
        <v>0</v>
      </c>
      <c r="BQ44" s="113">
        <v>0</v>
      </c>
      <c r="BR44" s="113">
        <v>0</v>
      </c>
      <c r="BS44" s="113">
        <v>0</v>
      </c>
      <c r="BT44" s="113">
        <v>0</v>
      </c>
      <c r="BU44" s="113">
        <v>0</v>
      </c>
      <c r="BV44" s="113">
        <v>0</v>
      </c>
      <c r="BW44" s="113"/>
      <c r="BX44" s="113"/>
      <c r="BY44" s="113"/>
      <c r="BZ44" s="113">
        <v>0</v>
      </c>
      <c r="CA44" s="113">
        <v>0</v>
      </c>
      <c r="CB44" s="113">
        <v>0</v>
      </c>
      <c r="CC44" s="113"/>
      <c r="CD44" s="113"/>
      <c r="CE44" s="113"/>
      <c r="CF44" s="113">
        <v>0</v>
      </c>
      <c r="CG44" s="113">
        <v>0</v>
      </c>
      <c r="CH44" s="113">
        <v>0</v>
      </c>
      <c r="CI44" s="113">
        <v>0</v>
      </c>
      <c r="CJ44" s="113">
        <v>0</v>
      </c>
      <c r="CK44" s="113">
        <v>0</v>
      </c>
      <c r="CL44" s="113">
        <v>0</v>
      </c>
      <c r="CM44" s="113">
        <v>0</v>
      </c>
      <c r="CN44" s="113">
        <v>0</v>
      </c>
      <c r="CO44" s="113">
        <v>0</v>
      </c>
      <c r="CP44" s="113">
        <v>0</v>
      </c>
      <c r="CQ44" s="113">
        <v>0</v>
      </c>
      <c r="CR44" s="113">
        <v>0</v>
      </c>
      <c r="CS44" s="113">
        <v>0</v>
      </c>
      <c r="CT44" s="113">
        <v>0</v>
      </c>
      <c r="CU44" s="113">
        <v>0</v>
      </c>
      <c r="CV44" s="113">
        <v>0</v>
      </c>
      <c r="CW44" s="113">
        <v>0</v>
      </c>
      <c r="CX44" s="113">
        <v>0</v>
      </c>
      <c r="CY44" s="113">
        <v>0</v>
      </c>
      <c r="CZ44" s="113">
        <v>0</v>
      </c>
      <c r="DA44" s="113">
        <v>0</v>
      </c>
      <c r="DB44" s="113">
        <v>0</v>
      </c>
      <c r="DC44" s="113">
        <v>0</v>
      </c>
      <c r="DD44" s="113">
        <v>0</v>
      </c>
      <c r="DE44" s="113">
        <v>0</v>
      </c>
      <c r="DF44" s="113">
        <v>0</v>
      </c>
      <c r="DG44" s="113">
        <v>0</v>
      </c>
      <c r="DH44" s="113">
        <v>0</v>
      </c>
      <c r="DI44" s="113">
        <v>0</v>
      </c>
      <c r="DJ44" s="113">
        <v>0</v>
      </c>
      <c r="DK44" s="113">
        <v>0</v>
      </c>
      <c r="DL44" s="113">
        <v>0</v>
      </c>
      <c r="DM44" s="113">
        <v>0</v>
      </c>
      <c r="DN44" s="113">
        <v>0</v>
      </c>
      <c r="DO44" s="113">
        <v>0</v>
      </c>
      <c r="DP44" s="113">
        <v>0</v>
      </c>
      <c r="DQ44" s="113">
        <v>0</v>
      </c>
      <c r="DR44" s="113">
        <v>0</v>
      </c>
      <c r="DS44" s="113">
        <v>0</v>
      </c>
      <c r="DT44" s="113">
        <v>0</v>
      </c>
      <c r="DU44" s="113">
        <v>0</v>
      </c>
      <c r="DV44" s="113">
        <v>0</v>
      </c>
      <c r="DW44" s="113">
        <v>0</v>
      </c>
      <c r="DX44" s="113">
        <v>0</v>
      </c>
      <c r="DY44" s="113">
        <v>0</v>
      </c>
      <c r="DZ44" s="113">
        <v>0</v>
      </c>
      <c r="EA44" s="113">
        <v>0</v>
      </c>
      <c r="EB44" s="113">
        <v>0</v>
      </c>
      <c r="EC44" s="113">
        <v>0</v>
      </c>
      <c r="ED44" s="113">
        <v>0</v>
      </c>
      <c r="EE44" s="113">
        <v>0</v>
      </c>
      <c r="EF44" s="113">
        <v>0</v>
      </c>
      <c r="EG44" s="113">
        <v>0</v>
      </c>
      <c r="EH44" s="113">
        <v>0</v>
      </c>
      <c r="EI44" s="113">
        <v>0</v>
      </c>
      <c r="EJ44" s="113">
        <v>0</v>
      </c>
      <c r="EK44" s="113">
        <v>0</v>
      </c>
      <c r="EL44" s="113">
        <v>0</v>
      </c>
      <c r="EM44" s="113">
        <v>0</v>
      </c>
      <c r="EN44" s="113">
        <v>0</v>
      </c>
      <c r="EO44" s="113">
        <v>0</v>
      </c>
      <c r="EP44" s="113">
        <v>0</v>
      </c>
      <c r="EQ44" s="113">
        <v>0</v>
      </c>
      <c r="ER44" s="113">
        <v>0</v>
      </c>
      <c r="ES44" s="113">
        <v>0</v>
      </c>
      <c r="ET44" s="113">
        <v>0</v>
      </c>
      <c r="EU44" s="113">
        <v>0</v>
      </c>
      <c r="EV44" s="113">
        <v>0</v>
      </c>
      <c r="EW44" s="113">
        <v>0</v>
      </c>
      <c r="EX44" s="113">
        <v>0</v>
      </c>
      <c r="EY44" s="113">
        <v>0</v>
      </c>
      <c r="EZ44" s="113">
        <v>0</v>
      </c>
      <c r="FA44" s="113">
        <v>0</v>
      </c>
      <c r="FB44" s="113">
        <v>0</v>
      </c>
      <c r="FC44" s="113">
        <v>0</v>
      </c>
      <c r="FD44" s="113">
        <v>0</v>
      </c>
      <c r="FE44" s="113">
        <v>0</v>
      </c>
      <c r="FF44" s="113">
        <v>0</v>
      </c>
      <c r="FG44" s="113">
        <v>0</v>
      </c>
      <c r="FH44" s="113">
        <v>0</v>
      </c>
      <c r="FI44" s="113">
        <v>0</v>
      </c>
      <c r="FJ44" s="113">
        <v>0</v>
      </c>
      <c r="FK44" s="113">
        <v>0</v>
      </c>
      <c r="FL44" s="113">
        <v>0</v>
      </c>
      <c r="FM44" s="113">
        <v>0</v>
      </c>
      <c r="FN44" s="113">
        <v>0</v>
      </c>
      <c r="FO44" s="113">
        <v>0</v>
      </c>
      <c r="FP44" s="113">
        <v>0</v>
      </c>
      <c r="FQ44" s="113">
        <v>0</v>
      </c>
      <c r="FR44" s="113">
        <v>0</v>
      </c>
      <c r="FS44" s="113">
        <v>0</v>
      </c>
      <c r="FT44" s="113">
        <v>0</v>
      </c>
      <c r="FU44" s="113">
        <v>0</v>
      </c>
      <c r="FV44" s="113">
        <v>0</v>
      </c>
      <c r="FW44" s="113">
        <v>0</v>
      </c>
      <c r="FX44" s="32">
        <v>0</v>
      </c>
      <c r="FY44" s="30">
        <v>0</v>
      </c>
      <c r="FZ44" s="30">
        <v>0</v>
      </c>
    </row>
    <row r="45" spans="1:182" x14ac:dyDescent="0.2">
      <c r="A45" s="28">
        <v>32933</v>
      </c>
      <c r="B45" s="28"/>
      <c r="C45" s="29">
        <v>183056</v>
      </c>
      <c r="D45" s="29">
        <v>53377</v>
      </c>
      <c r="E45" s="29">
        <f t="shared" si="0"/>
        <v>236433</v>
      </c>
      <c r="F45" s="30">
        <v>4857564</v>
      </c>
      <c r="G45" s="30">
        <v>0</v>
      </c>
      <c r="H45" s="30">
        <f t="shared" si="1"/>
        <v>4857564</v>
      </c>
      <c r="I45" s="42" t="s">
        <v>75</v>
      </c>
      <c r="J45" s="42" t="s">
        <v>75</v>
      </c>
      <c r="K45" s="32">
        <v>2374996</v>
      </c>
      <c r="L45" s="31" t="s">
        <v>75</v>
      </c>
      <c r="M45" s="31" t="s">
        <v>75</v>
      </c>
      <c r="N45" s="30">
        <v>10065174</v>
      </c>
      <c r="O45" s="31" t="s">
        <v>75</v>
      </c>
      <c r="P45" s="31" t="s">
        <v>75</v>
      </c>
      <c r="Q45" s="30">
        <v>10152364</v>
      </c>
      <c r="R45" s="31" t="s">
        <v>75</v>
      </c>
      <c r="S45" s="31" t="s">
        <v>75</v>
      </c>
      <c r="T45" s="32">
        <v>303111</v>
      </c>
      <c r="U45" s="31" t="s">
        <v>75</v>
      </c>
      <c r="V45" s="31" t="s">
        <v>75</v>
      </c>
      <c r="W45" s="31" t="s">
        <v>75</v>
      </c>
      <c r="X45" s="31" t="s">
        <v>75</v>
      </c>
      <c r="Y45" s="31" t="s">
        <v>75</v>
      </c>
      <c r="Z45" s="30">
        <v>103721</v>
      </c>
      <c r="AA45" s="31" t="s">
        <v>75</v>
      </c>
      <c r="AB45" s="31" t="s">
        <v>75</v>
      </c>
      <c r="AC45" s="30">
        <v>372974</v>
      </c>
      <c r="AD45" s="31" t="s">
        <v>75</v>
      </c>
      <c r="AE45" s="31" t="s">
        <v>75</v>
      </c>
      <c r="AF45" s="30">
        <v>9665</v>
      </c>
      <c r="AG45" s="42" t="s">
        <v>75</v>
      </c>
      <c r="AH45" s="42" t="s">
        <v>75</v>
      </c>
      <c r="AI45" s="32">
        <v>76108</v>
      </c>
      <c r="AJ45" s="31" t="s">
        <v>75</v>
      </c>
      <c r="AK45" s="31" t="s">
        <v>75</v>
      </c>
      <c r="AL45" s="31" t="s">
        <v>75</v>
      </c>
      <c r="AM45" s="31"/>
      <c r="AN45" s="31"/>
      <c r="AO45" s="31"/>
      <c r="AP45" s="31"/>
      <c r="AQ45" s="31"/>
      <c r="AR45" s="31"/>
      <c r="AS45" s="31" t="s">
        <v>75</v>
      </c>
      <c r="AT45" s="31" t="s">
        <v>75</v>
      </c>
      <c r="AU45" s="31" t="s">
        <v>75</v>
      </c>
      <c r="AV45" s="31" t="s">
        <v>75</v>
      </c>
      <c r="AW45" s="31" t="s">
        <v>75</v>
      </c>
      <c r="AX45" s="31" t="s">
        <v>75</v>
      </c>
      <c r="AY45" s="31" t="s">
        <v>75</v>
      </c>
      <c r="AZ45" s="31" t="s">
        <v>75</v>
      </c>
      <c r="BA45" s="31" t="s">
        <v>75</v>
      </c>
      <c r="BB45" s="31" t="s">
        <v>75</v>
      </c>
      <c r="BC45" s="31" t="s">
        <v>75</v>
      </c>
      <c r="BD45" s="31" t="s">
        <v>75</v>
      </c>
      <c r="BE45" s="113">
        <v>0</v>
      </c>
      <c r="BF45" s="113">
        <v>0</v>
      </c>
      <c r="BG45" s="113">
        <v>0</v>
      </c>
      <c r="BH45" s="113">
        <v>0</v>
      </c>
      <c r="BI45" s="113">
        <v>0</v>
      </c>
      <c r="BJ45" s="113">
        <v>0</v>
      </c>
      <c r="BK45" s="113">
        <v>0</v>
      </c>
      <c r="BL45" s="113">
        <v>0</v>
      </c>
      <c r="BM45" s="113">
        <v>0</v>
      </c>
      <c r="BN45" s="113">
        <v>0</v>
      </c>
      <c r="BO45" s="113">
        <v>0</v>
      </c>
      <c r="BP45" s="113">
        <v>0</v>
      </c>
      <c r="BQ45" s="113">
        <v>0</v>
      </c>
      <c r="BR45" s="113">
        <v>0</v>
      </c>
      <c r="BS45" s="113">
        <v>0</v>
      </c>
      <c r="BT45" s="113">
        <v>0</v>
      </c>
      <c r="BU45" s="113">
        <v>0</v>
      </c>
      <c r="BV45" s="113">
        <v>0</v>
      </c>
      <c r="BW45" s="113"/>
      <c r="BX45" s="113"/>
      <c r="BY45" s="113"/>
      <c r="BZ45" s="113">
        <v>0</v>
      </c>
      <c r="CA45" s="113">
        <v>0</v>
      </c>
      <c r="CB45" s="113">
        <v>0</v>
      </c>
      <c r="CC45" s="113"/>
      <c r="CD45" s="113"/>
      <c r="CE45" s="113"/>
      <c r="CF45" s="113">
        <v>0</v>
      </c>
      <c r="CG45" s="113">
        <v>0</v>
      </c>
      <c r="CH45" s="113">
        <v>0</v>
      </c>
      <c r="CI45" s="113">
        <v>0</v>
      </c>
      <c r="CJ45" s="113">
        <v>0</v>
      </c>
      <c r="CK45" s="113">
        <v>0</v>
      </c>
      <c r="CL45" s="113">
        <v>0</v>
      </c>
      <c r="CM45" s="113">
        <v>0</v>
      </c>
      <c r="CN45" s="113">
        <v>0</v>
      </c>
      <c r="CO45" s="113">
        <v>0</v>
      </c>
      <c r="CP45" s="113">
        <v>0</v>
      </c>
      <c r="CQ45" s="113">
        <v>0</v>
      </c>
      <c r="CR45" s="113">
        <v>0</v>
      </c>
      <c r="CS45" s="113">
        <v>0</v>
      </c>
      <c r="CT45" s="113">
        <v>0</v>
      </c>
      <c r="CU45" s="113">
        <v>0</v>
      </c>
      <c r="CV45" s="113">
        <v>0</v>
      </c>
      <c r="CW45" s="113">
        <v>0</v>
      </c>
      <c r="CX45" s="113">
        <v>0</v>
      </c>
      <c r="CY45" s="113">
        <v>0</v>
      </c>
      <c r="CZ45" s="113">
        <v>0</v>
      </c>
      <c r="DA45" s="113">
        <v>0</v>
      </c>
      <c r="DB45" s="113">
        <v>0</v>
      </c>
      <c r="DC45" s="113">
        <v>0</v>
      </c>
      <c r="DD45" s="113">
        <v>0</v>
      </c>
      <c r="DE45" s="113">
        <v>0</v>
      </c>
      <c r="DF45" s="113">
        <v>0</v>
      </c>
      <c r="DG45" s="113">
        <v>0</v>
      </c>
      <c r="DH45" s="113">
        <v>0</v>
      </c>
      <c r="DI45" s="113">
        <v>0</v>
      </c>
      <c r="DJ45" s="113">
        <v>0</v>
      </c>
      <c r="DK45" s="113">
        <v>0</v>
      </c>
      <c r="DL45" s="113">
        <v>0</v>
      </c>
      <c r="DM45" s="113">
        <v>0</v>
      </c>
      <c r="DN45" s="113">
        <v>0</v>
      </c>
      <c r="DO45" s="113">
        <v>0</v>
      </c>
      <c r="DP45" s="113">
        <v>0</v>
      </c>
      <c r="DQ45" s="113">
        <v>0</v>
      </c>
      <c r="DR45" s="113">
        <v>0</v>
      </c>
      <c r="DS45" s="113">
        <v>0</v>
      </c>
      <c r="DT45" s="113">
        <v>0</v>
      </c>
      <c r="DU45" s="113">
        <v>0</v>
      </c>
      <c r="DV45" s="113">
        <v>0</v>
      </c>
      <c r="DW45" s="113">
        <v>0</v>
      </c>
      <c r="DX45" s="113">
        <v>0</v>
      </c>
      <c r="DY45" s="113">
        <v>0</v>
      </c>
      <c r="DZ45" s="113">
        <v>0</v>
      </c>
      <c r="EA45" s="113">
        <v>0</v>
      </c>
      <c r="EB45" s="113">
        <v>0</v>
      </c>
      <c r="EC45" s="113">
        <v>0</v>
      </c>
      <c r="ED45" s="113">
        <v>0</v>
      </c>
      <c r="EE45" s="113">
        <v>0</v>
      </c>
      <c r="EF45" s="113">
        <v>0</v>
      </c>
      <c r="EG45" s="113">
        <v>0</v>
      </c>
      <c r="EH45" s="113">
        <v>0</v>
      </c>
      <c r="EI45" s="113">
        <v>0</v>
      </c>
      <c r="EJ45" s="113">
        <v>0</v>
      </c>
      <c r="EK45" s="113">
        <v>0</v>
      </c>
      <c r="EL45" s="113">
        <v>0</v>
      </c>
      <c r="EM45" s="113">
        <v>0</v>
      </c>
      <c r="EN45" s="113">
        <v>0</v>
      </c>
      <c r="EO45" s="113">
        <v>0</v>
      </c>
      <c r="EP45" s="113">
        <v>0</v>
      </c>
      <c r="EQ45" s="113">
        <v>0</v>
      </c>
      <c r="ER45" s="113">
        <v>0</v>
      </c>
      <c r="ES45" s="113">
        <v>0</v>
      </c>
      <c r="ET45" s="113">
        <v>0</v>
      </c>
      <c r="EU45" s="113">
        <v>0</v>
      </c>
      <c r="EV45" s="113">
        <v>0</v>
      </c>
      <c r="EW45" s="113">
        <v>0</v>
      </c>
      <c r="EX45" s="113">
        <v>0</v>
      </c>
      <c r="EY45" s="113">
        <v>0</v>
      </c>
      <c r="EZ45" s="113">
        <v>0</v>
      </c>
      <c r="FA45" s="113">
        <v>0</v>
      </c>
      <c r="FB45" s="113">
        <v>0</v>
      </c>
      <c r="FC45" s="113">
        <v>0</v>
      </c>
      <c r="FD45" s="113">
        <v>0</v>
      </c>
      <c r="FE45" s="113">
        <v>0</v>
      </c>
      <c r="FF45" s="113">
        <v>0</v>
      </c>
      <c r="FG45" s="113">
        <v>0</v>
      </c>
      <c r="FH45" s="113">
        <v>0</v>
      </c>
      <c r="FI45" s="113">
        <v>0</v>
      </c>
      <c r="FJ45" s="113">
        <v>0</v>
      </c>
      <c r="FK45" s="113">
        <v>0</v>
      </c>
      <c r="FL45" s="113">
        <v>0</v>
      </c>
      <c r="FM45" s="113">
        <v>0</v>
      </c>
      <c r="FN45" s="113">
        <v>0</v>
      </c>
      <c r="FO45" s="113">
        <v>0</v>
      </c>
      <c r="FP45" s="113">
        <v>0</v>
      </c>
      <c r="FQ45" s="113">
        <v>0</v>
      </c>
      <c r="FR45" s="113">
        <v>0</v>
      </c>
      <c r="FS45" s="113">
        <v>0</v>
      </c>
      <c r="FT45" s="113">
        <v>0</v>
      </c>
      <c r="FU45" s="113">
        <v>0</v>
      </c>
      <c r="FV45" s="113">
        <v>0</v>
      </c>
      <c r="FW45" s="113">
        <v>0</v>
      </c>
      <c r="FX45" s="32">
        <v>0</v>
      </c>
      <c r="FY45" s="30">
        <v>0</v>
      </c>
      <c r="FZ45" s="30">
        <v>0</v>
      </c>
    </row>
    <row r="46" spans="1:182" x14ac:dyDescent="0.2">
      <c r="A46" s="28">
        <v>32964</v>
      </c>
      <c r="B46" s="28"/>
      <c r="C46" s="29">
        <v>390044</v>
      </c>
      <c r="D46" s="29">
        <v>242367</v>
      </c>
      <c r="E46" s="29">
        <f t="shared" si="0"/>
        <v>632411</v>
      </c>
      <c r="F46" s="30">
        <v>3316767</v>
      </c>
      <c r="G46" s="30">
        <v>0</v>
      </c>
      <c r="H46" s="30">
        <f t="shared" si="1"/>
        <v>3316767</v>
      </c>
      <c r="I46" s="42" t="s">
        <v>75</v>
      </c>
      <c r="J46" s="42" t="s">
        <v>75</v>
      </c>
      <c r="K46" s="32">
        <v>2021961</v>
      </c>
      <c r="L46" s="31" t="s">
        <v>75</v>
      </c>
      <c r="M46" s="31" t="s">
        <v>75</v>
      </c>
      <c r="N46" s="30">
        <v>9013249</v>
      </c>
      <c r="O46" s="31" t="s">
        <v>75</v>
      </c>
      <c r="P46" s="31" t="s">
        <v>75</v>
      </c>
      <c r="Q46" s="30">
        <v>8031036</v>
      </c>
      <c r="R46" s="31" t="s">
        <v>75</v>
      </c>
      <c r="S46" s="31" t="s">
        <v>75</v>
      </c>
      <c r="T46" s="32">
        <v>184181</v>
      </c>
      <c r="U46" s="31" t="s">
        <v>75</v>
      </c>
      <c r="V46" s="31" t="s">
        <v>75</v>
      </c>
      <c r="W46" s="31" t="s">
        <v>75</v>
      </c>
      <c r="X46" s="31" t="s">
        <v>75</v>
      </c>
      <c r="Y46" s="31" t="s">
        <v>75</v>
      </c>
      <c r="Z46" s="30">
        <v>147666</v>
      </c>
      <c r="AA46" s="31" t="s">
        <v>75</v>
      </c>
      <c r="AB46" s="31" t="s">
        <v>75</v>
      </c>
      <c r="AC46" s="30">
        <v>493938</v>
      </c>
      <c r="AD46" s="31" t="s">
        <v>75</v>
      </c>
      <c r="AE46" s="31" t="s">
        <v>75</v>
      </c>
      <c r="AF46" s="30">
        <v>9803</v>
      </c>
      <c r="AG46" s="42" t="s">
        <v>75</v>
      </c>
      <c r="AH46" s="42" t="s">
        <v>75</v>
      </c>
      <c r="AI46" s="32">
        <v>115617</v>
      </c>
      <c r="AJ46" s="31" t="s">
        <v>75</v>
      </c>
      <c r="AK46" s="31" t="s">
        <v>75</v>
      </c>
      <c r="AL46" s="31" t="s">
        <v>75</v>
      </c>
      <c r="AM46" s="31"/>
      <c r="AN46" s="31"/>
      <c r="AO46" s="31"/>
      <c r="AP46" s="31"/>
      <c r="AQ46" s="31"/>
      <c r="AR46" s="31"/>
      <c r="AS46" s="31" t="s">
        <v>75</v>
      </c>
      <c r="AT46" s="31" t="s">
        <v>75</v>
      </c>
      <c r="AU46" s="31" t="s">
        <v>75</v>
      </c>
      <c r="AV46" s="31" t="s">
        <v>75</v>
      </c>
      <c r="AW46" s="31" t="s">
        <v>75</v>
      </c>
      <c r="AX46" s="31" t="s">
        <v>75</v>
      </c>
      <c r="AY46" s="31" t="s">
        <v>75</v>
      </c>
      <c r="AZ46" s="31" t="s">
        <v>75</v>
      </c>
      <c r="BA46" s="31" t="s">
        <v>75</v>
      </c>
      <c r="BB46" s="31" t="s">
        <v>75</v>
      </c>
      <c r="BC46" s="31" t="s">
        <v>75</v>
      </c>
      <c r="BD46" s="31" t="s">
        <v>75</v>
      </c>
      <c r="BE46" s="113">
        <v>0</v>
      </c>
      <c r="BF46" s="113">
        <v>0</v>
      </c>
      <c r="BG46" s="113">
        <v>0</v>
      </c>
      <c r="BH46" s="113">
        <v>0</v>
      </c>
      <c r="BI46" s="113">
        <v>0</v>
      </c>
      <c r="BJ46" s="113">
        <v>0</v>
      </c>
      <c r="BK46" s="113">
        <v>0</v>
      </c>
      <c r="BL46" s="113">
        <v>0</v>
      </c>
      <c r="BM46" s="113">
        <v>0</v>
      </c>
      <c r="BN46" s="113">
        <v>0</v>
      </c>
      <c r="BO46" s="113">
        <v>0</v>
      </c>
      <c r="BP46" s="113">
        <v>0</v>
      </c>
      <c r="BQ46" s="113">
        <v>0</v>
      </c>
      <c r="BR46" s="113">
        <v>0</v>
      </c>
      <c r="BS46" s="113">
        <v>0</v>
      </c>
      <c r="BT46" s="113">
        <v>0</v>
      </c>
      <c r="BU46" s="113">
        <v>0</v>
      </c>
      <c r="BV46" s="113">
        <v>0</v>
      </c>
      <c r="BW46" s="113"/>
      <c r="BX46" s="113"/>
      <c r="BY46" s="113"/>
      <c r="BZ46" s="113">
        <v>0</v>
      </c>
      <c r="CA46" s="113">
        <v>0</v>
      </c>
      <c r="CB46" s="113">
        <v>0</v>
      </c>
      <c r="CC46" s="113"/>
      <c r="CD46" s="113"/>
      <c r="CE46" s="113"/>
      <c r="CF46" s="113">
        <v>0</v>
      </c>
      <c r="CG46" s="113">
        <v>0</v>
      </c>
      <c r="CH46" s="113">
        <v>0</v>
      </c>
      <c r="CI46" s="113">
        <v>0</v>
      </c>
      <c r="CJ46" s="113">
        <v>0</v>
      </c>
      <c r="CK46" s="113">
        <v>0</v>
      </c>
      <c r="CL46" s="113">
        <v>0</v>
      </c>
      <c r="CM46" s="113">
        <v>0</v>
      </c>
      <c r="CN46" s="113">
        <v>0</v>
      </c>
      <c r="CO46" s="113">
        <v>0</v>
      </c>
      <c r="CP46" s="113">
        <v>0</v>
      </c>
      <c r="CQ46" s="113">
        <v>0</v>
      </c>
      <c r="CR46" s="113">
        <v>0</v>
      </c>
      <c r="CS46" s="113">
        <v>0</v>
      </c>
      <c r="CT46" s="113">
        <v>0</v>
      </c>
      <c r="CU46" s="113">
        <v>0</v>
      </c>
      <c r="CV46" s="113">
        <v>0</v>
      </c>
      <c r="CW46" s="113">
        <v>0</v>
      </c>
      <c r="CX46" s="113">
        <v>0</v>
      </c>
      <c r="CY46" s="113">
        <v>0</v>
      </c>
      <c r="CZ46" s="113">
        <v>0</v>
      </c>
      <c r="DA46" s="113">
        <v>0</v>
      </c>
      <c r="DB46" s="113">
        <v>0</v>
      </c>
      <c r="DC46" s="113">
        <v>0</v>
      </c>
      <c r="DD46" s="113">
        <v>0</v>
      </c>
      <c r="DE46" s="113">
        <v>0</v>
      </c>
      <c r="DF46" s="113">
        <v>0</v>
      </c>
      <c r="DG46" s="113">
        <v>0</v>
      </c>
      <c r="DH46" s="113">
        <v>0</v>
      </c>
      <c r="DI46" s="113">
        <v>0</v>
      </c>
      <c r="DJ46" s="113">
        <v>0</v>
      </c>
      <c r="DK46" s="113">
        <v>0</v>
      </c>
      <c r="DL46" s="113">
        <v>0</v>
      </c>
      <c r="DM46" s="113">
        <v>0</v>
      </c>
      <c r="DN46" s="113">
        <v>0</v>
      </c>
      <c r="DO46" s="113">
        <v>0</v>
      </c>
      <c r="DP46" s="113">
        <v>0</v>
      </c>
      <c r="DQ46" s="113">
        <v>0</v>
      </c>
      <c r="DR46" s="113">
        <v>0</v>
      </c>
      <c r="DS46" s="113">
        <v>0</v>
      </c>
      <c r="DT46" s="113">
        <v>0</v>
      </c>
      <c r="DU46" s="113">
        <v>0</v>
      </c>
      <c r="DV46" s="113">
        <v>0</v>
      </c>
      <c r="DW46" s="113">
        <v>0</v>
      </c>
      <c r="DX46" s="113">
        <v>0</v>
      </c>
      <c r="DY46" s="113">
        <v>0</v>
      </c>
      <c r="DZ46" s="113">
        <v>0</v>
      </c>
      <c r="EA46" s="113">
        <v>0</v>
      </c>
      <c r="EB46" s="113">
        <v>0</v>
      </c>
      <c r="EC46" s="113">
        <v>0</v>
      </c>
      <c r="ED46" s="113">
        <v>0</v>
      </c>
      <c r="EE46" s="113">
        <v>0</v>
      </c>
      <c r="EF46" s="113">
        <v>0</v>
      </c>
      <c r="EG46" s="113">
        <v>0</v>
      </c>
      <c r="EH46" s="113">
        <v>0</v>
      </c>
      <c r="EI46" s="113">
        <v>0</v>
      </c>
      <c r="EJ46" s="113">
        <v>0</v>
      </c>
      <c r="EK46" s="113">
        <v>0</v>
      </c>
      <c r="EL46" s="113">
        <v>0</v>
      </c>
      <c r="EM46" s="113">
        <v>0</v>
      </c>
      <c r="EN46" s="113">
        <v>0</v>
      </c>
      <c r="EO46" s="113">
        <v>0</v>
      </c>
      <c r="EP46" s="113">
        <v>0</v>
      </c>
      <c r="EQ46" s="113">
        <v>0</v>
      </c>
      <c r="ER46" s="113">
        <v>0</v>
      </c>
      <c r="ES46" s="113">
        <v>0</v>
      </c>
      <c r="ET46" s="113">
        <v>0</v>
      </c>
      <c r="EU46" s="113">
        <v>0</v>
      </c>
      <c r="EV46" s="113">
        <v>0</v>
      </c>
      <c r="EW46" s="113">
        <v>0</v>
      </c>
      <c r="EX46" s="113">
        <v>0</v>
      </c>
      <c r="EY46" s="113">
        <v>0</v>
      </c>
      <c r="EZ46" s="113">
        <v>0</v>
      </c>
      <c r="FA46" s="113">
        <v>0</v>
      </c>
      <c r="FB46" s="113">
        <v>0</v>
      </c>
      <c r="FC46" s="113">
        <v>0</v>
      </c>
      <c r="FD46" s="113">
        <v>0</v>
      </c>
      <c r="FE46" s="113">
        <v>0</v>
      </c>
      <c r="FF46" s="113">
        <v>0</v>
      </c>
      <c r="FG46" s="113">
        <v>0</v>
      </c>
      <c r="FH46" s="113">
        <v>0</v>
      </c>
      <c r="FI46" s="113">
        <v>0</v>
      </c>
      <c r="FJ46" s="113">
        <v>0</v>
      </c>
      <c r="FK46" s="113">
        <v>0</v>
      </c>
      <c r="FL46" s="113">
        <v>0</v>
      </c>
      <c r="FM46" s="113">
        <v>0</v>
      </c>
      <c r="FN46" s="113">
        <v>0</v>
      </c>
      <c r="FO46" s="113">
        <v>0</v>
      </c>
      <c r="FP46" s="113">
        <v>0</v>
      </c>
      <c r="FQ46" s="113">
        <v>0</v>
      </c>
      <c r="FR46" s="113">
        <v>0</v>
      </c>
      <c r="FS46" s="113">
        <v>0</v>
      </c>
      <c r="FT46" s="113">
        <v>0</v>
      </c>
      <c r="FU46" s="113">
        <v>0</v>
      </c>
      <c r="FV46" s="113">
        <v>0</v>
      </c>
      <c r="FW46" s="113">
        <v>0</v>
      </c>
      <c r="FX46" s="32">
        <v>0</v>
      </c>
      <c r="FY46" s="30">
        <v>0</v>
      </c>
      <c r="FZ46" s="30">
        <v>0</v>
      </c>
    </row>
    <row r="47" spans="1:182" x14ac:dyDescent="0.2">
      <c r="A47" s="28">
        <v>32994</v>
      </c>
      <c r="B47" s="28"/>
      <c r="C47" s="29">
        <v>229999</v>
      </c>
      <c r="D47" s="29">
        <v>114410</v>
      </c>
      <c r="E47" s="29">
        <f t="shared" si="0"/>
        <v>344409</v>
      </c>
      <c r="F47" s="30">
        <v>2401312</v>
      </c>
      <c r="G47" s="30">
        <v>0</v>
      </c>
      <c r="H47" s="30">
        <f t="shared" si="1"/>
        <v>2401312</v>
      </c>
      <c r="I47" s="42" t="s">
        <v>75</v>
      </c>
      <c r="J47" s="42" t="s">
        <v>75</v>
      </c>
      <c r="K47" s="32">
        <v>1711880</v>
      </c>
      <c r="L47" s="31" t="s">
        <v>75</v>
      </c>
      <c r="M47" s="31" t="s">
        <v>75</v>
      </c>
      <c r="N47" s="30">
        <v>7906514</v>
      </c>
      <c r="O47" s="31" t="s">
        <v>75</v>
      </c>
      <c r="P47" s="31" t="s">
        <v>75</v>
      </c>
      <c r="Q47" s="30">
        <v>6934705</v>
      </c>
      <c r="R47" s="31" t="s">
        <v>75</v>
      </c>
      <c r="S47" s="31" t="s">
        <v>75</v>
      </c>
      <c r="T47" s="32">
        <v>196715</v>
      </c>
      <c r="U47" s="31" t="s">
        <v>75</v>
      </c>
      <c r="V47" s="31" t="s">
        <v>75</v>
      </c>
      <c r="W47" s="31" t="s">
        <v>75</v>
      </c>
      <c r="X47" s="31" t="s">
        <v>75</v>
      </c>
      <c r="Y47" s="31" t="s">
        <v>75</v>
      </c>
      <c r="Z47" s="30">
        <v>109547</v>
      </c>
      <c r="AA47" s="31" t="s">
        <v>75</v>
      </c>
      <c r="AB47" s="31" t="s">
        <v>75</v>
      </c>
      <c r="AC47" s="30">
        <v>431234</v>
      </c>
      <c r="AD47" s="31" t="s">
        <v>75</v>
      </c>
      <c r="AE47" s="31" t="s">
        <v>75</v>
      </c>
      <c r="AF47" s="30">
        <v>7948</v>
      </c>
      <c r="AG47" s="42" t="s">
        <v>75</v>
      </c>
      <c r="AH47" s="42" t="s">
        <v>75</v>
      </c>
      <c r="AI47" s="32">
        <v>85807</v>
      </c>
      <c r="AJ47" s="31" t="s">
        <v>75</v>
      </c>
      <c r="AK47" s="31" t="s">
        <v>75</v>
      </c>
      <c r="AL47" s="31" t="s">
        <v>75</v>
      </c>
      <c r="AM47" s="31"/>
      <c r="AN47" s="31"/>
      <c r="AO47" s="31"/>
      <c r="AP47" s="31"/>
      <c r="AQ47" s="31"/>
      <c r="AR47" s="31"/>
      <c r="AS47" s="31" t="s">
        <v>75</v>
      </c>
      <c r="AT47" s="31" t="s">
        <v>75</v>
      </c>
      <c r="AU47" s="31" t="s">
        <v>75</v>
      </c>
      <c r="AV47" s="31" t="s">
        <v>75</v>
      </c>
      <c r="AW47" s="31" t="s">
        <v>75</v>
      </c>
      <c r="AX47" s="31" t="s">
        <v>75</v>
      </c>
      <c r="AY47" s="31" t="s">
        <v>75</v>
      </c>
      <c r="AZ47" s="31" t="s">
        <v>75</v>
      </c>
      <c r="BA47" s="31" t="s">
        <v>75</v>
      </c>
      <c r="BB47" s="31" t="s">
        <v>75</v>
      </c>
      <c r="BC47" s="31" t="s">
        <v>75</v>
      </c>
      <c r="BD47" s="31" t="s">
        <v>75</v>
      </c>
      <c r="BE47" s="113">
        <v>0</v>
      </c>
      <c r="BF47" s="113">
        <v>0</v>
      </c>
      <c r="BG47" s="113">
        <v>0</v>
      </c>
      <c r="BH47" s="113">
        <v>0</v>
      </c>
      <c r="BI47" s="113">
        <v>0</v>
      </c>
      <c r="BJ47" s="113">
        <v>0</v>
      </c>
      <c r="BK47" s="113">
        <v>0</v>
      </c>
      <c r="BL47" s="113">
        <v>0</v>
      </c>
      <c r="BM47" s="113">
        <v>0</v>
      </c>
      <c r="BN47" s="113">
        <v>0</v>
      </c>
      <c r="BO47" s="113">
        <v>0</v>
      </c>
      <c r="BP47" s="113">
        <v>0</v>
      </c>
      <c r="BQ47" s="113">
        <v>0</v>
      </c>
      <c r="BR47" s="113">
        <v>0</v>
      </c>
      <c r="BS47" s="113">
        <v>0</v>
      </c>
      <c r="BT47" s="113">
        <v>0</v>
      </c>
      <c r="BU47" s="113">
        <v>0</v>
      </c>
      <c r="BV47" s="113">
        <v>0</v>
      </c>
      <c r="BW47" s="113"/>
      <c r="BX47" s="113"/>
      <c r="BY47" s="113"/>
      <c r="BZ47" s="113">
        <v>0</v>
      </c>
      <c r="CA47" s="113">
        <v>0</v>
      </c>
      <c r="CB47" s="113">
        <v>0</v>
      </c>
      <c r="CC47" s="113"/>
      <c r="CD47" s="113"/>
      <c r="CE47" s="113"/>
      <c r="CF47" s="113">
        <v>0</v>
      </c>
      <c r="CG47" s="113">
        <v>0</v>
      </c>
      <c r="CH47" s="113">
        <v>0</v>
      </c>
      <c r="CI47" s="113">
        <v>0</v>
      </c>
      <c r="CJ47" s="113">
        <v>0</v>
      </c>
      <c r="CK47" s="113">
        <v>0</v>
      </c>
      <c r="CL47" s="113">
        <v>0</v>
      </c>
      <c r="CM47" s="113">
        <v>0</v>
      </c>
      <c r="CN47" s="113">
        <v>0</v>
      </c>
      <c r="CO47" s="113">
        <v>0</v>
      </c>
      <c r="CP47" s="113">
        <v>0</v>
      </c>
      <c r="CQ47" s="113">
        <v>0</v>
      </c>
      <c r="CR47" s="113">
        <v>0</v>
      </c>
      <c r="CS47" s="113">
        <v>0</v>
      </c>
      <c r="CT47" s="113">
        <v>0</v>
      </c>
      <c r="CU47" s="113">
        <v>0</v>
      </c>
      <c r="CV47" s="113">
        <v>0</v>
      </c>
      <c r="CW47" s="113">
        <v>0</v>
      </c>
      <c r="CX47" s="113">
        <v>0</v>
      </c>
      <c r="CY47" s="113">
        <v>0</v>
      </c>
      <c r="CZ47" s="113">
        <v>0</v>
      </c>
      <c r="DA47" s="113">
        <v>0</v>
      </c>
      <c r="DB47" s="113">
        <v>0</v>
      </c>
      <c r="DC47" s="113">
        <v>0</v>
      </c>
      <c r="DD47" s="113">
        <v>0</v>
      </c>
      <c r="DE47" s="113">
        <v>0</v>
      </c>
      <c r="DF47" s="113">
        <v>0</v>
      </c>
      <c r="DG47" s="113">
        <v>0</v>
      </c>
      <c r="DH47" s="113">
        <v>0</v>
      </c>
      <c r="DI47" s="113">
        <v>0</v>
      </c>
      <c r="DJ47" s="113">
        <v>0</v>
      </c>
      <c r="DK47" s="113">
        <v>0</v>
      </c>
      <c r="DL47" s="113">
        <v>0</v>
      </c>
      <c r="DM47" s="113">
        <v>0</v>
      </c>
      <c r="DN47" s="113">
        <v>0</v>
      </c>
      <c r="DO47" s="113">
        <v>0</v>
      </c>
      <c r="DP47" s="113">
        <v>0</v>
      </c>
      <c r="DQ47" s="113">
        <v>0</v>
      </c>
      <c r="DR47" s="113">
        <v>0</v>
      </c>
      <c r="DS47" s="113">
        <v>0</v>
      </c>
      <c r="DT47" s="113">
        <v>0</v>
      </c>
      <c r="DU47" s="113">
        <v>0</v>
      </c>
      <c r="DV47" s="113">
        <v>0</v>
      </c>
      <c r="DW47" s="113">
        <v>0</v>
      </c>
      <c r="DX47" s="113">
        <v>0</v>
      </c>
      <c r="DY47" s="113">
        <v>0</v>
      </c>
      <c r="DZ47" s="113">
        <v>0</v>
      </c>
      <c r="EA47" s="113">
        <v>0</v>
      </c>
      <c r="EB47" s="113">
        <v>0</v>
      </c>
      <c r="EC47" s="113">
        <v>0</v>
      </c>
      <c r="ED47" s="113">
        <v>0</v>
      </c>
      <c r="EE47" s="113">
        <v>0</v>
      </c>
      <c r="EF47" s="113">
        <v>0</v>
      </c>
      <c r="EG47" s="113">
        <v>0</v>
      </c>
      <c r="EH47" s="113">
        <v>0</v>
      </c>
      <c r="EI47" s="113">
        <v>0</v>
      </c>
      <c r="EJ47" s="113">
        <v>0</v>
      </c>
      <c r="EK47" s="113">
        <v>0</v>
      </c>
      <c r="EL47" s="113">
        <v>0</v>
      </c>
      <c r="EM47" s="113">
        <v>0</v>
      </c>
      <c r="EN47" s="113">
        <v>0</v>
      </c>
      <c r="EO47" s="113">
        <v>0</v>
      </c>
      <c r="EP47" s="113">
        <v>0</v>
      </c>
      <c r="EQ47" s="113">
        <v>0</v>
      </c>
      <c r="ER47" s="113">
        <v>0</v>
      </c>
      <c r="ES47" s="113">
        <v>0</v>
      </c>
      <c r="ET47" s="113">
        <v>0</v>
      </c>
      <c r="EU47" s="113">
        <v>0</v>
      </c>
      <c r="EV47" s="113">
        <v>0</v>
      </c>
      <c r="EW47" s="113">
        <v>0</v>
      </c>
      <c r="EX47" s="113">
        <v>0</v>
      </c>
      <c r="EY47" s="113">
        <v>0</v>
      </c>
      <c r="EZ47" s="113">
        <v>0</v>
      </c>
      <c r="FA47" s="113">
        <v>0</v>
      </c>
      <c r="FB47" s="113">
        <v>0</v>
      </c>
      <c r="FC47" s="113">
        <v>0</v>
      </c>
      <c r="FD47" s="113">
        <v>0</v>
      </c>
      <c r="FE47" s="113">
        <v>0</v>
      </c>
      <c r="FF47" s="113">
        <v>0</v>
      </c>
      <c r="FG47" s="113">
        <v>0</v>
      </c>
      <c r="FH47" s="113">
        <v>0</v>
      </c>
      <c r="FI47" s="113">
        <v>0</v>
      </c>
      <c r="FJ47" s="113">
        <v>0</v>
      </c>
      <c r="FK47" s="113">
        <v>0</v>
      </c>
      <c r="FL47" s="113">
        <v>0</v>
      </c>
      <c r="FM47" s="113">
        <v>0</v>
      </c>
      <c r="FN47" s="113">
        <v>0</v>
      </c>
      <c r="FO47" s="113">
        <v>0</v>
      </c>
      <c r="FP47" s="113">
        <v>0</v>
      </c>
      <c r="FQ47" s="113">
        <v>0</v>
      </c>
      <c r="FR47" s="113">
        <v>0</v>
      </c>
      <c r="FS47" s="113">
        <v>0</v>
      </c>
      <c r="FT47" s="113">
        <v>0</v>
      </c>
      <c r="FU47" s="113">
        <v>0</v>
      </c>
      <c r="FV47" s="113">
        <v>0</v>
      </c>
      <c r="FW47" s="113">
        <v>0</v>
      </c>
      <c r="FX47" s="32">
        <v>0</v>
      </c>
      <c r="FY47" s="30">
        <v>0</v>
      </c>
      <c r="FZ47" s="30">
        <v>0</v>
      </c>
    </row>
    <row r="48" spans="1:182" x14ac:dyDescent="0.2">
      <c r="A48" s="28">
        <v>33025</v>
      </c>
      <c r="B48" s="28"/>
      <c r="C48" s="29">
        <v>273524</v>
      </c>
      <c r="D48" s="29">
        <v>210499</v>
      </c>
      <c r="E48" s="29">
        <f t="shared" si="0"/>
        <v>484023</v>
      </c>
      <c r="F48" s="30">
        <v>1442760</v>
      </c>
      <c r="G48" s="30">
        <v>0</v>
      </c>
      <c r="H48" s="30">
        <f t="shared" si="1"/>
        <v>1442760</v>
      </c>
      <c r="I48" s="42" t="s">
        <v>75</v>
      </c>
      <c r="J48" s="42" t="s">
        <v>75</v>
      </c>
      <c r="K48" s="32">
        <v>1476671</v>
      </c>
      <c r="L48" s="31" t="s">
        <v>75</v>
      </c>
      <c r="M48" s="31" t="s">
        <v>75</v>
      </c>
      <c r="N48" s="30">
        <v>7412150</v>
      </c>
      <c r="O48" s="31" t="s">
        <v>75</v>
      </c>
      <c r="P48" s="31" t="s">
        <v>75</v>
      </c>
      <c r="Q48" s="30">
        <v>6764164</v>
      </c>
      <c r="R48" s="31" t="s">
        <v>75</v>
      </c>
      <c r="S48" s="31" t="s">
        <v>75</v>
      </c>
      <c r="T48" s="32">
        <v>179946</v>
      </c>
      <c r="U48" s="31" t="s">
        <v>75</v>
      </c>
      <c r="V48" s="31" t="s">
        <v>75</v>
      </c>
      <c r="W48" s="31" t="s">
        <v>75</v>
      </c>
      <c r="X48" s="31" t="s">
        <v>75</v>
      </c>
      <c r="Y48" s="31" t="s">
        <v>75</v>
      </c>
      <c r="Z48" s="30">
        <v>134172</v>
      </c>
      <c r="AA48" s="31" t="s">
        <v>75</v>
      </c>
      <c r="AB48" s="31" t="s">
        <v>75</v>
      </c>
      <c r="AC48" s="30">
        <v>541897</v>
      </c>
      <c r="AD48" s="31" t="s">
        <v>75</v>
      </c>
      <c r="AE48" s="31" t="s">
        <v>75</v>
      </c>
      <c r="AF48" s="30">
        <v>9193</v>
      </c>
      <c r="AG48" s="42" t="s">
        <v>75</v>
      </c>
      <c r="AH48" s="42" t="s">
        <v>75</v>
      </c>
      <c r="AI48" s="32">
        <v>110152</v>
      </c>
      <c r="AJ48" s="31" t="s">
        <v>75</v>
      </c>
      <c r="AK48" s="31" t="s">
        <v>75</v>
      </c>
      <c r="AL48" s="31" t="s">
        <v>75</v>
      </c>
      <c r="AM48" s="31"/>
      <c r="AN48" s="31"/>
      <c r="AO48" s="31"/>
      <c r="AP48" s="31"/>
      <c r="AQ48" s="31"/>
      <c r="AR48" s="31"/>
      <c r="AS48" s="31" t="s">
        <v>75</v>
      </c>
      <c r="AT48" s="31" t="s">
        <v>75</v>
      </c>
      <c r="AU48" s="31" t="s">
        <v>75</v>
      </c>
      <c r="AV48" s="31" t="s">
        <v>75</v>
      </c>
      <c r="AW48" s="31" t="s">
        <v>75</v>
      </c>
      <c r="AX48" s="31" t="s">
        <v>75</v>
      </c>
      <c r="AY48" s="31" t="s">
        <v>75</v>
      </c>
      <c r="AZ48" s="31" t="s">
        <v>75</v>
      </c>
      <c r="BA48" s="31" t="s">
        <v>75</v>
      </c>
      <c r="BB48" s="31" t="s">
        <v>75</v>
      </c>
      <c r="BC48" s="31" t="s">
        <v>75</v>
      </c>
      <c r="BD48" s="31" t="s">
        <v>75</v>
      </c>
      <c r="BE48" s="113">
        <v>0</v>
      </c>
      <c r="BF48" s="113">
        <v>0</v>
      </c>
      <c r="BG48" s="113">
        <v>0</v>
      </c>
      <c r="BH48" s="113">
        <v>0</v>
      </c>
      <c r="BI48" s="113">
        <v>0</v>
      </c>
      <c r="BJ48" s="113">
        <v>0</v>
      </c>
      <c r="BK48" s="113">
        <v>0</v>
      </c>
      <c r="BL48" s="113">
        <v>0</v>
      </c>
      <c r="BM48" s="113">
        <v>0</v>
      </c>
      <c r="BN48" s="113">
        <v>0</v>
      </c>
      <c r="BO48" s="113">
        <v>0</v>
      </c>
      <c r="BP48" s="113">
        <v>0</v>
      </c>
      <c r="BQ48" s="113">
        <v>0</v>
      </c>
      <c r="BR48" s="113">
        <v>0</v>
      </c>
      <c r="BS48" s="113">
        <v>0</v>
      </c>
      <c r="BT48" s="113">
        <v>0</v>
      </c>
      <c r="BU48" s="113">
        <v>0</v>
      </c>
      <c r="BV48" s="113">
        <v>0</v>
      </c>
      <c r="BW48" s="113"/>
      <c r="BX48" s="113"/>
      <c r="BY48" s="113"/>
      <c r="BZ48" s="113">
        <v>0</v>
      </c>
      <c r="CA48" s="113">
        <v>0</v>
      </c>
      <c r="CB48" s="113">
        <v>0</v>
      </c>
      <c r="CC48" s="113"/>
      <c r="CD48" s="113"/>
      <c r="CE48" s="113"/>
      <c r="CF48" s="113">
        <v>0</v>
      </c>
      <c r="CG48" s="113">
        <v>0</v>
      </c>
      <c r="CH48" s="113">
        <v>0</v>
      </c>
      <c r="CI48" s="113">
        <v>0</v>
      </c>
      <c r="CJ48" s="113">
        <v>0</v>
      </c>
      <c r="CK48" s="113">
        <v>0</v>
      </c>
      <c r="CL48" s="113">
        <v>0</v>
      </c>
      <c r="CM48" s="113">
        <v>0</v>
      </c>
      <c r="CN48" s="113">
        <v>0</v>
      </c>
      <c r="CO48" s="113">
        <v>0</v>
      </c>
      <c r="CP48" s="113">
        <v>0</v>
      </c>
      <c r="CQ48" s="113">
        <v>0</v>
      </c>
      <c r="CR48" s="113">
        <v>0</v>
      </c>
      <c r="CS48" s="113">
        <v>0</v>
      </c>
      <c r="CT48" s="113">
        <v>0</v>
      </c>
      <c r="CU48" s="113">
        <v>0</v>
      </c>
      <c r="CV48" s="113">
        <v>0</v>
      </c>
      <c r="CW48" s="113">
        <v>0</v>
      </c>
      <c r="CX48" s="113">
        <v>0</v>
      </c>
      <c r="CY48" s="113">
        <v>0</v>
      </c>
      <c r="CZ48" s="113">
        <v>0</v>
      </c>
      <c r="DA48" s="113">
        <v>0</v>
      </c>
      <c r="DB48" s="113">
        <v>0</v>
      </c>
      <c r="DC48" s="113">
        <v>0</v>
      </c>
      <c r="DD48" s="113">
        <v>0</v>
      </c>
      <c r="DE48" s="113">
        <v>0</v>
      </c>
      <c r="DF48" s="113">
        <v>0</v>
      </c>
      <c r="DG48" s="113">
        <v>0</v>
      </c>
      <c r="DH48" s="113">
        <v>0</v>
      </c>
      <c r="DI48" s="113">
        <v>0</v>
      </c>
      <c r="DJ48" s="113">
        <v>0</v>
      </c>
      <c r="DK48" s="113">
        <v>0</v>
      </c>
      <c r="DL48" s="113">
        <v>0</v>
      </c>
      <c r="DM48" s="113">
        <v>0</v>
      </c>
      <c r="DN48" s="113">
        <v>0</v>
      </c>
      <c r="DO48" s="113">
        <v>0</v>
      </c>
      <c r="DP48" s="113">
        <v>0</v>
      </c>
      <c r="DQ48" s="113">
        <v>0</v>
      </c>
      <c r="DR48" s="113">
        <v>0</v>
      </c>
      <c r="DS48" s="113">
        <v>0</v>
      </c>
      <c r="DT48" s="113">
        <v>0</v>
      </c>
      <c r="DU48" s="113">
        <v>0</v>
      </c>
      <c r="DV48" s="113">
        <v>0</v>
      </c>
      <c r="DW48" s="113">
        <v>0</v>
      </c>
      <c r="DX48" s="113">
        <v>0</v>
      </c>
      <c r="DY48" s="113">
        <v>0</v>
      </c>
      <c r="DZ48" s="113">
        <v>0</v>
      </c>
      <c r="EA48" s="113">
        <v>0</v>
      </c>
      <c r="EB48" s="113">
        <v>0</v>
      </c>
      <c r="EC48" s="113">
        <v>0</v>
      </c>
      <c r="ED48" s="113">
        <v>0</v>
      </c>
      <c r="EE48" s="113">
        <v>0</v>
      </c>
      <c r="EF48" s="113">
        <v>0</v>
      </c>
      <c r="EG48" s="113">
        <v>0</v>
      </c>
      <c r="EH48" s="113">
        <v>0</v>
      </c>
      <c r="EI48" s="113">
        <v>0</v>
      </c>
      <c r="EJ48" s="113">
        <v>0</v>
      </c>
      <c r="EK48" s="113">
        <v>0</v>
      </c>
      <c r="EL48" s="113">
        <v>0</v>
      </c>
      <c r="EM48" s="113">
        <v>0</v>
      </c>
      <c r="EN48" s="113">
        <v>0</v>
      </c>
      <c r="EO48" s="113">
        <v>0</v>
      </c>
      <c r="EP48" s="113">
        <v>0</v>
      </c>
      <c r="EQ48" s="113">
        <v>0</v>
      </c>
      <c r="ER48" s="113">
        <v>0</v>
      </c>
      <c r="ES48" s="113">
        <v>0</v>
      </c>
      <c r="ET48" s="113">
        <v>0</v>
      </c>
      <c r="EU48" s="113">
        <v>0</v>
      </c>
      <c r="EV48" s="113">
        <v>0</v>
      </c>
      <c r="EW48" s="113">
        <v>0</v>
      </c>
      <c r="EX48" s="113">
        <v>0</v>
      </c>
      <c r="EY48" s="113">
        <v>0</v>
      </c>
      <c r="EZ48" s="113">
        <v>0</v>
      </c>
      <c r="FA48" s="113">
        <v>0</v>
      </c>
      <c r="FB48" s="113">
        <v>0</v>
      </c>
      <c r="FC48" s="113">
        <v>0</v>
      </c>
      <c r="FD48" s="113">
        <v>0</v>
      </c>
      <c r="FE48" s="113">
        <v>0</v>
      </c>
      <c r="FF48" s="113">
        <v>0</v>
      </c>
      <c r="FG48" s="113">
        <v>0</v>
      </c>
      <c r="FH48" s="113">
        <v>0</v>
      </c>
      <c r="FI48" s="113">
        <v>0</v>
      </c>
      <c r="FJ48" s="113">
        <v>0</v>
      </c>
      <c r="FK48" s="113">
        <v>0</v>
      </c>
      <c r="FL48" s="113">
        <v>0</v>
      </c>
      <c r="FM48" s="113">
        <v>0</v>
      </c>
      <c r="FN48" s="113">
        <v>0</v>
      </c>
      <c r="FO48" s="113">
        <v>0</v>
      </c>
      <c r="FP48" s="113">
        <v>0</v>
      </c>
      <c r="FQ48" s="113">
        <v>0</v>
      </c>
      <c r="FR48" s="113">
        <v>0</v>
      </c>
      <c r="FS48" s="113">
        <v>0</v>
      </c>
      <c r="FT48" s="113">
        <v>0</v>
      </c>
      <c r="FU48" s="113">
        <v>0</v>
      </c>
      <c r="FV48" s="113">
        <v>0</v>
      </c>
      <c r="FW48" s="113">
        <v>0</v>
      </c>
      <c r="FX48" s="32">
        <v>0</v>
      </c>
      <c r="FY48" s="30">
        <v>0</v>
      </c>
      <c r="FZ48" s="30">
        <v>0</v>
      </c>
    </row>
    <row r="49" spans="1:182" x14ac:dyDescent="0.2">
      <c r="A49" s="28">
        <v>33055</v>
      </c>
      <c r="B49" s="28"/>
      <c r="C49" s="29">
        <v>137243</v>
      </c>
      <c r="D49" s="29">
        <v>68659</v>
      </c>
      <c r="E49" s="29">
        <f t="shared" si="0"/>
        <v>205902</v>
      </c>
      <c r="F49" s="30">
        <v>1875516</v>
      </c>
      <c r="G49" s="30">
        <v>0</v>
      </c>
      <c r="H49" s="30">
        <f t="shared" si="1"/>
        <v>1875516</v>
      </c>
      <c r="I49" s="42" t="s">
        <v>75</v>
      </c>
      <c r="J49" s="42" t="s">
        <v>75</v>
      </c>
      <c r="K49" s="32">
        <v>1540009</v>
      </c>
      <c r="L49" s="31" t="s">
        <v>75</v>
      </c>
      <c r="M49" s="31" t="s">
        <v>75</v>
      </c>
      <c r="N49" s="30">
        <v>7727667</v>
      </c>
      <c r="O49" s="31" t="s">
        <v>75</v>
      </c>
      <c r="P49" s="31" t="s">
        <v>75</v>
      </c>
      <c r="Q49" s="30">
        <v>6187423</v>
      </c>
      <c r="R49" s="31" t="s">
        <v>75</v>
      </c>
      <c r="S49" s="31" t="s">
        <v>75</v>
      </c>
      <c r="T49" s="32">
        <v>204245</v>
      </c>
      <c r="U49" s="31" t="s">
        <v>75</v>
      </c>
      <c r="V49" s="31" t="s">
        <v>75</v>
      </c>
      <c r="W49" s="31" t="s">
        <v>75</v>
      </c>
      <c r="X49" s="31" t="s">
        <v>75</v>
      </c>
      <c r="Y49" s="31" t="s">
        <v>75</v>
      </c>
      <c r="Z49" s="30">
        <v>124135</v>
      </c>
      <c r="AA49" s="31" t="s">
        <v>75</v>
      </c>
      <c r="AB49" s="31" t="s">
        <v>75</v>
      </c>
      <c r="AC49" s="30">
        <v>429167</v>
      </c>
      <c r="AD49" s="31" t="s">
        <v>75</v>
      </c>
      <c r="AE49" s="31" t="s">
        <v>75</v>
      </c>
      <c r="AF49" s="30">
        <v>5925</v>
      </c>
      <c r="AG49" s="42" t="s">
        <v>75</v>
      </c>
      <c r="AH49" s="42" t="s">
        <v>75</v>
      </c>
      <c r="AI49" s="32">
        <v>81675</v>
      </c>
      <c r="AJ49" s="31" t="s">
        <v>75</v>
      </c>
      <c r="AK49" s="31" t="s">
        <v>75</v>
      </c>
      <c r="AL49" s="31" t="s">
        <v>75</v>
      </c>
      <c r="AM49" s="31"/>
      <c r="AN49" s="31"/>
      <c r="AO49" s="31"/>
      <c r="AP49" s="31"/>
      <c r="AQ49" s="31"/>
      <c r="AR49" s="31"/>
      <c r="AS49" s="31" t="s">
        <v>75</v>
      </c>
      <c r="AT49" s="31" t="s">
        <v>75</v>
      </c>
      <c r="AU49" s="31" t="s">
        <v>75</v>
      </c>
      <c r="AV49" s="31" t="s">
        <v>75</v>
      </c>
      <c r="AW49" s="31" t="s">
        <v>75</v>
      </c>
      <c r="AX49" s="31" t="s">
        <v>75</v>
      </c>
      <c r="AY49" s="31" t="s">
        <v>75</v>
      </c>
      <c r="AZ49" s="31" t="s">
        <v>75</v>
      </c>
      <c r="BA49" s="31" t="s">
        <v>75</v>
      </c>
      <c r="BB49" s="31" t="s">
        <v>75</v>
      </c>
      <c r="BC49" s="31" t="s">
        <v>75</v>
      </c>
      <c r="BD49" s="31" t="s">
        <v>75</v>
      </c>
      <c r="BE49" s="113">
        <v>0</v>
      </c>
      <c r="BF49" s="113">
        <v>0</v>
      </c>
      <c r="BG49" s="113">
        <v>0</v>
      </c>
      <c r="BH49" s="113">
        <v>0</v>
      </c>
      <c r="BI49" s="113">
        <v>0</v>
      </c>
      <c r="BJ49" s="113">
        <v>0</v>
      </c>
      <c r="BK49" s="113">
        <v>0</v>
      </c>
      <c r="BL49" s="113">
        <v>0</v>
      </c>
      <c r="BM49" s="113">
        <v>0</v>
      </c>
      <c r="BN49" s="113">
        <v>0</v>
      </c>
      <c r="BO49" s="113">
        <v>0</v>
      </c>
      <c r="BP49" s="113">
        <v>0</v>
      </c>
      <c r="BQ49" s="113">
        <v>0</v>
      </c>
      <c r="BR49" s="113">
        <v>0</v>
      </c>
      <c r="BS49" s="113">
        <v>0</v>
      </c>
      <c r="BT49" s="113">
        <v>0</v>
      </c>
      <c r="BU49" s="113">
        <v>0</v>
      </c>
      <c r="BV49" s="113">
        <v>0</v>
      </c>
      <c r="BW49" s="113"/>
      <c r="BX49" s="113"/>
      <c r="BY49" s="113"/>
      <c r="BZ49" s="113">
        <v>0</v>
      </c>
      <c r="CA49" s="113">
        <v>0</v>
      </c>
      <c r="CB49" s="113">
        <v>0</v>
      </c>
      <c r="CC49" s="113"/>
      <c r="CD49" s="113"/>
      <c r="CE49" s="113"/>
      <c r="CF49" s="113">
        <v>0</v>
      </c>
      <c r="CG49" s="113">
        <v>0</v>
      </c>
      <c r="CH49" s="113">
        <v>0</v>
      </c>
      <c r="CI49" s="113">
        <v>0</v>
      </c>
      <c r="CJ49" s="113">
        <v>0</v>
      </c>
      <c r="CK49" s="113">
        <v>0</v>
      </c>
      <c r="CL49" s="113">
        <v>0</v>
      </c>
      <c r="CM49" s="113">
        <v>0</v>
      </c>
      <c r="CN49" s="113">
        <v>0</v>
      </c>
      <c r="CO49" s="113">
        <v>0</v>
      </c>
      <c r="CP49" s="113">
        <v>0</v>
      </c>
      <c r="CQ49" s="113">
        <v>0</v>
      </c>
      <c r="CR49" s="113">
        <v>0</v>
      </c>
      <c r="CS49" s="113">
        <v>0</v>
      </c>
      <c r="CT49" s="113">
        <v>0</v>
      </c>
      <c r="CU49" s="113">
        <v>0</v>
      </c>
      <c r="CV49" s="113">
        <v>0</v>
      </c>
      <c r="CW49" s="113">
        <v>0</v>
      </c>
      <c r="CX49" s="113">
        <v>0</v>
      </c>
      <c r="CY49" s="113">
        <v>0</v>
      </c>
      <c r="CZ49" s="113">
        <v>0</v>
      </c>
      <c r="DA49" s="113">
        <v>0</v>
      </c>
      <c r="DB49" s="113">
        <v>0</v>
      </c>
      <c r="DC49" s="113">
        <v>0</v>
      </c>
      <c r="DD49" s="113">
        <v>0</v>
      </c>
      <c r="DE49" s="113">
        <v>0</v>
      </c>
      <c r="DF49" s="113">
        <v>0</v>
      </c>
      <c r="DG49" s="113">
        <v>0</v>
      </c>
      <c r="DH49" s="113">
        <v>0</v>
      </c>
      <c r="DI49" s="113">
        <v>0</v>
      </c>
      <c r="DJ49" s="113">
        <v>0</v>
      </c>
      <c r="DK49" s="113">
        <v>0</v>
      </c>
      <c r="DL49" s="113">
        <v>0</v>
      </c>
      <c r="DM49" s="113">
        <v>0</v>
      </c>
      <c r="DN49" s="113">
        <v>0</v>
      </c>
      <c r="DO49" s="113">
        <v>0</v>
      </c>
      <c r="DP49" s="113">
        <v>0</v>
      </c>
      <c r="DQ49" s="113">
        <v>0</v>
      </c>
      <c r="DR49" s="113">
        <v>0</v>
      </c>
      <c r="DS49" s="113">
        <v>0</v>
      </c>
      <c r="DT49" s="113">
        <v>0</v>
      </c>
      <c r="DU49" s="113">
        <v>0</v>
      </c>
      <c r="DV49" s="113">
        <v>0</v>
      </c>
      <c r="DW49" s="113">
        <v>0</v>
      </c>
      <c r="DX49" s="113">
        <v>0</v>
      </c>
      <c r="DY49" s="113">
        <v>0</v>
      </c>
      <c r="DZ49" s="113">
        <v>0</v>
      </c>
      <c r="EA49" s="113">
        <v>0</v>
      </c>
      <c r="EB49" s="113">
        <v>0</v>
      </c>
      <c r="EC49" s="113">
        <v>0</v>
      </c>
      <c r="ED49" s="113">
        <v>0</v>
      </c>
      <c r="EE49" s="113">
        <v>0</v>
      </c>
      <c r="EF49" s="113">
        <v>0</v>
      </c>
      <c r="EG49" s="113">
        <v>0</v>
      </c>
      <c r="EH49" s="113">
        <v>0</v>
      </c>
      <c r="EI49" s="113">
        <v>0</v>
      </c>
      <c r="EJ49" s="113">
        <v>0</v>
      </c>
      <c r="EK49" s="113">
        <v>0</v>
      </c>
      <c r="EL49" s="113">
        <v>0</v>
      </c>
      <c r="EM49" s="113">
        <v>0</v>
      </c>
      <c r="EN49" s="113">
        <v>0</v>
      </c>
      <c r="EO49" s="113">
        <v>0</v>
      </c>
      <c r="EP49" s="113">
        <v>0</v>
      </c>
      <c r="EQ49" s="113">
        <v>0</v>
      </c>
      <c r="ER49" s="113">
        <v>0</v>
      </c>
      <c r="ES49" s="113">
        <v>0</v>
      </c>
      <c r="ET49" s="113">
        <v>0</v>
      </c>
      <c r="EU49" s="113">
        <v>0</v>
      </c>
      <c r="EV49" s="113">
        <v>0</v>
      </c>
      <c r="EW49" s="113">
        <v>0</v>
      </c>
      <c r="EX49" s="113">
        <v>0</v>
      </c>
      <c r="EY49" s="113">
        <v>0</v>
      </c>
      <c r="EZ49" s="113">
        <v>0</v>
      </c>
      <c r="FA49" s="113">
        <v>0</v>
      </c>
      <c r="FB49" s="113">
        <v>0</v>
      </c>
      <c r="FC49" s="113">
        <v>0</v>
      </c>
      <c r="FD49" s="113">
        <v>0</v>
      </c>
      <c r="FE49" s="113">
        <v>0</v>
      </c>
      <c r="FF49" s="113">
        <v>0</v>
      </c>
      <c r="FG49" s="113">
        <v>0</v>
      </c>
      <c r="FH49" s="113">
        <v>0</v>
      </c>
      <c r="FI49" s="113">
        <v>0</v>
      </c>
      <c r="FJ49" s="113">
        <v>0</v>
      </c>
      <c r="FK49" s="113">
        <v>0</v>
      </c>
      <c r="FL49" s="113">
        <v>0</v>
      </c>
      <c r="FM49" s="113">
        <v>0</v>
      </c>
      <c r="FN49" s="113">
        <v>0</v>
      </c>
      <c r="FO49" s="113">
        <v>0</v>
      </c>
      <c r="FP49" s="113">
        <v>0</v>
      </c>
      <c r="FQ49" s="113">
        <v>0</v>
      </c>
      <c r="FR49" s="113">
        <v>0</v>
      </c>
      <c r="FS49" s="113">
        <v>0</v>
      </c>
      <c r="FT49" s="113">
        <v>0</v>
      </c>
      <c r="FU49" s="113">
        <v>0</v>
      </c>
      <c r="FV49" s="113">
        <v>0</v>
      </c>
      <c r="FW49" s="113">
        <v>0</v>
      </c>
      <c r="FX49" s="32">
        <v>0</v>
      </c>
      <c r="FY49" s="30">
        <v>0</v>
      </c>
      <c r="FZ49" s="30">
        <v>0</v>
      </c>
    </row>
    <row r="50" spans="1:182" x14ac:dyDescent="0.2">
      <c r="A50" s="28">
        <v>33086</v>
      </c>
      <c r="B50" s="28"/>
      <c r="C50" s="29">
        <v>315423</v>
      </c>
      <c r="D50" s="29">
        <v>274099</v>
      </c>
      <c r="E50" s="29">
        <f t="shared" si="0"/>
        <v>589522</v>
      </c>
      <c r="F50" s="30">
        <v>3127274</v>
      </c>
      <c r="G50" s="30">
        <v>0</v>
      </c>
      <c r="H50" s="30">
        <f t="shared" si="1"/>
        <v>3127274</v>
      </c>
      <c r="I50" s="42" t="s">
        <v>75</v>
      </c>
      <c r="J50" s="42" t="s">
        <v>75</v>
      </c>
      <c r="K50" s="32">
        <v>1613649</v>
      </c>
      <c r="L50" s="31" t="s">
        <v>75</v>
      </c>
      <c r="M50" s="31" t="s">
        <v>75</v>
      </c>
      <c r="N50" s="30">
        <v>8918574</v>
      </c>
      <c r="O50" s="31" t="s">
        <v>75</v>
      </c>
      <c r="P50" s="31" t="s">
        <v>75</v>
      </c>
      <c r="Q50" s="30">
        <v>6767069</v>
      </c>
      <c r="R50" s="31" t="s">
        <v>75</v>
      </c>
      <c r="S50" s="31" t="s">
        <v>75</v>
      </c>
      <c r="T50" s="32">
        <v>224368</v>
      </c>
      <c r="U50" s="31" t="s">
        <v>75</v>
      </c>
      <c r="V50" s="31" t="s">
        <v>75</v>
      </c>
      <c r="W50" s="31" t="s">
        <v>75</v>
      </c>
      <c r="X50" s="31" t="s">
        <v>75</v>
      </c>
      <c r="Y50" s="31" t="s">
        <v>75</v>
      </c>
      <c r="Z50" s="30">
        <v>260387</v>
      </c>
      <c r="AA50" s="31" t="s">
        <v>75</v>
      </c>
      <c r="AB50" s="31" t="s">
        <v>75</v>
      </c>
      <c r="AC50" s="30">
        <v>441925</v>
      </c>
      <c r="AD50" s="31" t="s">
        <v>75</v>
      </c>
      <c r="AE50" s="31" t="s">
        <v>75</v>
      </c>
      <c r="AF50" s="30">
        <v>11383</v>
      </c>
      <c r="AG50" s="42" t="s">
        <v>75</v>
      </c>
      <c r="AH50" s="42" t="s">
        <v>75</v>
      </c>
      <c r="AI50" s="32">
        <v>121770</v>
      </c>
      <c r="AJ50" s="31" t="s">
        <v>75</v>
      </c>
      <c r="AK50" s="31" t="s">
        <v>75</v>
      </c>
      <c r="AL50" s="31" t="s">
        <v>75</v>
      </c>
      <c r="AM50" s="31"/>
      <c r="AN50" s="31"/>
      <c r="AO50" s="31"/>
      <c r="AP50" s="31"/>
      <c r="AQ50" s="31"/>
      <c r="AR50" s="31"/>
      <c r="AS50" s="31" t="s">
        <v>75</v>
      </c>
      <c r="AT50" s="31" t="s">
        <v>75</v>
      </c>
      <c r="AU50" s="31" t="s">
        <v>75</v>
      </c>
      <c r="AV50" s="31" t="s">
        <v>75</v>
      </c>
      <c r="AW50" s="31" t="s">
        <v>75</v>
      </c>
      <c r="AX50" s="31" t="s">
        <v>75</v>
      </c>
      <c r="AY50" s="31" t="s">
        <v>75</v>
      </c>
      <c r="AZ50" s="31" t="s">
        <v>75</v>
      </c>
      <c r="BA50" s="31" t="s">
        <v>75</v>
      </c>
      <c r="BB50" s="31" t="s">
        <v>75</v>
      </c>
      <c r="BC50" s="31" t="s">
        <v>75</v>
      </c>
      <c r="BD50" s="31" t="s">
        <v>75</v>
      </c>
      <c r="BE50" s="113">
        <v>0</v>
      </c>
      <c r="BF50" s="113">
        <v>0</v>
      </c>
      <c r="BG50" s="113">
        <v>0</v>
      </c>
      <c r="BH50" s="113">
        <v>0</v>
      </c>
      <c r="BI50" s="113">
        <v>0</v>
      </c>
      <c r="BJ50" s="113">
        <v>0</v>
      </c>
      <c r="BK50" s="113">
        <v>0</v>
      </c>
      <c r="BL50" s="113">
        <v>0</v>
      </c>
      <c r="BM50" s="113">
        <v>0</v>
      </c>
      <c r="BN50" s="113">
        <v>0</v>
      </c>
      <c r="BO50" s="113">
        <v>0</v>
      </c>
      <c r="BP50" s="113">
        <v>0</v>
      </c>
      <c r="BQ50" s="113">
        <v>0</v>
      </c>
      <c r="BR50" s="113">
        <v>0</v>
      </c>
      <c r="BS50" s="113">
        <v>0</v>
      </c>
      <c r="BT50" s="113">
        <v>0</v>
      </c>
      <c r="BU50" s="113">
        <v>0</v>
      </c>
      <c r="BV50" s="113">
        <v>0</v>
      </c>
      <c r="BW50" s="113"/>
      <c r="BX50" s="113"/>
      <c r="BY50" s="113"/>
      <c r="BZ50" s="113">
        <v>0</v>
      </c>
      <c r="CA50" s="113">
        <v>0</v>
      </c>
      <c r="CB50" s="113">
        <v>0</v>
      </c>
      <c r="CC50" s="113"/>
      <c r="CD50" s="113"/>
      <c r="CE50" s="113"/>
      <c r="CF50" s="113">
        <v>0</v>
      </c>
      <c r="CG50" s="113">
        <v>0</v>
      </c>
      <c r="CH50" s="113">
        <v>0</v>
      </c>
      <c r="CI50" s="113">
        <v>0</v>
      </c>
      <c r="CJ50" s="113">
        <v>0</v>
      </c>
      <c r="CK50" s="113">
        <v>0</v>
      </c>
      <c r="CL50" s="113">
        <v>0</v>
      </c>
      <c r="CM50" s="113">
        <v>0</v>
      </c>
      <c r="CN50" s="113">
        <v>0</v>
      </c>
      <c r="CO50" s="113">
        <v>0</v>
      </c>
      <c r="CP50" s="113">
        <v>0</v>
      </c>
      <c r="CQ50" s="113">
        <v>0</v>
      </c>
      <c r="CR50" s="113">
        <v>0</v>
      </c>
      <c r="CS50" s="113">
        <v>0</v>
      </c>
      <c r="CT50" s="113">
        <v>0</v>
      </c>
      <c r="CU50" s="113">
        <v>0</v>
      </c>
      <c r="CV50" s="113">
        <v>0</v>
      </c>
      <c r="CW50" s="113">
        <v>0</v>
      </c>
      <c r="CX50" s="113">
        <v>0</v>
      </c>
      <c r="CY50" s="113">
        <v>0</v>
      </c>
      <c r="CZ50" s="113">
        <v>0</v>
      </c>
      <c r="DA50" s="113">
        <v>0</v>
      </c>
      <c r="DB50" s="113">
        <v>0</v>
      </c>
      <c r="DC50" s="113">
        <v>0</v>
      </c>
      <c r="DD50" s="113">
        <v>0</v>
      </c>
      <c r="DE50" s="113">
        <v>0</v>
      </c>
      <c r="DF50" s="113">
        <v>0</v>
      </c>
      <c r="DG50" s="113">
        <v>0</v>
      </c>
      <c r="DH50" s="113">
        <v>0</v>
      </c>
      <c r="DI50" s="113">
        <v>0</v>
      </c>
      <c r="DJ50" s="113">
        <v>0</v>
      </c>
      <c r="DK50" s="113">
        <v>0</v>
      </c>
      <c r="DL50" s="113">
        <v>0</v>
      </c>
      <c r="DM50" s="113">
        <v>0</v>
      </c>
      <c r="DN50" s="113">
        <v>0</v>
      </c>
      <c r="DO50" s="113">
        <v>0</v>
      </c>
      <c r="DP50" s="113">
        <v>0</v>
      </c>
      <c r="DQ50" s="113">
        <v>0</v>
      </c>
      <c r="DR50" s="113">
        <v>0</v>
      </c>
      <c r="DS50" s="113">
        <v>0</v>
      </c>
      <c r="DT50" s="113">
        <v>0</v>
      </c>
      <c r="DU50" s="113">
        <v>0</v>
      </c>
      <c r="DV50" s="113">
        <v>0</v>
      </c>
      <c r="DW50" s="113">
        <v>0</v>
      </c>
      <c r="DX50" s="113">
        <v>0</v>
      </c>
      <c r="DY50" s="113">
        <v>0</v>
      </c>
      <c r="DZ50" s="113">
        <v>0</v>
      </c>
      <c r="EA50" s="113">
        <v>0</v>
      </c>
      <c r="EB50" s="113">
        <v>0</v>
      </c>
      <c r="EC50" s="113">
        <v>0</v>
      </c>
      <c r="ED50" s="113">
        <v>0</v>
      </c>
      <c r="EE50" s="113">
        <v>0</v>
      </c>
      <c r="EF50" s="113">
        <v>0</v>
      </c>
      <c r="EG50" s="113">
        <v>0</v>
      </c>
      <c r="EH50" s="113">
        <v>0</v>
      </c>
      <c r="EI50" s="113">
        <v>0</v>
      </c>
      <c r="EJ50" s="113">
        <v>0</v>
      </c>
      <c r="EK50" s="113">
        <v>0</v>
      </c>
      <c r="EL50" s="113">
        <v>0</v>
      </c>
      <c r="EM50" s="113">
        <v>0</v>
      </c>
      <c r="EN50" s="113">
        <v>0</v>
      </c>
      <c r="EO50" s="113">
        <v>0</v>
      </c>
      <c r="EP50" s="113">
        <v>0</v>
      </c>
      <c r="EQ50" s="113">
        <v>0</v>
      </c>
      <c r="ER50" s="113">
        <v>0</v>
      </c>
      <c r="ES50" s="113">
        <v>0</v>
      </c>
      <c r="ET50" s="113">
        <v>0</v>
      </c>
      <c r="EU50" s="113">
        <v>0</v>
      </c>
      <c r="EV50" s="113">
        <v>0</v>
      </c>
      <c r="EW50" s="113">
        <v>0</v>
      </c>
      <c r="EX50" s="113">
        <v>0</v>
      </c>
      <c r="EY50" s="113">
        <v>0</v>
      </c>
      <c r="EZ50" s="113">
        <v>0</v>
      </c>
      <c r="FA50" s="113">
        <v>0</v>
      </c>
      <c r="FB50" s="113">
        <v>0</v>
      </c>
      <c r="FC50" s="113">
        <v>0</v>
      </c>
      <c r="FD50" s="113">
        <v>0</v>
      </c>
      <c r="FE50" s="113">
        <v>0</v>
      </c>
      <c r="FF50" s="113">
        <v>0</v>
      </c>
      <c r="FG50" s="113">
        <v>0</v>
      </c>
      <c r="FH50" s="113">
        <v>0</v>
      </c>
      <c r="FI50" s="113">
        <v>0</v>
      </c>
      <c r="FJ50" s="113">
        <v>0</v>
      </c>
      <c r="FK50" s="113">
        <v>0</v>
      </c>
      <c r="FL50" s="113">
        <v>0</v>
      </c>
      <c r="FM50" s="113">
        <v>0</v>
      </c>
      <c r="FN50" s="113">
        <v>0</v>
      </c>
      <c r="FO50" s="113">
        <v>0</v>
      </c>
      <c r="FP50" s="113">
        <v>0</v>
      </c>
      <c r="FQ50" s="113">
        <v>0</v>
      </c>
      <c r="FR50" s="113">
        <v>0</v>
      </c>
      <c r="FS50" s="113">
        <v>0</v>
      </c>
      <c r="FT50" s="113">
        <v>0</v>
      </c>
      <c r="FU50" s="113">
        <v>0</v>
      </c>
      <c r="FV50" s="113">
        <v>0</v>
      </c>
      <c r="FW50" s="113">
        <v>0</v>
      </c>
      <c r="FX50" s="32">
        <v>0</v>
      </c>
      <c r="FY50" s="30">
        <v>0</v>
      </c>
      <c r="FZ50" s="30">
        <v>0</v>
      </c>
    </row>
    <row r="51" spans="1:182" x14ac:dyDescent="0.2">
      <c r="A51" s="28">
        <v>33117</v>
      </c>
      <c r="B51" s="28"/>
      <c r="C51" s="29">
        <v>107354</v>
      </c>
      <c r="D51" s="29">
        <v>87275</v>
      </c>
      <c r="E51" s="29">
        <f t="shared" si="0"/>
        <v>194629</v>
      </c>
      <c r="F51" s="30">
        <v>5108431</v>
      </c>
      <c r="G51" s="30">
        <v>0</v>
      </c>
      <c r="H51" s="30">
        <f t="shared" si="1"/>
        <v>5108431</v>
      </c>
      <c r="I51" s="42" t="s">
        <v>75</v>
      </c>
      <c r="J51" s="42" t="s">
        <v>75</v>
      </c>
      <c r="K51" s="32">
        <v>1772331</v>
      </c>
      <c r="L51" s="31" t="s">
        <v>75</v>
      </c>
      <c r="M51" s="31" t="s">
        <v>75</v>
      </c>
      <c r="N51" s="30">
        <v>7696622</v>
      </c>
      <c r="O51" s="31" t="s">
        <v>75</v>
      </c>
      <c r="P51" s="31" t="s">
        <v>75</v>
      </c>
      <c r="Q51" s="30">
        <v>9066759</v>
      </c>
      <c r="R51" s="31" t="s">
        <v>75</v>
      </c>
      <c r="S51" s="31" t="s">
        <v>75</v>
      </c>
      <c r="T51" s="32">
        <v>174555</v>
      </c>
      <c r="U51" s="31" t="s">
        <v>75</v>
      </c>
      <c r="V51" s="31" t="s">
        <v>75</v>
      </c>
      <c r="W51" s="31" t="s">
        <v>75</v>
      </c>
      <c r="X51" s="31" t="s">
        <v>75</v>
      </c>
      <c r="Y51" s="31" t="s">
        <v>75</v>
      </c>
      <c r="Z51" s="30">
        <v>115074</v>
      </c>
      <c r="AA51" s="31" t="s">
        <v>75</v>
      </c>
      <c r="AB51" s="31" t="s">
        <v>75</v>
      </c>
      <c r="AC51" s="30">
        <v>444042</v>
      </c>
      <c r="AD51" s="31" t="s">
        <v>75</v>
      </c>
      <c r="AE51" s="31" t="s">
        <v>75</v>
      </c>
      <c r="AF51" s="30">
        <v>11911</v>
      </c>
      <c r="AG51" s="42" t="s">
        <v>75</v>
      </c>
      <c r="AH51" s="42" t="s">
        <v>75</v>
      </c>
      <c r="AI51" s="32">
        <v>59253</v>
      </c>
      <c r="AJ51" s="31" t="s">
        <v>75</v>
      </c>
      <c r="AK51" s="31" t="s">
        <v>75</v>
      </c>
      <c r="AL51" s="31" t="s">
        <v>75</v>
      </c>
      <c r="AM51" s="31"/>
      <c r="AN51" s="31"/>
      <c r="AO51" s="31"/>
      <c r="AP51" s="31"/>
      <c r="AQ51" s="31"/>
      <c r="AR51" s="31"/>
      <c r="AS51" s="31" t="s">
        <v>75</v>
      </c>
      <c r="AT51" s="31" t="s">
        <v>75</v>
      </c>
      <c r="AU51" s="31" t="s">
        <v>75</v>
      </c>
      <c r="AV51" s="31" t="s">
        <v>75</v>
      </c>
      <c r="AW51" s="31" t="s">
        <v>75</v>
      </c>
      <c r="AX51" s="31" t="s">
        <v>75</v>
      </c>
      <c r="AY51" s="31" t="s">
        <v>75</v>
      </c>
      <c r="AZ51" s="31" t="s">
        <v>75</v>
      </c>
      <c r="BA51" s="31" t="s">
        <v>75</v>
      </c>
      <c r="BB51" s="31" t="s">
        <v>75</v>
      </c>
      <c r="BC51" s="31" t="s">
        <v>75</v>
      </c>
      <c r="BD51" s="31" t="s">
        <v>75</v>
      </c>
      <c r="BE51" s="113">
        <v>0</v>
      </c>
      <c r="BF51" s="113">
        <v>0</v>
      </c>
      <c r="BG51" s="113">
        <v>0</v>
      </c>
      <c r="BH51" s="113">
        <v>0</v>
      </c>
      <c r="BI51" s="113">
        <v>0</v>
      </c>
      <c r="BJ51" s="113">
        <v>0</v>
      </c>
      <c r="BK51" s="113">
        <v>0</v>
      </c>
      <c r="BL51" s="113">
        <v>0</v>
      </c>
      <c r="BM51" s="113">
        <v>0</v>
      </c>
      <c r="BN51" s="113">
        <v>0</v>
      </c>
      <c r="BO51" s="113">
        <v>0</v>
      </c>
      <c r="BP51" s="113">
        <v>0</v>
      </c>
      <c r="BQ51" s="113">
        <v>0</v>
      </c>
      <c r="BR51" s="113">
        <v>0</v>
      </c>
      <c r="BS51" s="113">
        <v>0</v>
      </c>
      <c r="BT51" s="113">
        <v>0</v>
      </c>
      <c r="BU51" s="113">
        <v>0</v>
      </c>
      <c r="BV51" s="113">
        <v>0</v>
      </c>
      <c r="BW51" s="113"/>
      <c r="BX51" s="113"/>
      <c r="BY51" s="113"/>
      <c r="BZ51" s="113">
        <v>0</v>
      </c>
      <c r="CA51" s="113">
        <v>0</v>
      </c>
      <c r="CB51" s="113">
        <v>0</v>
      </c>
      <c r="CC51" s="113"/>
      <c r="CD51" s="113"/>
      <c r="CE51" s="113"/>
      <c r="CF51" s="113">
        <v>0</v>
      </c>
      <c r="CG51" s="113">
        <v>0</v>
      </c>
      <c r="CH51" s="113">
        <v>0</v>
      </c>
      <c r="CI51" s="113">
        <v>0</v>
      </c>
      <c r="CJ51" s="113">
        <v>0</v>
      </c>
      <c r="CK51" s="113">
        <v>0</v>
      </c>
      <c r="CL51" s="113">
        <v>0</v>
      </c>
      <c r="CM51" s="113">
        <v>0</v>
      </c>
      <c r="CN51" s="113">
        <v>0</v>
      </c>
      <c r="CO51" s="113">
        <v>0</v>
      </c>
      <c r="CP51" s="113">
        <v>0</v>
      </c>
      <c r="CQ51" s="113">
        <v>0</v>
      </c>
      <c r="CR51" s="113">
        <v>0</v>
      </c>
      <c r="CS51" s="113">
        <v>0</v>
      </c>
      <c r="CT51" s="113">
        <v>0</v>
      </c>
      <c r="CU51" s="113">
        <v>0</v>
      </c>
      <c r="CV51" s="113">
        <v>0</v>
      </c>
      <c r="CW51" s="113">
        <v>0</v>
      </c>
      <c r="CX51" s="113">
        <v>0</v>
      </c>
      <c r="CY51" s="113">
        <v>0</v>
      </c>
      <c r="CZ51" s="113">
        <v>0</v>
      </c>
      <c r="DA51" s="113">
        <v>0</v>
      </c>
      <c r="DB51" s="113">
        <v>0</v>
      </c>
      <c r="DC51" s="113">
        <v>0</v>
      </c>
      <c r="DD51" s="113">
        <v>0</v>
      </c>
      <c r="DE51" s="113">
        <v>0</v>
      </c>
      <c r="DF51" s="113">
        <v>0</v>
      </c>
      <c r="DG51" s="113">
        <v>0</v>
      </c>
      <c r="DH51" s="113">
        <v>0</v>
      </c>
      <c r="DI51" s="113">
        <v>0</v>
      </c>
      <c r="DJ51" s="113">
        <v>0</v>
      </c>
      <c r="DK51" s="113">
        <v>0</v>
      </c>
      <c r="DL51" s="113">
        <v>0</v>
      </c>
      <c r="DM51" s="113">
        <v>0</v>
      </c>
      <c r="DN51" s="113">
        <v>0</v>
      </c>
      <c r="DO51" s="113">
        <v>0</v>
      </c>
      <c r="DP51" s="113">
        <v>0</v>
      </c>
      <c r="DQ51" s="113">
        <v>0</v>
      </c>
      <c r="DR51" s="113">
        <v>0</v>
      </c>
      <c r="DS51" s="113">
        <v>0</v>
      </c>
      <c r="DT51" s="113">
        <v>0</v>
      </c>
      <c r="DU51" s="113">
        <v>0</v>
      </c>
      <c r="DV51" s="113">
        <v>0</v>
      </c>
      <c r="DW51" s="113">
        <v>0</v>
      </c>
      <c r="DX51" s="113">
        <v>0</v>
      </c>
      <c r="DY51" s="113">
        <v>0</v>
      </c>
      <c r="DZ51" s="113">
        <v>0</v>
      </c>
      <c r="EA51" s="113">
        <v>0</v>
      </c>
      <c r="EB51" s="113">
        <v>0</v>
      </c>
      <c r="EC51" s="113">
        <v>0</v>
      </c>
      <c r="ED51" s="113">
        <v>0</v>
      </c>
      <c r="EE51" s="113">
        <v>0</v>
      </c>
      <c r="EF51" s="113">
        <v>0</v>
      </c>
      <c r="EG51" s="113">
        <v>0</v>
      </c>
      <c r="EH51" s="113">
        <v>0</v>
      </c>
      <c r="EI51" s="113">
        <v>0</v>
      </c>
      <c r="EJ51" s="113">
        <v>0</v>
      </c>
      <c r="EK51" s="113">
        <v>0</v>
      </c>
      <c r="EL51" s="113">
        <v>0</v>
      </c>
      <c r="EM51" s="113">
        <v>0</v>
      </c>
      <c r="EN51" s="113">
        <v>0</v>
      </c>
      <c r="EO51" s="113">
        <v>0</v>
      </c>
      <c r="EP51" s="113">
        <v>0</v>
      </c>
      <c r="EQ51" s="113">
        <v>0</v>
      </c>
      <c r="ER51" s="113">
        <v>0</v>
      </c>
      <c r="ES51" s="113">
        <v>0</v>
      </c>
      <c r="ET51" s="113">
        <v>0</v>
      </c>
      <c r="EU51" s="113">
        <v>0</v>
      </c>
      <c r="EV51" s="113">
        <v>0</v>
      </c>
      <c r="EW51" s="113">
        <v>0</v>
      </c>
      <c r="EX51" s="113">
        <v>0</v>
      </c>
      <c r="EY51" s="113">
        <v>0</v>
      </c>
      <c r="EZ51" s="113">
        <v>0</v>
      </c>
      <c r="FA51" s="113">
        <v>0</v>
      </c>
      <c r="FB51" s="113">
        <v>0</v>
      </c>
      <c r="FC51" s="113">
        <v>0</v>
      </c>
      <c r="FD51" s="113">
        <v>0</v>
      </c>
      <c r="FE51" s="113">
        <v>0</v>
      </c>
      <c r="FF51" s="113">
        <v>0</v>
      </c>
      <c r="FG51" s="113">
        <v>0</v>
      </c>
      <c r="FH51" s="113">
        <v>0</v>
      </c>
      <c r="FI51" s="113">
        <v>0</v>
      </c>
      <c r="FJ51" s="113">
        <v>0</v>
      </c>
      <c r="FK51" s="113">
        <v>0</v>
      </c>
      <c r="FL51" s="113">
        <v>0</v>
      </c>
      <c r="FM51" s="113">
        <v>0</v>
      </c>
      <c r="FN51" s="113">
        <v>0</v>
      </c>
      <c r="FO51" s="113">
        <v>0</v>
      </c>
      <c r="FP51" s="113">
        <v>0</v>
      </c>
      <c r="FQ51" s="113">
        <v>0</v>
      </c>
      <c r="FR51" s="113">
        <v>0</v>
      </c>
      <c r="FS51" s="113">
        <v>0</v>
      </c>
      <c r="FT51" s="113">
        <v>0</v>
      </c>
      <c r="FU51" s="113">
        <v>0</v>
      </c>
      <c r="FV51" s="113">
        <v>0</v>
      </c>
      <c r="FW51" s="113">
        <v>0</v>
      </c>
      <c r="FX51" s="32">
        <v>0</v>
      </c>
      <c r="FY51" s="30">
        <v>0</v>
      </c>
      <c r="FZ51" s="30">
        <v>0</v>
      </c>
    </row>
    <row r="52" spans="1:182" x14ac:dyDescent="0.2">
      <c r="A52" s="28">
        <v>33147</v>
      </c>
      <c r="B52" s="28"/>
      <c r="C52" s="29">
        <v>423217</v>
      </c>
      <c r="D52" s="29">
        <v>241588</v>
      </c>
      <c r="E52" s="29">
        <f t="shared" si="0"/>
        <v>664805</v>
      </c>
      <c r="F52" s="30">
        <v>8768604</v>
      </c>
      <c r="G52" s="30">
        <v>0</v>
      </c>
      <c r="H52" s="30">
        <f t="shared" si="1"/>
        <v>8768604</v>
      </c>
      <c r="I52" s="42" t="s">
        <v>75</v>
      </c>
      <c r="J52" s="42" t="s">
        <v>75</v>
      </c>
      <c r="K52" s="32">
        <v>2139909</v>
      </c>
      <c r="L52" s="31" t="s">
        <v>75</v>
      </c>
      <c r="M52" s="31" t="s">
        <v>75</v>
      </c>
      <c r="N52" s="30">
        <v>10228012</v>
      </c>
      <c r="O52" s="31" t="s">
        <v>75</v>
      </c>
      <c r="P52" s="31" t="s">
        <v>75</v>
      </c>
      <c r="Q52" s="30">
        <v>11241577</v>
      </c>
      <c r="R52" s="31" t="s">
        <v>75</v>
      </c>
      <c r="S52" s="31" t="s">
        <v>75</v>
      </c>
      <c r="T52" s="32">
        <v>217198</v>
      </c>
      <c r="U52" s="31" t="s">
        <v>75</v>
      </c>
      <c r="V52" s="31" t="s">
        <v>75</v>
      </c>
      <c r="W52" s="31" t="s">
        <v>75</v>
      </c>
      <c r="X52" s="31" t="s">
        <v>75</v>
      </c>
      <c r="Y52" s="31" t="s">
        <v>75</v>
      </c>
      <c r="Z52" s="30">
        <v>227264</v>
      </c>
      <c r="AA52" s="31" t="s">
        <v>75</v>
      </c>
      <c r="AB52" s="31" t="s">
        <v>75</v>
      </c>
      <c r="AC52" s="30">
        <v>542291</v>
      </c>
      <c r="AD52" s="31" t="s">
        <v>75</v>
      </c>
      <c r="AE52" s="31" t="s">
        <v>75</v>
      </c>
      <c r="AF52" s="30">
        <v>22991</v>
      </c>
      <c r="AG52" s="42" t="s">
        <v>75</v>
      </c>
      <c r="AH52" s="42" t="s">
        <v>75</v>
      </c>
      <c r="AI52" s="32">
        <v>104322</v>
      </c>
      <c r="AJ52" s="31" t="s">
        <v>75</v>
      </c>
      <c r="AK52" s="31" t="s">
        <v>75</v>
      </c>
      <c r="AL52" s="31" t="s">
        <v>75</v>
      </c>
      <c r="AM52" s="31"/>
      <c r="AN52" s="31"/>
      <c r="AO52" s="31"/>
      <c r="AP52" s="31"/>
      <c r="AQ52" s="31"/>
      <c r="AR52" s="31"/>
      <c r="AS52" s="31" t="s">
        <v>75</v>
      </c>
      <c r="AT52" s="31" t="s">
        <v>75</v>
      </c>
      <c r="AU52" s="31" t="s">
        <v>75</v>
      </c>
      <c r="AV52" s="31" t="s">
        <v>75</v>
      </c>
      <c r="AW52" s="31" t="s">
        <v>75</v>
      </c>
      <c r="AX52" s="31" t="s">
        <v>75</v>
      </c>
      <c r="AY52" s="31" t="s">
        <v>75</v>
      </c>
      <c r="AZ52" s="31" t="s">
        <v>75</v>
      </c>
      <c r="BA52" s="31" t="s">
        <v>75</v>
      </c>
      <c r="BB52" s="31" t="s">
        <v>75</v>
      </c>
      <c r="BC52" s="31" t="s">
        <v>75</v>
      </c>
      <c r="BD52" s="31" t="s">
        <v>75</v>
      </c>
      <c r="BE52" s="113">
        <v>0</v>
      </c>
      <c r="BF52" s="113">
        <v>0</v>
      </c>
      <c r="BG52" s="113">
        <v>0</v>
      </c>
      <c r="BH52" s="113">
        <v>0</v>
      </c>
      <c r="BI52" s="113">
        <v>0</v>
      </c>
      <c r="BJ52" s="113">
        <v>0</v>
      </c>
      <c r="BK52" s="113">
        <v>0</v>
      </c>
      <c r="BL52" s="113">
        <v>0</v>
      </c>
      <c r="BM52" s="113">
        <v>0</v>
      </c>
      <c r="BN52" s="113">
        <v>0</v>
      </c>
      <c r="BO52" s="113">
        <v>0</v>
      </c>
      <c r="BP52" s="113">
        <v>0</v>
      </c>
      <c r="BQ52" s="113">
        <v>0</v>
      </c>
      <c r="BR52" s="113">
        <v>0</v>
      </c>
      <c r="BS52" s="113">
        <v>0</v>
      </c>
      <c r="BT52" s="113">
        <v>0</v>
      </c>
      <c r="BU52" s="113">
        <v>0</v>
      </c>
      <c r="BV52" s="113">
        <v>0</v>
      </c>
      <c r="BW52" s="113"/>
      <c r="BX52" s="113"/>
      <c r="BY52" s="113"/>
      <c r="BZ52" s="113">
        <v>0</v>
      </c>
      <c r="CA52" s="113">
        <v>0</v>
      </c>
      <c r="CB52" s="113">
        <v>0</v>
      </c>
      <c r="CC52" s="113"/>
      <c r="CD52" s="113"/>
      <c r="CE52" s="113"/>
      <c r="CF52" s="113">
        <v>0</v>
      </c>
      <c r="CG52" s="113">
        <v>0</v>
      </c>
      <c r="CH52" s="113">
        <v>0</v>
      </c>
      <c r="CI52" s="113">
        <v>0</v>
      </c>
      <c r="CJ52" s="113">
        <v>0</v>
      </c>
      <c r="CK52" s="113">
        <v>0</v>
      </c>
      <c r="CL52" s="113">
        <v>0</v>
      </c>
      <c r="CM52" s="113">
        <v>0</v>
      </c>
      <c r="CN52" s="113">
        <v>0</v>
      </c>
      <c r="CO52" s="113">
        <v>0</v>
      </c>
      <c r="CP52" s="113">
        <v>0</v>
      </c>
      <c r="CQ52" s="113">
        <v>0</v>
      </c>
      <c r="CR52" s="113">
        <v>0</v>
      </c>
      <c r="CS52" s="113">
        <v>0</v>
      </c>
      <c r="CT52" s="113">
        <v>0</v>
      </c>
      <c r="CU52" s="113">
        <v>0</v>
      </c>
      <c r="CV52" s="113">
        <v>0</v>
      </c>
      <c r="CW52" s="113">
        <v>0</v>
      </c>
      <c r="CX52" s="113">
        <v>0</v>
      </c>
      <c r="CY52" s="113">
        <v>0</v>
      </c>
      <c r="CZ52" s="113">
        <v>0</v>
      </c>
      <c r="DA52" s="113">
        <v>0</v>
      </c>
      <c r="DB52" s="113">
        <v>0</v>
      </c>
      <c r="DC52" s="113">
        <v>0</v>
      </c>
      <c r="DD52" s="113">
        <v>0</v>
      </c>
      <c r="DE52" s="113">
        <v>0</v>
      </c>
      <c r="DF52" s="113">
        <v>0</v>
      </c>
      <c r="DG52" s="113">
        <v>0</v>
      </c>
      <c r="DH52" s="113">
        <v>0</v>
      </c>
      <c r="DI52" s="113">
        <v>0</v>
      </c>
      <c r="DJ52" s="113">
        <v>0</v>
      </c>
      <c r="DK52" s="113">
        <v>0</v>
      </c>
      <c r="DL52" s="113">
        <v>0</v>
      </c>
      <c r="DM52" s="113">
        <v>0</v>
      </c>
      <c r="DN52" s="113">
        <v>0</v>
      </c>
      <c r="DO52" s="113">
        <v>0</v>
      </c>
      <c r="DP52" s="113">
        <v>0</v>
      </c>
      <c r="DQ52" s="113">
        <v>0</v>
      </c>
      <c r="DR52" s="113">
        <v>0</v>
      </c>
      <c r="DS52" s="113">
        <v>0</v>
      </c>
      <c r="DT52" s="113">
        <v>0</v>
      </c>
      <c r="DU52" s="113">
        <v>0</v>
      </c>
      <c r="DV52" s="113">
        <v>0</v>
      </c>
      <c r="DW52" s="113">
        <v>0</v>
      </c>
      <c r="DX52" s="113">
        <v>0</v>
      </c>
      <c r="DY52" s="113">
        <v>0</v>
      </c>
      <c r="DZ52" s="113">
        <v>0</v>
      </c>
      <c r="EA52" s="113">
        <v>0</v>
      </c>
      <c r="EB52" s="113">
        <v>0</v>
      </c>
      <c r="EC52" s="113">
        <v>0</v>
      </c>
      <c r="ED52" s="113">
        <v>0</v>
      </c>
      <c r="EE52" s="113">
        <v>0</v>
      </c>
      <c r="EF52" s="113">
        <v>0</v>
      </c>
      <c r="EG52" s="113">
        <v>0</v>
      </c>
      <c r="EH52" s="113">
        <v>0</v>
      </c>
      <c r="EI52" s="113">
        <v>0</v>
      </c>
      <c r="EJ52" s="113">
        <v>0</v>
      </c>
      <c r="EK52" s="113">
        <v>0</v>
      </c>
      <c r="EL52" s="113">
        <v>0</v>
      </c>
      <c r="EM52" s="113">
        <v>0</v>
      </c>
      <c r="EN52" s="113">
        <v>0</v>
      </c>
      <c r="EO52" s="113">
        <v>0</v>
      </c>
      <c r="EP52" s="113">
        <v>0</v>
      </c>
      <c r="EQ52" s="113">
        <v>0</v>
      </c>
      <c r="ER52" s="113">
        <v>0</v>
      </c>
      <c r="ES52" s="113">
        <v>0</v>
      </c>
      <c r="ET52" s="113">
        <v>0</v>
      </c>
      <c r="EU52" s="113">
        <v>0</v>
      </c>
      <c r="EV52" s="113">
        <v>0</v>
      </c>
      <c r="EW52" s="113">
        <v>0</v>
      </c>
      <c r="EX52" s="113">
        <v>0</v>
      </c>
      <c r="EY52" s="113">
        <v>0</v>
      </c>
      <c r="EZ52" s="113">
        <v>0</v>
      </c>
      <c r="FA52" s="113">
        <v>0</v>
      </c>
      <c r="FB52" s="113">
        <v>0</v>
      </c>
      <c r="FC52" s="113">
        <v>0</v>
      </c>
      <c r="FD52" s="113">
        <v>0</v>
      </c>
      <c r="FE52" s="113">
        <v>0</v>
      </c>
      <c r="FF52" s="113">
        <v>0</v>
      </c>
      <c r="FG52" s="113">
        <v>0</v>
      </c>
      <c r="FH52" s="113">
        <v>0</v>
      </c>
      <c r="FI52" s="113">
        <v>0</v>
      </c>
      <c r="FJ52" s="113">
        <v>0</v>
      </c>
      <c r="FK52" s="113">
        <v>0</v>
      </c>
      <c r="FL52" s="113">
        <v>0</v>
      </c>
      <c r="FM52" s="113">
        <v>0</v>
      </c>
      <c r="FN52" s="113">
        <v>0</v>
      </c>
      <c r="FO52" s="113">
        <v>0</v>
      </c>
      <c r="FP52" s="113">
        <v>0</v>
      </c>
      <c r="FQ52" s="113">
        <v>0</v>
      </c>
      <c r="FR52" s="113">
        <v>0</v>
      </c>
      <c r="FS52" s="113">
        <v>0</v>
      </c>
      <c r="FT52" s="113">
        <v>0</v>
      </c>
      <c r="FU52" s="113">
        <v>0</v>
      </c>
      <c r="FV52" s="113">
        <v>0</v>
      </c>
      <c r="FW52" s="113">
        <v>0</v>
      </c>
      <c r="FX52" s="32">
        <v>0</v>
      </c>
      <c r="FY52" s="30">
        <v>0</v>
      </c>
      <c r="FZ52" s="30">
        <v>0</v>
      </c>
    </row>
    <row r="53" spans="1:182" x14ac:dyDescent="0.2">
      <c r="A53" s="28">
        <v>33178</v>
      </c>
      <c r="B53" s="28"/>
      <c r="C53" s="29">
        <v>171838</v>
      </c>
      <c r="D53" s="29">
        <v>110499</v>
      </c>
      <c r="E53" s="29">
        <f t="shared" si="0"/>
        <v>282337</v>
      </c>
      <c r="F53" s="30">
        <v>8580071</v>
      </c>
      <c r="G53" s="30">
        <v>0</v>
      </c>
      <c r="H53" s="30">
        <f t="shared" si="1"/>
        <v>8580071</v>
      </c>
      <c r="I53" s="42" t="s">
        <v>75</v>
      </c>
      <c r="J53" s="42" t="s">
        <v>75</v>
      </c>
      <c r="K53" s="32">
        <v>2977864</v>
      </c>
      <c r="L53" s="31" t="s">
        <v>75</v>
      </c>
      <c r="M53" s="31" t="s">
        <v>75</v>
      </c>
      <c r="N53" s="30">
        <v>10709325</v>
      </c>
      <c r="O53" s="31" t="s">
        <v>75</v>
      </c>
      <c r="P53" s="31" t="s">
        <v>75</v>
      </c>
      <c r="Q53" s="30">
        <v>12330485</v>
      </c>
      <c r="R53" s="31" t="s">
        <v>75</v>
      </c>
      <c r="S53" s="31" t="s">
        <v>75</v>
      </c>
      <c r="T53" s="32">
        <v>172837</v>
      </c>
      <c r="U53" s="31" t="s">
        <v>75</v>
      </c>
      <c r="V53" s="31" t="s">
        <v>75</v>
      </c>
      <c r="W53" s="31" t="s">
        <v>75</v>
      </c>
      <c r="X53" s="31" t="s">
        <v>75</v>
      </c>
      <c r="Y53" s="31" t="s">
        <v>75</v>
      </c>
      <c r="Z53" s="30">
        <v>222235</v>
      </c>
      <c r="AA53" s="31" t="s">
        <v>75</v>
      </c>
      <c r="AB53" s="31" t="s">
        <v>75</v>
      </c>
      <c r="AC53" s="30">
        <v>264982</v>
      </c>
      <c r="AD53" s="31" t="s">
        <v>75</v>
      </c>
      <c r="AE53" s="31" t="s">
        <v>75</v>
      </c>
      <c r="AF53" s="30">
        <v>29849</v>
      </c>
      <c r="AG53" s="42" t="s">
        <v>75</v>
      </c>
      <c r="AH53" s="42" t="s">
        <v>75</v>
      </c>
      <c r="AI53" s="32">
        <v>73176</v>
      </c>
      <c r="AJ53" s="31" t="s">
        <v>75</v>
      </c>
      <c r="AK53" s="31" t="s">
        <v>75</v>
      </c>
      <c r="AL53" s="31" t="s">
        <v>75</v>
      </c>
      <c r="AM53" s="31"/>
      <c r="AN53" s="31"/>
      <c r="AO53" s="31"/>
      <c r="AP53" s="31"/>
      <c r="AQ53" s="31"/>
      <c r="AR53" s="31"/>
      <c r="AS53" s="31" t="s">
        <v>75</v>
      </c>
      <c r="AT53" s="31" t="s">
        <v>75</v>
      </c>
      <c r="AU53" s="31" t="s">
        <v>75</v>
      </c>
      <c r="AV53" s="31" t="s">
        <v>75</v>
      </c>
      <c r="AW53" s="31" t="s">
        <v>75</v>
      </c>
      <c r="AX53" s="31" t="s">
        <v>75</v>
      </c>
      <c r="AY53" s="31" t="s">
        <v>75</v>
      </c>
      <c r="AZ53" s="31" t="s">
        <v>75</v>
      </c>
      <c r="BA53" s="31" t="s">
        <v>75</v>
      </c>
      <c r="BB53" s="31" t="s">
        <v>75</v>
      </c>
      <c r="BC53" s="31" t="s">
        <v>75</v>
      </c>
      <c r="BD53" s="31" t="s">
        <v>75</v>
      </c>
      <c r="BE53" s="113">
        <v>0</v>
      </c>
      <c r="BF53" s="113">
        <v>0</v>
      </c>
      <c r="BG53" s="113">
        <v>0</v>
      </c>
      <c r="BH53" s="113">
        <v>0</v>
      </c>
      <c r="BI53" s="113">
        <v>0</v>
      </c>
      <c r="BJ53" s="113">
        <v>0</v>
      </c>
      <c r="BK53" s="113">
        <v>0</v>
      </c>
      <c r="BL53" s="113">
        <v>0</v>
      </c>
      <c r="BM53" s="113">
        <v>0</v>
      </c>
      <c r="BN53" s="113">
        <v>0</v>
      </c>
      <c r="BO53" s="113">
        <v>0</v>
      </c>
      <c r="BP53" s="113">
        <v>0</v>
      </c>
      <c r="BQ53" s="113">
        <v>0</v>
      </c>
      <c r="BR53" s="113">
        <v>0</v>
      </c>
      <c r="BS53" s="113">
        <v>0</v>
      </c>
      <c r="BT53" s="113">
        <v>0</v>
      </c>
      <c r="BU53" s="113">
        <v>0</v>
      </c>
      <c r="BV53" s="113">
        <v>0</v>
      </c>
      <c r="BW53" s="113"/>
      <c r="BX53" s="113"/>
      <c r="BY53" s="113"/>
      <c r="BZ53" s="113">
        <v>0</v>
      </c>
      <c r="CA53" s="113">
        <v>0</v>
      </c>
      <c r="CB53" s="113">
        <v>0</v>
      </c>
      <c r="CC53" s="113"/>
      <c r="CD53" s="113"/>
      <c r="CE53" s="113"/>
      <c r="CF53" s="113">
        <v>0</v>
      </c>
      <c r="CG53" s="113">
        <v>0</v>
      </c>
      <c r="CH53" s="113">
        <v>0</v>
      </c>
      <c r="CI53" s="113">
        <v>0</v>
      </c>
      <c r="CJ53" s="113">
        <v>0</v>
      </c>
      <c r="CK53" s="113">
        <v>0</v>
      </c>
      <c r="CL53" s="113">
        <v>0</v>
      </c>
      <c r="CM53" s="113">
        <v>0</v>
      </c>
      <c r="CN53" s="113">
        <v>0</v>
      </c>
      <c r="CO53" s="113">
        <v>0</v>
      </c>
      <c r="CP53" s="113">
        <v>0</v>
      </c>
      <c r="CQ53" s="113">
        <v>0</v>
      </c>
      <c r="CR53" s="113">
        <v>0</v>
      </c>
      <c r="CS53" s="113">
        <v>0</v>
      </c>
      <c r="CT53" s="113">
        <v>0</v>
      </c>
      <c r="CU53" s="113">
        <v>0</v>
      </c>
      <c r="CV53" s="113">
        <v>0</v>
      </c>
      <c r="CW53" s="113">
        <v>0</v>
      </c>
      <c r="CX53" s="113">
        <v>0</v>
      </c>
      <c r="CY53" s="113">
        <v>0</v>
      </c>
      <c r="CZ53" s="113">
        <v>0</v>
      </c>
      <c r="DA53" s="113">
        <v>0</v>
      </c>
      <c r="DB53" s="113">
        <v>0</v>
      </c>
      <c r="DC53" s="113">
        <v>0</v>
      </c>
      <c r="DD53" s="113">
        <v>0</v>
      </c>
      <c r="DE53" s="113">
        <v>0</v>
      </c>
      <c r="DF53" s="113">
        <v>0</v>
      </c>
      <c r="DG53" s="113">
        <v>0</v>
      </c>
      <c r="DH53" s="113">
        <v>0</v>
      </c>
      <c r="DI53" s="113">
        <v>0</v>
      </c>
      <c r="DJ53" s="113">
        <v>0</v>
      </c>
      <c r="DK53" s="113">
        <v>0</v>
      </c>
      <c r="DL53" s="113">
        <v>0</v>
      </c>
      <c r="DM53" s="113">
        <v>0</v>
      </c>
      <c r="DN53" s="113">
        <v>0</v>
      </c>
      <c r="DO53" s="113">
        <v>0</v>
      </c>
      <c r="DP53" s="113">
        <v>0</v>
      </c>
      <c r="DQ53" s="113">
        <v>0</v>
      </c>
      <c r="DR53" s="113">
        <v>0</v>
      </c>
      <c r="DS53" s="113">
        <v>0</v>
      </c>
      <c r="DT53" s="113">
        <v>0</v>
      </c>
      <c r="DU53" s="113">
        <v>0</v>
      </c>
      <c r="DV53" s="113">
        <v>0</v>
      </c>
      <c r="DW53" s="113">
        <v>0</v>
      </c>
      <c r="DX53" s="113">
        <v>0</v>
      </c>
      <c r="DY53" s="113">
        <v>0</v>
      </c>
      <c r="DZ53" s="113">
        <v>0</v>
      </c>
      <c r="EA53" s="113">
        <v>0</v>
      </c>
      <c r="EB53" s="113">
        <v>0</v>
      </c>
      <c r="EC53" s="113">
        <v>0</v>
      </c>
      <c r="ED53" s="113">
        <v>0</v>
      </c>
      <c r="EE53" s="113">
        <v>0</v>
      </c>
      <c r="EF53" s="113">
        <v>0</v>
      </c>
      <c r="EG53" s="113">
        <v>0</v>
      </c>
      <c r="EH53" s="113">
        <v>0</v>
      </c>
      <c r="EI53" s="113">
        <v>0</v>
      </c>
      <c r="EJ53" s="113">
        <v>0</v>
      </c>
      <c r="EK53" s="113">
        <v>0</v>
      </c>
      <c r="EL53" s="113">
        <v>0</v>
      </c>
      <c r="EM53" s="113">
        <v>0</v>
      </c>
      <c r="EN53" s="113">
        <v>0</v>
      </c>
      <c r="EO53" s="113">
        <v>0</v>
      </c>
      <c r="EP53" s="113">
        <v>0</v>
      </c>
      <c r="EQ53" s="113">
        <v>0</v>
      </c>
      <c r="ER53" s="113">
        <v>0</v>
      </c>
      <c r="ES53" s="113">
        <v>0</v>
      </c>
      <c r="ET53" s="113">
        <v>0</v>
      </c>
      <c r="EU53" s="113">
        <v>0</v>
      </c>
      <c r="EV53" s="113">
        <v>0</v>
      </c>
      <c r="EW53" s="113">
        <v>0</v>
      </c>
      <c r="EX53" s="113">
        <v>0</v>
      </c>
      <c r="EY53" s="113">
        <v>0</v>
      </c>
      <c r="EZ53" s="113">
        <v>0</v>
      </c>
      <c r="FA53" s="113">
        <v>0</v>
      </c>
      <c r="FB53" s="113">
        <v>0</v>
      </c>
      <c r="FC53" s="113">
        <v>0</v>
      </c>
      <c r="FD53" s="113">
        <v>0</v>
      </c>
      <c r="FE53" s="113">
        <v>0</v>
      </c>
      <c r="FF53" s="113">
        <v>0</v>
      </c>
      <c r="FG53" s="113">
        <v>0</v>
      </c>
      <c r="FH53" s="113">
        <v>0</v>
      </c>
      <c r="FI53" s="113">
        <v>0</v>
      </c>
      <c r="FJ53" s="113">
        <v>0</v>
      </c>
      <c r="FK53" s="113">
        <v>0</v>
      </c>
      <c r="FL53" s="113">
        <v>0</v>
      </c>
      <c r="FM53" s="113">
        <v>0</v>
      </c>
      <c r="FN53" s="113">
        <v>0</v>
      </c>
      <c r="FO53" s="113">
        <v>0</v>
      </c>
      <c r="FP53" s="113">
        <v>0</v>
      </c>
      <c r="FQ53" s="113">
        <v>0</v>
      </c>
      <c r="FR53" s="113">
        <v>0</v>
      </c>
      <c r="FS53" s="113">
        <v>0</v>
      </c>
      <c r="FT53" s="113">
        <v>0</v>
      </c>
      <c r="FU53" s="113">
        <v>0</v>
      </c>
      <c r="FV53" s="113">
        <v>0</v>
      </c>
      <c r="FW53" s="113">
        <v>0</v>
      </c>
      <c r="FX53" s="32">
        <v>0</v>
      </c>
      <c r="FY53" s="30">
        <v>0</v>
      </c>
      <c r="FZ53" s="30">
        <v>0</v>
      </c>
    </row>
    <row r="54" spans="1:182" x14ac:dyDescent="0.2">
      <c r="A54" s="28">
        <v>33208</v>
      </c>
      <c r="B54" s="28"/>
      <c r="C54" s="29">
        <v>286293</v>
      </c>
      <c r="D54" s="29">
        <v>251391</v>
      </c>
      <c r="E54" s="29">
        <f t="shared" si="0"/>
        <v>537684</v>
      </c>
      <c r="F54" s="30">
        <v>12270397</v>
      </c>
      <c r="G54" s="30">
        <v>0</v>
      </c>
      <c r="H54" s="30">
        <f t="shared" si="1"/>
        <v>12270397</v>
      </c>
      <c r="I54" s="42" t="s">
        <v>75</v>
      </c>
      <c r="J54" s="42" t="s">
        <v>75</v>
      </c>
      <c r="K54" s="32">
        <v>5415600</v>
      </c>
      <c r="L54" s="31" t="s">
        <v>75</v>
      </c>
      <c r="M54" s="31" t="s">
        <v>75</v>
      </c>
      <c r="N54" s="30">
        <v>15832492</v>
      </c>
      <c r="O54" s="31" t="s">
        <v>75</v>
      </c>
      <c r="P54" s="31" t="s">
        <v>75</v>
      </c>
      <c r="Q54" s="30">
        <v>13269161</v>
      </c>
      <c r="R54" s="31" t="s">
        <v>75</v>
      </c>
      <c r="S54" s="31" t="s">
        <v>75</v>
      </c>
      <c r="T54" s="32">
        <v>33019</v>
      </c>
      <c r="U54" s="31" t="s">
        <v>75</v>
      </c>
      <c r="V54" s="31" t="s">
        <v>75</v>
      </c>
      <c r="W54" s="31" t="s">
        <v>75</v>
      </c>
      <c r="X54" s="31" t="s">
        <v>75</v>
      </c>
      <c r="Y54" s="31" t="s">
        <v>75</v>
      </c>
      <c r="Z54" s="30">
        <v>207546</v>
      </c>
      <c r="AA54" s="31" t="s">
        <v>75</v>
      </c>
      <c r="AB54" s="31" t="s">
        <v>75</v>
      </c>
      <c r="AC54" s="30">
        <v>494796</v>
      </c>
      <c r="AD54" s="31" t="s">
        <v>75</v>
      </c>
      <c r="AE54" s="31" t="s">
        <v>75</v>
      </c>
      <c r="AF54" s="30">
        <v>122225</v>
      </c>
      <c r="AG54" s="42" t="s">
        <v>75</v>
      </c>
      <c r="AH54" s="42" t="s">
        <v>75</v>
      </c>
      <c r="AI54" s="32">
        <v>122014</v>
      </c>
      <c r="AJ54" s="31" t="s">
        <v>75</v>
      </c>
      <c r="AK54" s="31" t="s">
        <v>75</v>
      </c>
      <c r="AL54" s="31" t="s">
        <v>75</v>
      </c>
      <c r="AM54" s="31"/>
      <c r="AN54" s="31"/>
      <c r="AO54" s="31"/>
      <c r="AP54" s="31"/>
      <c r="AQ54" s="31"/>
      <c r="AR54" s="31"/>
      <c r="AS54" s="31" t="s">
        <v>75</v>
      </c>
      <c r="AT54" s="31" t="s">
        <v>75</v>
      </c>
      <c r="AU54" s="31" t="s">
        <v>75</v>
      </c>
      <c r="AV54" s="31" t="s">
        <v>75</v>
      </c>
      <c r="AW54" s="31" t="s">
        <v>75</v>
      </c>
      <c r="AX54" s="31" t="s">
        <v>75</v>
      </c>
      <c r="AY54" s="31" t="s">
        <v>75</v>
      </c>
      <c r="AZ54" s="31" t="s">
        <v>75</v>
      </c>
      <c r="BA54" s="31" t="s">
        <v>75</v>
      </c>
      <c r="BB54" s="31" t="s">
        <v>75</v>
      </c>
      <c r="BC54" s="31" t="s">
        <v>75</v>
      </c>
      <c r="BD54" s="31" t="s">
        <v>75</v>
      </c>
      <c r="BE54" s="113">
        <v>0</v>
      </c>
      <c r="BF54" s="113">
        <v>0</v>
      </c>
      <c r="BG54" s="113">
        <v>0</v>
      </c>
      <c r="BH54" s="113">
        <v>0</v>
      </c>
      <c r="BI54" s="113">
        <v>0</v>
      </c>
      <c r="BJ54" s="113">
        <v>0</v>
      </c>
      <c r="BK54" s="113">
        <v>0</v>
      </c>
      <c r="BL54" s="113">
        <v>0</v>
      </c>
      <c r="BM54" s="113">
        <v>0</v>
      </c>
      <c r="BN54" s="113">
        <v>0</v>
      </c>
      <c r="BO54" s="113">
        <v>0</v>
      </c>
      <c r="BP54" s="113">
        <v>0</v>
      </c>
      <c r="BQ54" s="113">
        <v>0</v>
      </c>
      <c r="BR54" s="113">
        <v>0</v>
      </c>
      <c r="BS54" s="113">
        <v>0</v>
      </c>
      <c r="BT54" s="113">
        <v>0</v>
      </c>
      <c r="BU54" s="113">
        <v>0</v>
      </c>
      <c r="BV54" s="113">
        <v>0</v>
      </c>
      <c r="BW54" s="113"/>
      <c r="BX54" s="113"/>
      <c r="BY54" s="113"/>
      <c r="BZ54" s="113">
        <v>0</v>
      </c>
      <c r="CA54" s="113">
        <v>0</v>
      </c>
      <c r="CB54" s="113">
        <v>0</v>
      </c>
      <c r="CC54" s="113"/>
      <c r="CD54" s="113"/>
      <c r="CE54" s="113"/>
      <c r="CF54" s="113">
        <v>0</v>
      </c>
      <c r="CG54" s="113">
        <v>0</v>
      </c>
      <c r="CH54" s="113">
        <v>0</v>
      </c>
      <c r="CI54" s="113">
        <v>0</v>
      </c>
      <c r="CJ54" s="113">
        <v>0</v>
      </c>
      <c r="CK54" s="113">
        <v>0</v>
      </c>
      <c r="CL54" s="113">
        <v>0</v>
      </c>
      <c r="CM54" s="113">
        <v>0</v>
      </c>
      <c r="CN54" s="113">
        <v>0</v>
      </c>
      <c r="CO54" s="113">
        <v>0</v>
      </c>
      <c r="CP54" s="113">
        <v>0</v>
      </c>
      <c r="CQ54" s="113">
        <v>0</v>
      </c>
      <c r="CR54" s="113">
        <v>0</v>
      </c>
      <c r="CS54" s="113">
        <v>0</v>
      </c>
      <c r="CT54" s="113">
        <v>0</v>
      </c>
      <c r="CU54" s="113">
        <v>0</v>
      </c>
      <c r="CV54" s="113">
        <v>0</v>
      </c>
      <c r="CW54" s="113">
        <v>0</v>
      </c>
      <c r="CX54" s="113">
        <v>0</v>
      </c>
      <c r="CY54" s="113">
        <v>0</v>
      </c>
      <c r="CZ54" s="113">
        <v>0</v>
      </c>
      <c r="DA54" s="113">
        <v>0</v>
      </c>
      <c r="DB54" s="113">
        <v>0</v>
      </c>
      <c r="DC54" s="113">
        <v>0</v>
      </c>
      <c r="DD54" s="113">
        <v>0</v>
      </c>
      <c r="DE54" s="113">
        <v>0</v>
      </c>
      <c r="DF54" s="113">
        <v>0</v>
      </c>
      <c r="DG54" s="113">
        <v>0</v>
      </c>
      <c r="DH54" s="113">
        <v>0</v>
      </c>
      <c r="DI54" s="113">
        <v>0</v>
      </c>
      <c r="DJ54" s="113">
        <v>0</v>
      </c>
      <c r="DK54" s="113">
        <v>0</v>
      </c>
      <c r="DL54" s="113">
        <v>0</v>
      </c>
      <c r="DM54" s="113">
        <v>0</v>
      </c>
      <c r="DN54" s="113">
        <v>0</v>
      </c>
      <c r="DO54" s="113">
        <v>0</v>
      </c>
      <c r="DP54" s="113">
        <v>0</v>
      </c>
      <c r="DQ54" s="113">
        <v>0</v>
      </c>
      <c r="DR54" s="113">
        <v>0</v>
      </c>
      <c r="DS54" s="113">
        <v>0</v>
      </c>
      <c r="DT54" s="113">
        <v>0</v>
      </c>
      <c r="DU54" s="113">
        <v>0</v>
      </c>
      <c r="DV54" s="113">
        <v>0</v>
      </c>
      <c r="DW54" s="113">
        <v>0</v>
      </c>
      <c r="DX54" s="113">
        <v>0</v>
      </c>
      <c r="DY54" s="113">
        <v>0</v>
      </c>
      <c r="DZ54" s="113">
        <v>0</v>
      </c>
      <c r="EA54" s="113">
        <v>0</v>
      </c>
      <c r="EB54" s="113">
        <v>0</v>
      </c>
      <c r="EC54" s="113">
        <v>0</v>
      </c>
      <c r="ED54" s="113">
        <v>0</v>
      </c>
      <c r="EE54" s="113">
        <v>0</v>
      </c>
      <c r="EF54" s="113">
        <v>0</v>
      </c>
      <c r="EG54" s="113">
        <v>0</v>
      </c>
      <c r="EH54" s="113">
        <v>0</v>
      </c>
      <c r="EI54" s="113">
        <v>0</v>
      </c>
      <c r="EJ54" s="113">
        <v>0</v>
      </c>
      <c r="EK54" s="113">
        <v>0</v>
      </c>
      <c r="EL54" s="113">
        <v>0</v>
      </c>
      <c r="EM54" s="113">
        <v>0</v>
      </c>
      <c r="EN54" s="113">
        <v>0</v>
      </c>
      <c r="EO54" s="113">
        <v>0</v>
      </c>
      <c r="EP54" s="113">
        <v>0</v>
      </c>
      <c r="EQ54" s="113">
        <v>0</v>
      </c>
      <c r="ER54" s="113">
        <v>0</v>
      </c>
      <c r="ES54" s="113">
        <v>0</v>
      </c>
      <c r="ET54" s="113">
        <v>0</v>
      </c>
      <c r="EU54" s="113">
        <v>0</v>
      </c>
      <c r="EV54" s="113">
        <v>0</v>
      </c>
      <c r="EW54" s="113">
        <v>0</v>
      </c>
      <c r="EX54" s="113">
        <v>0</v>
      </c>
      <c r="EY54" s="113">
        <v>0</v>
      </c>
      <c r="EZ54" s="113">
        <v>0</v>
      </c>
      <c r="FA54" s="113">
        <v>0</v>
      </c>
      <c r="FB54" s="113">
        <v>0</v>
      </c>
      <c r="FC54" s="113">
        <v>0</v>
      </c>
      <c r="FD54" s="113">
        <v>0</v>
      </c>
      <c r="FE54" s="113">
        <v>0</v>
      </c>
      <c r="FF54" s="113">
        <v>0</v>
      </c>
      <c r="FG54" s="113">
        <v>0</v>
      </c>
      <c r="FH54" s="113">
        <v>0</v>
      </c>
      <c r="FI54" s="113">
        <v>0</v>
      </c>
      <c r="FJ54" s="113">
        <v>0</v>
      </c>
      <c r="FK54" s="113">
        <v>0</v>
      </c>
      <c r="FL54" s="113">
        <v>0</v>
      </c>
      <c r="FM54" s="113">
        <v>0</v>
      </c>
      <c r="FN54" s="113">
        <v>0</v>
      </c>
      <c r="FO54" s="113">
        <v>0</v>
      </c>
      <c r="FP54" s="113">
        <v>0</v>
      </c>
      <c r="FQ54" s="113">
        <v>0</v>
      </c>
      <c r="FR54" s="113">
        <v>0</v>
      </c>
      <c r="FS54" s="113">
        <v>0</v>
      </c>
      <c r="FT54" s="113">
        <v>0</v>
      </c>
      <c r="FU54" s="113">
        <v>0</v>
      </c>
      <c r="FV54" s="113">
        <v>0</v>
      </c>
      <c r="FW54" s="113">
        <v>0</v>
      </c>
      <c r="FX54" s="32">
        <v>0</v>
      </c>
      <c r="FY54" s="30">
        <v>0</v>
      </c>
      <c r="FZ54" s="30">
        <v>0</v>
      </c>
    </row>
    <row r="55" spans="1:182" x14ac:dyDescent="0.2">
      <c r="A55" s="28">
        <v>33239</v>
      </c>
      <c r="B55" s="28"/>
      <c r="C55" s="29">
        <v>65863</v>
      </c>
      <c r="D55" s="29">
        <v>47886</v>
      </c>
      <c r="E55" s="29">
        <f t="shared" si="0"/>
        <v>113749</v>
      </c>
      <c r="F55" s="30">
        <v>9309691</v>
      </c>
      <c r="G55" s="30">
        <v>0</v>
      </c>
      <c r="H55" s="30">
        <f t="shared" si="1"/>
        <v>9309691</v>
      </c>
      <c r="I55" s="42" t="s">
        <v>75</v>
      </c>
      <c r="J55" s="42" t="s">
        <v>75</v>
      </c>
      <c r="K55" s="32">
        <v>3553318</v>
      </c>
      <c r="L55" s="31" t="s">
        <v>75</v>
      </c>
      <c r="M55" s="31" t="s">
        <v>75</v>
      </c>
      <c r="N55" s="30">
        <v>11469391</v>
      </c>
      <c r="O55" s="31" t="s">
        <v>75</v>
      </c>
      <c r="P55" s="31" t="s">
        <v>75</v>
      </c>
      <c r="Q55" s="30">
        <v>12486133</v>
      </c>
      <c r="R55" s="31" t="s">
        <v>75</v>
      </c>
      <c r="S55" s="31" t="s">
        <v>75</v>
      </c>
      <c r="T55" s="32">
        <v>155239</v>
      </c>
      <c r="U55" s="31" t="s">
        <v>75</v>
      </c>
      <c r="V55" s="31" t="s">
        <v>75</v>
      </c>
      <c r="W55" s="31" t="s">
        <v>75</v>
      </c>
      <c r="X55" s="31" t="s">
        <v>75</v>
      </c>
      <c r="Y55" s="31" t="s">
        <v>75</v>
      </c>
      <c r="Z55" s="30">
        <v>52174</v>
      </c>
      <c r="AA55" s="31" t="s">
        <v>75</v>
      </c>
      <c r="AB55" s="31" t="s">
        <v>75</v>
      </c>
      <c r="AC55" s="30">
        <v>250167</v>
      </c>
      <c r="AD55" s="31" t="s">
        <v>75</v>
      </c>
      <c r="AE55" s="31" t="s">
        <v>75</v>
      </c>
      <c r="AF55" s="30">
        <v>3813</v>
      </c>
      <c r="AG55" s="42" t="s">
        <v>75</v>
      </c>
      <c r="AH55" s="42" t="s">
        <v>75</v>
      </c>
      <c r="AI55" s="32">
        <v>69909</v>
      </c>
      <c r="AJ55" s="31" t="s">
        <v>75</v>
      </c>
      <c r="AK55" s="31" t="s">
        <v>75</v>
      </c>
      <c r="AL55" s="31" t="s">
        <v>75</v>
      </c>
      <c r="AM55" s="31"/>
      <c r="AN55" s="31"/>
      <c r="AO55" s="31"/>
      <c r="AP55" s="31"/>
      <c r="AQ55" s="31"/>
      <c r="AR55" s="31"/>
      <c r="AS55" s="31" t="s">
        <v>75</v>
      </c>
      <c r="AT55" s="31" t="s">
        <v>75</v>
      </c>
      <c r="AU55" s="31" t="s">
        <v>75</v>
      </c>
      <c r="AV55" s="31" t="s">
        <v>75</v>
      </c>
      <c r="AW55" s="31" t="s">
        <v>75</v>
      </c>
      <c r="AX55" s="31" t="s">
        <v>75</v>
      </c>
      <c r="AY55" s="31" t="s">
        <v>75</v>
      </c>
      <c r="AZ55" s="31" t="s">
        <v>75</v>
      </c>
      <c r="BA55" s="31" t="s">
        <v>75</v>
      </c>
      <c r="BB55" s="31" t="s">
        <v>75</v>
      </c>
      <c r="BC55" s="31" t="s">
        <v>75</v>
      </c>
      <c r="BD55" s="31" t="s">
        <v>75</v>
      </c>
      <c r="BE55" s="113">
        <v>0</v>
      </c>
      <c r="BF55" s="113">
        <v>0</v>
      </c>
      <c r="BG55" s="113">
        <v>0</v>
      </c>
      <c r="BH55" s="113">
        <v>0</v>
      </c>
      <c r="BI55" s="113">
        <v>0</v>
      </c>
      <c r="BJ55" s="113">
        <v>0</v>
      </c>
      <c r="BK55" s="113">
        <v>0</v>
      </c>
      <c r="BL55" s="113">
        <v>0</v>
      </c>
      <c r="BM55" s="113">
        <v>0</v>
      </c>
      <c r="BN55" s="113">
        <v>0</v>
      </c>
      <c r="BO55" s="113">
        <v>0</v>
      </c>
      <c r="BP55" s="113">
        <v>0</v>
      </c>
      <c r="BQ55" s="113">
        <v>0</v>
      </c>
      <c r="BR55" s="113">
        <v>0</v>
      </c>
      <c r="BS55" s="113">
        <v>0</v>
      </c>
      <c r="BT55" s="113">
        <v>0</v>
      </c>
      <c r="BU55" s="113">
        <v>0</v>
      </c>
      <c r="BV55" s="113">
        <v>0</v>
      </c>
      <c r="BW55" s="113"/>
      <c r="BX55" s="113"/>
      <c r="BY55" s="113"/>
      <c r="BZ55" s="113">
        <v>0</v>
      </c>
      <c r="CA55" s="113">
        <v>0</v>
      </c>
      <c r="CB55" s="113">
        <v>0</v>
      </c>
      <c r="CC55" s="113"/>
      <c r="CD55" s="113"/>
      <c r="CE55" s="113"/>
      <c r="CF55" s="113">
        <v>0</v>
      </c>
      <c r="CG55" s="113">
        <v>0</v>
      </c>
      <c r="CH55" s="113">
        <v>0</v>
      </c>
      <c r="CI55" s="113">
        <v>0</v>
      </c>
      <c r="CJ55" s="113">
        <v>0</v>
      </c>
      <c r="CK55" s="113">
        <v>0</v>
      </c>
      <c r="CL55" s="113">
        <v>0</v>
      </c>
      <c r="CM55" s="113">
        <v>0</v>
      </c>
      <c r="CN55" s="113">
        <v>0</v>
      </c>
      <c r="CO55" s="113">
        <v>0</v>
      </c>
      <c r="CP55" s="113">
        <v>0</v>
      </c>
      <c r="CQ55" s="113">
        <v>0</v>
      </c>
      <c r="CR55" s="113">
        <v>0</v>
      </c>
      <c r="CS55" s="113">
        <v>0</v>
      </c>
      <c r="CT55" s="113">
        <v>0</v>
      </c>
      <c r="CU55" s="113">
        <v>0</v>
      </c>
      <c r="CV55" s="113">
        <v>0</v>
      </c>
      <c r="CW55" s="113">
        <v>0</v>
      </c>
      <c r="CX55" s="113">
        <v>0</v>
      </c>
      <c r="CY55" s="113">
        <v>0</v>
      </c>
      <c r="CZ55" s="113">
        <v>0</v>
      </c>
      <c r="DA55" s="113">
        <v>0</v>
      </c>
      <c r="DB55" s="113">
        <v>0</v>
      </c>
      <c r="DC55" s="113">
        <v>0</v>
      </c>
      <c r="DD55" s="113">
        <v>0</v>
      </c>
      <c r="DE55" s="113">
        <v>0</v>
      </c>
      <c r="DF55" s="113">
        <v>0</v>
      </c>
      <c r="DG55" s="113">
        <v>0</v>
      </c>
      <c r="DH55" s="113">
        <v>0</v>
      </c>
      <c r="DI55" s="113">
        <v>0</v>
      </c>
      <c r="DJ55" s="113">
        <v>0</v>
      </c>
      <c r="DK55" s="113">
        <v>0</v>
      </c>
      <c r="DL55" s="113">
        <v>0</v>
      </c>
      <c r="DM55" s="113">
        <v>0</v>
      </c>
      <c r="DN55" s="113">
        <v>0</v>
      </c>
      <c r="DO55" s="113">
        <v>0</v>
      </c>
      <c r="DP55" s="113">
        <v>0</v>
      </c>
      <c r="DQ55" s="113">
        <v>0</v>
      </c>
      <c r="DR55" s="113">
        <v>0</v>
      </c>
      <c r="DS55" s="113">
        <v>0</v>
      </c>
      <c r="DT55" s="113">
        <v>0</v>
      </c>
      <c r="DU55" s="113">
        <v>0</v>
      </c>
      <c r="DV55" s="113">
        <v>0</v>
      </c>
      <c r="DW55" s="113">
        <v>0</v>
      </c>
      <c r="DX55" s="113">
        <v>0</v>
      </c>
      <c r="DY55" s="113">
        <v>0</v>
      </c>
      <c r="DZ55" s="113">
        <v>0</v>
      </c>
      <c r="EA55" s="113">
        <v>0</v>
      </c>
      <c r="EB55" s="113">
        <v>0</v>
      </c>
      <c r="EC55" s="113">
        <v>0</v>
      </c>
      <c r="ED55" s="113">
        <v>0</v>
      </c>
      <c r="EE55" s="113">
        <v>0</v>
      </c>
      <c r="EF55" s="113">
        <v>0</v>
      </c>
      <c r="EG55" s="113">
        <v>0</v>
      </c>
      <c r="EH55" s="113">
        <v>0</v>
      </c>
      <c r="EI55" s="113">
        <v>0</v>
      </c>
      <c r="EJ55" s="113">
        <v>0</v>
      </c>
      <c r="EK55" s="113">
        <v>0</v>
      </c>
      <c r="EL55" s="113">
        <v>0</v>
      </c>
      <c r="EM55" s="113">
        <v>0</v>
      </c>
      <c r="EN55" s="113">
        <v>0</v>
      </c>
      <c r="EO55" s="113">
        <v>0</v>
      </c>
      <c r="EP55" s="113">
        <v>0</v>
      </c>
      <c r="EQ55" s="113">
        <v>0</v>
      </c>
      <c r="ER55" s="113">
        <v>0</v>
      </c>
      <c r="ES55" s="113">
        <v>0</v>
      </c>
      <c r="ET55" s="113">
        <v>0</v>
      </c>
      <c r="EU55" s="113">
        <v>0</v>
      </c>
      <c r="EV55" s="113">
        <v>0</v>
      </c>
      <c r="EW55" s="113">
        <v>0</v>
      </c>
      <c r="EX55" s="113">
        <v>0</v>
      </c>
      <c r="EY55" s="113">
        <v>0</v>
      </c>
      <c r="EZ55" s="113">
        <v>0</v>
      </c>
      <c r="FA55" s="113">
        <v>0</v>
      </c>
      <c r="FB55" s="113">
        <v>0</v>
      </c>
      <c r="FC55" s="113">
        <v>0</v>
      </c>
      <c r="FD55" s="113">
        <v>0</v>
      </c>
      <c r="FE55" s="113">
        <v>0</v>
      </c>
      <c r="FF55" s="113">
        <v>0</v>
      </c>
      <c r="FG55" s="113">
        <v>0</v>
      </c>
      <c r="FH55" s="113">
        <v>0</v>
      </c>
      <c r="FI55" s="113">
        <v>0</v>
      </c>
      <c r="FJ55" s="113">
        <v>0</v>
      </c>
      <c r="FK55" s="113">
        <v>0</v>
      </c>
      <c r="FL55" s="113">
        <v>0</v>
      </c>
      <c r="FM55" s="113">
        <v>0</v>
      </c>
      <c r="FN55" s="113">
        <v>0</v>
      </c>
      <c r="FO55" s="113">
        <v>0</v>
      </c>
      <c r="FP55" s="113">
        <v>0</v>
      </c>
      <c r="FQ55" s="113">
        <v>0</v>
      </c>
      <c r="FR55" s="113">
        <v>0</v>
      </c>
      <c r="FS55" s="113">
        <v>0</v>
      </c>
      <c r="FT55" s="113">
        <v>0</v>
      </c>
      <c r="FU55" s="113">
        <v>0</v>
      </c>
      <c r="FV55" s="113">
        <v>0</v>
      </c>
      <c r="FW55" s="113">
        <v>0</v>
      </c>
      <c r="FX55" s="32">
        <v>0</v>
      </c>
      <c r="FY55" s="30">
        <v>0</v>
      </c>
      <c r="FZ55" s="30">
        <v>0</v>
      </c>
    </row>
    <row r="56" spans="1:182" x14ac:dyDescent="0.2">
      <c r="A56" s="28">
        <v>33270</v>
      </c>
      <c r="B56" s="28"/>
      <c r="C56" s="29">
        <v>133975</v>
      </c>
      <c r="D56" s="29">
        <v>99254</v>
      </c>
      <c r="E56" s="29">
        <f t="shared" si="0"/>
        <v>233229</v>
      </c>
      <c r="F56" s="30">
        <v>6721459</v>
      </c>
      <c r="G56" s="30">
        <v>0</v>
      </c>
      <c r="H56" s="30">
        <f t="shared" si="1"/>
        <v>6721459</v>
      </c>
      <c r="I56" s="42" t="s">
        <v>75</v>
      </c>
      <c r="J56" s="42" t="s">
        <v>75</v>
      </c>
      <c r="K56" s="32">
        <v>2855075</v>
      </c>
      <c r="L56" s="31" t="s">
        <v>75</v>
      </c>
      <c r="M56" s="31" t="s">
        <v>75</v>
      </c>
      <c r="N56" s="30">
        <v>10431278</v>
      </c>
      <c r="O56" s="31" t="s">
        <v>75</v>
      </c>
      <c r="P56" s="31" t="s">
        <v>75</v>
      </c>
      <c r="Q56" s="30">
        <v>10614179</v>
      </c>
      <c r="R56" s="31" t="s">
        <v>75</v>
      </c>
      <c r="S56" s="31" t="s">
        <v>75</v>
      </c>
      <c r="T56" s="32">
        <v>152508</v>
      </c>
      <c r="U56" s="31" t="s">
        <v>75</v>
      </c>
      <c r="V56" s="31" t="s">
        <v>75</v>
      </c>
      <c r="W56" s="31" t="s">
        <v>75</v>
      </c>
      <c r="X56" s="31" t="s">
        <v>75</v>
      </c>
      <c r="Y56" s="31" t="s">
        <v>75</v>
      </c>
      <c r="Z56" s="30">
        <v>74919</v>
      </c>
      <c r="AA56" s="31" t="s">
        <v>75</v>
      </c>
      <c r="AB56" s="31" t="s">
        <v>75</v>
      </c>
      <c r="AC56" s="30">
        <v>470724</v>
      </c>
      <c r="AD56" s="31" t="s">
        <v>75</v>
      </c>
      <c r="AE56" s="31" t="s">
        <v>75</v>
      </c>
      <c r="AF56" s="30">
        <v>5291</v>
      </c>
      <c r="AG56" s="42" t="s">
        <v>75</v>
      </c>
      <c r="AH56" s="42" t="s">
        <v>75</v>
      </c>
      <c r="AI56" s="32">
        <v>95768</v>
      </c>
      <c r="AJ56" s="31" t="s">
        <v>75</v>
      </c>
      <c r="AK56" s="31" t="s">
        <v>75</v>
      </c>
      <c r="AL56" s="31" t="s">
        <v>75</v>
      </c>
      <c r="AM56" s="31"/>
      <c r="AN56" s="31"/>
      <c r="AO56" s="31"/>
      <c r="AP56" s="31"/>
      <c r="AQ56" s="31"/>
      <c r="AR56" s="31"/>
      <c r="AS56" s="31" t="s">
        <v>75</v>
      </c>
      <c r="AT56" s="31" t="s">
        <v>75</v>
      </c>
      <c r="AU56" s="31" t="s">
        <v>75</v>
      </c>
      <c r="AV56" s="31" t="s">
        <v>75</v>
      </c>
      <c r="AW56" s="31" t="s">
        <v>75</v>
      </c>
      <c r="AX56" s="31" t="s">
        <v>75</v>
      </c>
      <c r="AY56" s="31" t="s">
        <v>75</v>
      </c>
      <c r="AZ56" s="31" t="s">
        <v>75</v>
      </c>
      <c r="BA56" s="31" t="s">
        <v>75</v>
      </c>
      <c r="BB56" s="31" t="s">
        <v>75</v>
      </c>
      <c r="BC56" s="31" t="s">
        <v>75</v>
      </c>
      <c r="BD56" s="31" t="s">
        <v>75</v>
      </c>
      <c r="BE56" s="113">
        <v>0</v>
      </c>
      <c r="BF56" s="113">
        <v>0</v>
      </c>
      <c r="BG56" s="113">
        <v>0</v>
      </c>
      <c r="BH56" s="113">
        <v>0</v>
      </c>
      <c r="BI56" s="113">
        <v>0</v>
      </c>
      <c r="BJ56" s="113">
        <v>0</v>
      </c>
      <c r="BK56" s="113">
        <v>0</v>
      </c>
      <c r="BL56" s="113">
        <v>0</v>
      </c>
      <c r="BM56" s="113">
        <v>0</v>
      </c>
      <c r="BN56" s="113">
        <v>0</v>
      </c>
      <c r="BO56" s="113">
        <v>0</v>
      </c>
      <c r="BP56" s="113">
        <v>0</v>
      </c>
      <c r="BQ56" s="113">
        <v>0</v>
      </c>
      <c r="BR56" s="113">
        <v>0</v>
      </c>
      <c r="BS56" s="113">
        <v>0</v>
      </c>
      <c r="BT56" s="113">
        <v>0</v>
      </c>
      <c r="BU56" s="113">
        <v>0</v>
      </c>
      <c r="BV56" s="113">
        <v>0</v>
      </c>
      <c r="BW56" s="113"/>
      <c r="BX56" s="113"/>
      <c r="BY56" s="113"/>
      <c r="BZ56" s="113">
        <v>0</v>
      </c>
      <c r="CA56" s="113">
        <v>0</v>
      </c>
      <c r="CB56" s="113">
        <v>0</v>
      </c>
      <c r="CC56" s="113"/>
      <c r="CD56" s="113"/>
      <c r="CE56" s="113"/>
      <c r="CF56" s="113">
        <v>0</v>
      </c>
      <c r="CG56" s="113">
        <v>0</v>
      </c>
      <c r="CH56" s="113">
        <v>0</v>
      </c>
      <c r="CI56" s="113">
        <v>0</v>
      </c>
      <c r="CJ56" s="113">
        <v>0</v>
      </c>
      <c r="CK56" s="113">
        <v>0</v>
      </c>
      <c r="CL56" s="113">
        <v>0</v>
      </c>
      <c r="CM56" s="113">
        <v>0</v>
      </c>
      <c r="CN56" s="113">
        <v>0</v>
      </c>
      <c r="CO56" s="113">
        <v>0</v>
      </c>
      <c r="CP56" s="113">
        <v>0</v>
      </c>
      <c r="CQ56" s="113">
        <v>0</v>
      </c>
      <c r="CR56" s="113">
        <v>0</v>
      </c>
      <c r="CS56" s="113">
        <v>0</v>
      </c>
      <c r="CT56" s="113">
        <v>0</v>
      </c>
      <c r="CU56" s="113">
        <v>0</v>
      </c>
      <c r="CV56" s="113">
        <v>0</v>
      </c>
      <c r="CW56" s="113">
        <v>0</v>
      </c>
      <c r="CX56" s="113">
        <v>0</v>
      </c>
      <c r="CY56" s="113">
        <v>0</v>
      </c>
      <c r="CZ56" s="113">
        <v>0</v>
      </c>
      <c r="DA56" s="113">
        <v>0</v>
      </c>
      <c r="DB56" s="113">
        <v>0</v>
      </c>
      <c r="DC56" s="113">
        <v>0</v>
      </c>
      <c r="DD56" s="113">
        <v>0</v>
      </c>
      <c r="DE56" s="113">
        <v>0</v>
      </c>
      <c r="DF56" s="113">
        <v>0</v>
      </c>
      <c r="DG56" s="113">
        <v>0</v>
      </c>
      <c r="DH56" s="113">
        <v>0</v>
      </c>
      <c r="DI56" s="113">
        <v>0</v>
      </c>
      <c r="DJ56" s="113">
        <v>0</v>
      </c>
      <c r="DK56" s="113">
        <v>0</v>
      </c>
      <c r="DL56" s="113">
        <v>0</v>
      </c>
      <c r="DM56" s="113">
        <v>0</v>
      </c>
      <c r="DN56" s="113">
        <v>0</v>
      </c>
      <c r="DO56" s="113">
        <v>0</v>
      </c>
      <c r="DP56" s="113">
        <v>0</v>
      </c>
      <c r="DQ56" s="113">
        <v>0</v>
      </c>
      <c r="DR56" s="113">
        <v>0</v>
      </c>
      <c r="DS56" s="113">
        <v>0</v>
      </c>
      <c r="DT56" s="113">
        <v>0</v>
      </c>
      <c r="DU56" s="113">
        <v>0</v>
      </c>
      <c r="DV56" s="113">
        <v>0</v>
      </c>
      <c r="DW56" s="113">
        <v>0</v>
      </c>
      <c r="DX56" s="113">
        <v>0</v>
      </c>
      <c r="DY56" s="113">
        <v>0</v>
      </c>
      <c r="DZ56" s="113">
        <v>0</v>
      </c>
      <c r="EA56" s="113">
        <v>0</v>
      </c>
      <c r="EB56" s="113">
        <v>0</v>
      </c>
      <c r="EC56" s="113">
        <v>0</v>
      </c>
      <c r="ED56" s="113">
        <v>0</v>
      </c>
      <c r="EE56" s="113">
        <v>0</v>
      </c>
      <c r="EF56" s="113">
        <v>0</v>
      </c>
      <c r="EG56" s="113">
        <v>0</v>
      </c>
      <c r="EH56" s="113">
        <v>0</v>
      </c>
      <c r="EI56" s="113">
        <v>0</v>
      </c>
      <c r="EJ56" s="113">
        <v>0</v>
      </c>
      <c r="EK56" s="113">
        <v>0</v>
      </c>
      <c r="EL56" s="113">
        <v>0</v>
      </c>
      <c r="EM56" s="113">
        <v>0</v>
      </c>
      <c r="EN56" s="113">
        <v>0</v>
      </c>
      <c r="EO56" s="113">
        <v>0</v>
      </c>
      <c r="EP56" s="113">
        <v>0</v>
      </c>
      <c r="EQ56" s="113">
        <v>0</v>
      </c>
      <c r="ER56" s="113">
        <v>0</v>
      </c>
      <c r="ES56" s="113">
        <v>0</v>
      </c>
      <c r="ET56" s="113">
        <v>0</v>
      </c>
      <c r="EU56" s="113">
        <v>0</v>
      </c>
      <c r="EV56" s="113">
        <v>0</v>
      </c>
      <c r="EW56" s="113">
        <v>0</v>
      </c>
      <c r="EX56" s="113">
        <v>0</v>
      </c>
      <c r="EY56" s="113">
        <v>0</v>
      </c>
      <c r="EZ56" s="113">
        <v>0</v>
      </c>
      <c r="FA56" s="113">
        <v>0</v>
      </c>
      <c r="FB56" s="113">
        <v>0</v>
      </c>
      <c r="FC56" s="113">
        <v>0</v>
      </c>
      <c r="FD56" s="113">
        <v>0</v>
      </c>
      <c r="FE56" s="113">
        <v>0</v>
      </c>
      <c r="FF56" s="113">
        <v>0</v>
      </c>
      <c r="FG56" s="113">
        <v>0</v>
      </c>
      <c r="FH56" s="113">
        <v>0</v>
      </c>
      <c r="FI56" s="113">
        <v>0</v>
      </c>
      <c r="FJ56" s="113">
        <v>0</v>
      </c>
      <c r="FK56" s="113">
        <v>0</v>
      </c>
      <c r="FL56" s="113">
        <v>0</v>
      </c>
      <c r="FM56" s="113">
        <v>0</v>
      </c>
      <c r="FN56" s="113">
        <v>0</v>
      </c>
      <c r="FO56" s="113">
        <v>0</v>
      </c>
      <c r="FP56" s="113">
        <v>0</v>
      </c>
      <c r="FQ56" s="113">
        <v>0</v>
      </c>
      <c r="FR56" s="113">
        <v>0</v>
      </c>
      <c r="FS56" s="113">
        <v>0</v>
      </c>
      <c r="FT56" s="113">
        <v>0</v>
      </c>
      <c r="FU56" s="113">
        <v>0</v>
      </c>
      <c r="FV56" s="113">
        <v>0</v>
      </c>
      <c r="FW56" s="113">
        <v>0</v>
      </c>
      <c r="FX56" s="32">
        <v>0</v>
      </c>
      <c r="FY56" s="30">
        <v>0</v>
      </c>
      <c r="FZ56" s="30">
        <v>0</v>
      </c>
    </row>
    <row r="57" spans="1:182" x14ac:dyDescent="0.2">
      <c r="A57" s="28">
        <v>33298</v>
      </c>
      <c r="B57" s="28"/>
      <c r="C57" s="29">
        <v>80091</v>
      </c>
      <c r="D57" s="29">
        <v>56532</v>
      </c>
      <c r="E57" s="29">
        <f t="shared" si="0"/>
        <v>136623</v>
      </c>
      <c r="F57" s="30">
        <v>5598787</v>
      </c>
      <c r="G57" s="30">
        <v>0</v>
      </c>
      <c r="H57" s="30">
        <f t="shared" si="1"/>
        <v>5598787</v>
      </c>
      <c r="I57" s="42" t="s">
        <v>75</v>
      </c>
      <c r="J57" s="42" t="s">
        <v>75</v>
      </c>
      <c r="K57" s="32">
        <v>2996006</v>
      </c>
      <c r="L57" s="31" t="s">
        <v>75</v>
      </c>
      <c r="M57" s="31" t="s">
        <v>75</v>
      </c>
      <c r="N57" s="30">
        <v>10480041</v>
      </c>
      <c r="O57" s="31" t="s">
        <v>75</v>
      </c>
      <c r="P57" s="31" t="s">
        <v>75</v>
      </c>
      <c r="Q57" s="30">
        <v>12300627</v>
      </c>
      <c r="R57" s="31" t="s">
        <v>75</v>
      </c>
      <c r="S57" s="31" t="s">
        <v>75</v>
      </c>
      <c r="T57" s="32">
        <v>179415</v>
      </c>
      <c r="U57" s="31" t="s">
        <v>75</v>
      </c>
      <c r="V57" s="31" t="s">
        <v>75</v>
      </c>
      <c r="W57" s="31" t="s">
        <v>75</v>
      </c>
      <c r="X57" s="31" t="s">
        <v>75</v>
      </c>
      <c r="Y57" s="31" t="s">
        <v>75</v>
      </c>
      <c r="Z57" s="30">
        <v>79673</v>
      </c>
      <c r="AA57" s="31" t="s">
        <v>75</v>
      </c>
      <c r="AB57" s="31" t="s">
        <v>75</v>
      </c>
      <c r="AC57" s="30">
        <v>244450</v>
      </c>
      <c r="AD57" s="31" t="s">
        <v>75</v>
      </c>
      <c r="AE57" s="31" t="s">
        <v>75</v>
      </c>
      <c r="AF57" s="30">
        <v>6317</v>
      </c>
      <c r="AG57" s="42" t="s">
        <v>75</v>
      </c>
      <c r="AH57" s="42" t="s">
        <v>75</v>
      </c>
      <c r="AI57" s="32">
        <v>55125</v>
      </c>
      <c r="AJ57" s="31" t="s">
        <v>75</v>
      </c>
      <c r="AK57" s="31" t="s">
        <v>75</v>
      </c>
      <c r="AL57" s="31" t="s">
        <v>75</v>
      </c>
      <c r="AM57" s="31"/>
      <c r="AN57" s="31"/>
      <c r="AO57" s="31"/>
      <c r="AP57" s="31"/>
      <c r="AQ57" s="31"/>
      <c r="AR57" s="31"/>
      <c r="AS57" s="31" t="s">
        <v>75</v>
      </c>
      <c r="AT57" s="31" t="s">
        <v>75</v>
      </c>
      <c r="AU57" s="31" t="s">
        <v>75</v>
      </c>
      <c r="AV57" s="31" t="s">
        <v>75</v>
      </c>
      <c r="AW57" s="31" t="s">
        <v>75</v>
      </c>
      <c r="AX57" s="31" t="s">
        <v>75</v>
      </c>
      <c r="AY57" s="31" t="s">
        <v>75</v>
      </c>
      <c r="AZ57" s="31" t="s">
        <v>75</v>
      </c>
      <c r="BA57" s="31" t="s">
        <v>75</v>
      </c>
      <c r="BB57" s="31" t="s">
        <v>75</v>
      </c>
      <c r="BC57" s="31" t="s">
        <v>75</v>
      </c>
      <c r="BD57" s="31" t="s">
        <v>75</v>
      </c>
      <c r="BE57" s="113">
        <v>0</v>
      </c>
      <c r="BF57" s="113">
        <v>0</v>
      </c>
      <c r="BG57" s="113">
        <v>0</v>
      </c>
      <c r="BH57" s="113">
        <v>0</v>
      </c>
      <c r="BI57" s="113">
        <v>0</v>
      </c>
      <c r="BJ57" s="113">
        <v>0</v>
      </c>
      <c r="BK57" s="113">
        <v>0</v>
      </c>
      <c r="BL57" s="113">
        <v>0</v>
      </c>
      <c r="BM57" s="113">
        <v>0</v>
      </c>
      <c r="BN57" s="113">
        <v>0</v>
      </c>
      <c r="BO57" s="113">
        <v>0</v>
      </c>
      <c r="BP57" s="113">
        <v>0</v>
      </c>
      <c r="BQ57" s="113">
        <v>0</v>
      </c>
      <c r="BR57" s="113">
        <v>0</v>
      </c>
      <c r="BS57" s="113">
        <v>0</v>
      </c>
      <c r="BT57" s="113">
        <v>0</v>
      </c>
      <c r="BU57" s="113">
        <v>0</v>
      </c>
      <c r="BV57" s="113">
        <v>0</v>
      </c>
      <c r="BW57" s="113"/>
      <c r="BX57" s="113"/>
      <c r="BY57" s="113"/>
      <c r="BZ57" s="113">
        <v>0</v>
      </c>
      <c r="CA57" s="113">
        <v>0</v>
      </c>
      <c r="CB57" s="113">
        <v>0</v>
      </c>
      <c r="CC57" s="113"/>
      <c r="CD57" s="113"/>
      <c r="CE57" s="113"/>
      <c r="CF57" s="113">
        <v>0</v>
      </c>
      <c r="CG57" s="113">
        <v>0</v>
      </c>
      <c r="CH57" s="113">
        <v>0</v>
      </c>
      <c r="CI57" s="113">
        <v>0</v>
      </c>
      <c r="CJ57" s="113">
        <v>0</v>
      </c>
      <c r="CK57" s="113">
        <v>0</v>
      </c>
      <c r="CL57" s="113">
        <v>0</v>
      </c>
      <c r="CM57" s="113">
        <v>0</v>
      </c>
      <c r="CN57" s="113">
        <v>0</v>
      </c>
      <c r="CO57" s="113">
        <v>0</v>
      </c>
      <c r="CP57" s="113">
        <v>0</v>
      </c>
      <c r="CQ57" s="113">
        <v>0</v>
      </c>
      <c r="CR57" s="113">
        <v>0</v>
      </c>
      <c r="CS57" s="113">
        <v>0</v>
      </c>
      <c r="CT57" s="113">
        <v>0</v>
      </c>
      <c r="CU57" s="113">
        <v>0</v>
      </c>
      <c r="CV57" s="113">
        <v>0</v>
      </c>
      <c r="CW57" s="113">
        <v>0</v>
      </c>
      <c r="CX57" s="113">
        <v>0</v>
      </c>
      <c r="CY57" s="113">
        <v>0</v>
      </c>
      <c r="CZ57" s="113">
        <v>0</v>
      </c>
      <c r="DA57" s="113">
        <v>0</v>
      </c>
      <c r="DB57" s="113">
        <v>0</v>
      </c>
      <c r="DC57" s="113">
        <v>0</v>
      </c>
      <c r="DD57" s="113">
        <v>0</v>
      </c>
      <c r="DE57" s="113">
        <v>0</v>
      </c>
      <c r="DF57" s="113">
        <v>0</v>
      </c>
      <c r="DG57" s="113">
        <v>0</v>
      </c>
      <c r="DH57" s="113">
        <v>0</v>
      </c>
      <c r="DI57" s="113">
        <v>0</v>
      </c>
      <c r="DJ57" s="113">
        <v>0</v>
      </c>
      <c r="DK57" s="113">
        <v>0</v>
      </c>
      <c r="DL57" s="113">
        <v>0</v>
      </c>
      <c r="DM57" s="113">
        <v>0</v>
      </c>
      <c r="DN57" s="113">
        <v>0</v>
      </c>
      <c r="DO57" s="113">
        <v>0</v>
      </c>
      <c r="DP57" s="113">
        <v>0</v>
      </c>
      <c r="DQ57" s="113">
        <v>0</v>
      </c>
      <c r="DR57" s="113">
        <v>0</v>
      </c>
      <c r="DS57" s="113">
        <v>0</v>
      </c>
      <c r="DT57" s="113">
        <v>0</v>
      </c>
      <c r="DU57" s="113">
        <v>0</v>
      </c>
      <c r="DV57" s="113">
        <v>0</v>
      </c>
      <c r="DW57" s="113">
        <v>0</v>
      </c>
      <c r="DX57" s="113">
        <v>0</v>
      </c>
      <c r="DY57" s="113">
        <v>0</v>
      </c>
      <c r="DZ57" s="113">
        <v>0</v>
      </c>
      <c r="EA57" s="113">
        <v>0</v>
      </c>
      <c r="EB57" s="113">
        <v>0</v>
      </c>
      <c r="EC57" s="113">
        <v>0</v>
      </c>
      <c r="ED57" s="113">
        <v>0</v>
      </c>
      <c r="EE57" s="113">
        <v>0</v>
      </c>
      <c r="EF57" s="113">
        <v>0</v>
      </c>
      <c r="EG57" s="113">
        <v>0</v>
      </c>
      <c r="EH57" s="113">
        <v>0</v>
      </c>
      <c r="EI57" s="113">
        <v>0</v>
      </c>
      <c r="EJ57" s="113">
        <v>0</v>
      </c>
      <c r="EK57" s="113">
        <v>0</v>
      </c>
      <c r="EL57" s="113">
        <v>0</v>
      </c>
      <c r="EM57" s="113">
        <v>0</v>
      </c>
      <c r="EN57" s="113">
        <v>0</v>
      </c>
      <c r="EO57" s="113">
        <v>0</v>
      </c>
      <c r="EP57" s="113">
        <v>0</v>
      </c>
      <c r="EQ57" s="113">
        <v>0</v>
      </c>
      <c r="ER57" s="113">
        <v>0</v>
      </c>
      <c r="ES57" s="113">
        <v>0</v>
      </c>
      <c r="ET57" s="113">
        <v>0</v>
      </c>
      <c r="EU57" s="113">
        <v>0</v>
      </c>
      <c r="EV57" s="113">
        <v>0</v>
      </c>
      <c r="EW57" s="113">
        <v>0</v>
      </c>
      <c r="EX57" s="113">
        <v>0</v>
      </c>
      <c r="EY57" s="113">
        <v>0</v>
      </c>
      <c r="EZ57" s="113">
        <v>0</v>
      </c>
      <c r="FA57" s="113">
        <v>0</v>
      </c>
      <c r="FB57" s="113">
        <v>0</v>
      </c>
      <c r="FC57" s="113">
        <v>0</v>
      </c>
      <c r="FD57" s="113">
        <v>0</v>
      </c>
      <c r="FE57" s="113">
        <v>0</v>
      </c>
      <c r="FF57" s="113">
        <v>0</v>
      </c>
      <c r="FG57" s="113">
        <v>0</v>
      </c>
      <c r="FH57" s="113">
        <v>0</v>
      </c>
      <c r="FI57" s="113">
        <v>0</v>
      </c>
      <c r="FJ57" s="113">
        <v>0</v>
      </c>
      <c r="FK57" s="113">
        <v>0</v>
      </c>
      <c r="FL57" s="113">
        <v>0</v>
      </c>
      <c r="FM57" s="113">
        <v>0</v>
      </c>
      <c r="FN57" s="113">
        <v>0</v>
      </c>
      <c r="FO57" s="113">
        <v>0</v>
      </c>
      <c r="FP57" s="113">
        <v>0</v>
      </c>
      <c r="FQ57" s="113">
        <v>0</v>
      </c>
      <c r="FR57" s="113">
        <v>0</v>
      </c>
      <c r="FS57" s="113">
        <v>0</v>
      </c>
      <c r="FT57" s="113">
        <v>0</v>
      </c>
      <c r="FU57" s="113">
        <v>0</v>
      </c>
      <c r="FV57" s="113">
        <v>0</v>
      </c>
      <c r="FW57" s="113">
        <v>0</v>
      </c>
      <c r="FX57" s="32">
        <v>0</v>
      </c>
      <c r="FY57" s="30">
        <v>0</v>
      </c>
      <c r="FZ57" s="30">
        <v>0</v>
      </c>
    </row>
    <row r="58" spans="1:182" x14ac:dyDescent="0.2">
      <c r="A58" s="28">
        <v>33329</v>
      </c>
      <c r="B58" s="28"/>
      <c r="C58" s="29">
        <v>330514</v>
      </c>
      <c r="D58" s="29">
        <v>92176</v>
      </c>
      <c r="E58" s="29">
        <f t="shared" si="0"/>
        <v>422690</v>
      </c>
      <c r="F58" s="30">
        <v>4169649</v>
      </c>
      <c r="G58" s="30">
        <v>0</v>
      </c>
      <c r="H58" s="30">
        <f t="shared" si="1"/>
        <v>4169649</v>
      </c>
      <c r="I58" s="42" t="s">
        <v>75</v>
      </c>
      <c r="J58" s="42" t="s">
        <v>75</v>
      </c>
      <c r="K58" s="32">
        <v>2485338</v>
      </c>
      <c r="L58" s="31" t="s">
        <v>75</v>
      </c>
      <c r="M58" s="31" t="s">
        <v>75</v>
      </c>
      <c r="N58" s="30">
        <v>8920797</v>
      </c>
      <c r="O58" s="31" t="s">
        <v>75</v>
      </c>
      <c r="P58" s="31" t="s">
        <v>75</v>
      </c>
      <c r="Q58" s="30">
        <v>12424178</v>
      </c>
      <c r="R58" s="31" t="s">
        <v>75</v>
      </c>
      <c r="S58" s="31" t="s">
        <v>75</v>
      </c>
      <c r="T58" s="32">
        <v>283864</v>
      </c>
      <c r="U58" s="31" t="s">
        <v>75</v>
      </c>
      <c r="V58" s="31" t="s">
        <v>75</v>
      </c>
      <c r="W58" s="31" t="s">
        <v>75</v>
      </c>
      <c r="X58" s="31" t="s">
        <v>75</v>
      </c>
      <c r="Y58" s="31" t="s">
        <v>75</v>
      </c>
      <c r="Z58" s="30">
        <v>178603</v>
      </c>
      <c r="AA58" s="31" t="s">
        <v>75</v>
      </c>
      <c r="AB58" s="31" t="s">
        <v>75</v>
      </c>
      <c r="AC58" s="30">
        <v>571331</v>
      </c>
      <c r="AD58" s="31" t="s">
        <v>75</v>
      </c>
      <c r="AE58" s="31" t="s">
        <v>75</v>
      </c>
      <c r="AF58" s="30">
        <v>13683</v>
      </c>
      <c r="AG58" s="42" t="s">
        <v>75</v>
      </c>
      <c r="AH58" s="42" t="s">
        <v>75</v>
      </c>
      <c r="AI58" s="32">
        <v>129837</v>
      </c>
      <c r="AJ58" s="31" t="s">
        <v>75</v>
      </c>
      <c r="AK58" s="31" t="s">
        <v>75</v>
      </c>
      <c r="AL58" s="31" t="s">
        <v>75</v>
      </c>
      <c r="AM58" s="31"/>
      <c r="AN58" s="31"/>
      <c r="AO58" s="31"/>
      <c r="AP58" s="31"/>
      <c r="AQ58" s="31"/>
      <c r="AR58" s="31"/>
      <c r="AS58" s="31" t="s">
        <v>75</v>
      </c>
      <c r="AT58" s="31" t="s">
        <v>75</v>
      </c>
      <c r="AU58" s="31" t="s">
        <v>75</v>
      </c>
      <c r="AV58" s="31" t="s">
        <v>75</v>
      </c>
      <c r="AW58" s="31" t="s">
        <v>75</v>
      </c>
      <c r="AX58" s="31" t="s">
        <v>75</v>
      </c>
      <c r="AY58" s="31" t="s">
        <v>75</v>
      </c>
      <c r="AZ58" s="31" t="s">
        <v>75</v>
      </c>
      <c r="BA58" s="31" t="s">
        <v>75</v>
      </c>
      <c r="BB58" s="31" t="s">
        <v>75</v>
      </c>
      <c r="BC58" s="31" t="s">
        <v>75</v>
      </c>
      <c r="BD58" s="31" t="s">
        <v>75</v>
      </c>
      <c r="BE58" s="113">
        <v>0</v>
      </c>
      <c r="BF58" s="113">
        <v>0</v>
      </c>
      <c r="BG58" s="113">
        <v>0</v>
      </c>
      <c r="BH58" s="113">
        <v>0</v>
      </c>
      <c r="BI58" s="113">
        <v>0</v>
      </c>
      <c r="BJ58" s="113">
        <v>0</v>
      </c>
      <c r="BK58" s="113">
        <v>0</v>
      </c>
      <c r="BL58" s="113">
        <v>0</v>
      </c>
      <c r="BM58" s="113">
        <v>0</v>
      </c>
      <c r="BN58" s="113">
        <v>0</v>
      </c>
      <c r="BO58" s="113">
        <v>0</v>
      </c>
      <c r="BP58" s="113">
        <v>0</v>
      </c>
      <c r="BQ58" s="113">
        <v>0</v>
      </c>
      <c r="BR58" s="113">
        <v>0</v>
      </c>
      <c r="BS58" s="113">
        <v>0</v>
      </c>
      <c r="BT58" s="113">
        <v>0</v>
      </c>
      <c r="BU58" s="113">
        <v>0</v>
      </c>
      <c r="BV58" s="113">
        <v>0</v>
      </c>
      <c r="BW58" s="113"/>
      <c r="BX58" s="113"/>
      <c r="BY58" s="113"/>
      <c r="BZ58" s="113">
        <v>0</v>
      </c>
      <c r="CA58" s="113">
        <v>0</v>
      </c>
      <c r="CB58" s="113">
        <v>0</v>
      </c>
      <c r="CC58" s="113"/>
      <c r="CD58" s="113"/>
      <c r="CE58" s="113"/>
      <c r="CF58" s="113">
        <v>0</v>
      </c>
      <c r="CG58" s="113">
        <v>0</v>
      </c>
      <c r="CH58" s="113">
        <v>0</v>
      </c>
      <c r="CI58" s="113">
        <v>0</v>
      </c>
      <c r="CJ58" s="113">
        <v>0</v>
      </c>
      <c r="CK58" s="113">
        <v>0</v>
      </c>
      <c r="CL58" s="113">
        <v>0</v>
      </c>
      <c r="CM58" s="113">
        <v>0</v>
      </c>
      <c r="CN58" s="113">
        <v>0</v>
      </c>
      <c r="CO58" s="113">
        <v>0</v>
      </c>
      <c r="CP58" s="113">
        <v>0</v>
      </c>
      <c r="CQ58" s="113">
        <v>0</v>
      </c>
      <c r="CR58" s="113">
        <v>0</v>
      </c>
      <c r="CS58" s="113">
        <v>0</v>
      </c>
      <c r="CT58" s="113">
        <v>0</v>
      </c>
      <c r="CU58" s="113">
        <v>0</v>
      </c>
      <c r="CV58" s="113">
        <v>0</v>
      </c>
      <c r="CW58" s="113">
        <v>0</v>
      </c>
      <c r="CX58" s="113">
        <v>0</v>
      </c>
      <c r="CY58" s="113">
        <v>0</v>
      </c>
      <c r="CZ58" s="113">
        <v>0</v>
      </c>
      <c r="DA58" s="113">
        <v>0</v>
      </c>
      <c r="DB58" s="113">
        <v>0</v>
      </c>
      <c r="DC58" s="113">
        <v>0</v>
      </c>
      <c r="DD58" s="113">
        <v>0</v>
      </c>
      <c r="DE58" s="113">
        <v>0</v>
      </c>
      <c r="DF58" s="113">
        <v>0</v>
      </c>
      <c r="DG58" s="113">
        <v>0</v>
      </c>
      <c r="DH58" s="113">
        <v>0</v>
      </c>
      <c r="DI58" s="113">
        <v>0</v>
      </c>
      <c r="DJ58" s="113">
        <v>0</v>
      </c>
      <c r="DK58" s="113">
        <v>0</v>
      </c>
      <c r="DL58" s="113">
        <v>0</v>
      </c>
      <c r="DM58" s="113">
        <v>0</v>
      </c>
      <c r="DN58" s="113">
        <v>0</v>
      </c>
      <c r="DO58" s="113">
        <v>0</v>
      </c>
      <c r="DP58" s="113">
        <v>0</v>
      </c>
      <c r="DQ58" s="113">
        <v>0</v>
      </c>
      <c r="DR58" s="113">
        <v>0</v>
      </c>
      <c r="DS58" s="113">
        <v>0</v>
      </c>
      <c r="DT58" s="113">
        <v>0</v>
      </c>
      <c r="DU58" s="113">
        <v>0</v>
      </c>
      <c r="DV58" s="113">
        <v>0</v>
      </c>
      <c r="DW58" s="113">
        <v>0</v>
      </c>
      <c r="DX58" s="113">
        <v>0</v>
      </c>
      <c r="DY58" s="113">
        <v>0</v>
      </c>
      <c r="DZ58" s="113">
        <v>0</v>
      </c>
      <c r="EA58" s="113">
        <v>0</v>
      </c>
      <c r="EB58" s="113">
        <v>0</v>
      </c>
      <c r="EC58" s="113">
        <v>0</v>
      </c>
      <c r="ED58" s="113">
        <v>0</v>
      </c>
      <c r="EE58" s="113">
        <v>0</v>
      </c>
      <c r="EF58" s="113">
        <v>0</v>
      </c>
      <c r="EG58" s="113">
        <v>0</v>
      </c>
      <c r="EH58" s="113">
        <v>0</v>
      </c>
      <c r="EI58" s="113">
        <v>0</v>
      </c>
      <c r="EJ58" s="113">
        <v>0</v>
      </c>
      <c r="EK58" s="113">
        <v>0</v>
      </c>
      <c r="EL58" s="113">
        <v>0</v>
      </c>
      <c r="EM58" s="113">
        <v>0</v>
      </c>
      <c r="EN58" s="113">
        <v>0</v>
      </c>
      <c r="EO58" s="113">
        <v>0</v>
      </c>
      <c r="EP58" s="113">
        <v>0</v>
      </c>
      <c r="EQ58" s="113">
        <v>0</v>
      </c>
      <c r="ER58" s="113">
        <v>0</v>
      </c>
      <c r="ES58" s="113">
        <v>0</v>
      </c>
      <c r="ET58" s="113">
        <v>0</v>
      </c>
      <c r="EU58" s="113">
        <v>0</v>
      </c>
      <c r="EV58" s="113">
        <v>0</v>
      </c>
      <c r="EW58" s="113">
        <v>0</v>
      </c>
      <c r="EX58" s="113">
        <v>0</v>
      </c>
      <c r="EY58" s="113">
        <v>0</v>
      </c>
      <c r="EZ58" s="113">
        <v>0</v>
      </c>
      <c r="FA58" s="113">
        <v>0</v>
      </c>
      <c r="FB58" s="113">
        <v>0</v>
      </c>
      <c r="FC58" s="113">
        <v>0</v>
      </c>
      <c r="FD58" s="113">
        <v>0</v>
      </c>
      <c r="FE58" s="113">
        <v>0</v>
      </c>
      <c r="FF58" s="113">
        <v>0</v>
      </c>
      <c r="FG58" s="113">
        <v>0</v>
      </c>
      <c r="FH58" s="113">
        <v>0</v>
      </c>
      <c r="FI58" s="113">
        <v>0</v>
      </c>
      <c r="FJ58" s="113">
        <v>0</v>
      </c>
      <c r="FK58" s="113">
        <v>0</v>
      </c>
      <c r="FL58" s="113">
        <v>0</v>
      </c>
      <c r="FM58" s="113">
        <v>0</v>
      </c>
      <c r="FN58" s="113">
        <v>0</v>
      </c>
      <c r="FO58" s="113">
        <v>0</v>
      </c>
      <c r="FP58" s="113">
        <v>0</v>
      </c>
      <c r="FQ58" s="113">
        <v>0</v>
      </c>
      <c r="FR58" s="113">
        <v>0</v>
      </c>
      <c r="FS58" s="113">
        <v>0</v>
      </c>
      <c r="FT58" s="113">
        <v>0</v>
      </c>
      <c r="FU58" s="113">
        <v>0</v>
      </c>
      <c r="FV58" s="113">
        <v>0</v>
      </c>
      <c r="FW58" s="113">
        <v>0</v>
      </c>
      <c r="FX58" s="32">
        <v>0</v>
      </c>
      <c r="FY58" s="30">
        <v>0</v>
      </c>
      <c r="FZ58" s="30">
        <v>0</v>
      </c>
    </row>
    <row r="59" spans="1:182" x14ac:dyDescent="0.2">
      <c r="A59" s="28">
        <v>33359</v>
      </c>
      <c r="B59" s="28"/>
      <c r="C59" s="29">
        <v>131865</v>
      </c>
      <c r="D59" s="29">
        <v>66517</v>
      </c>
      <c r="E59" s="29">
        <f t="shared" si="0"/>
        <v>198382</v>
      </c>
      <c r="F59" s="30">
        <v>2888512</v>
      </c>
      <c r="G59" s="30">
        <v>0</v>
      </c>
      <c r="H59" s="30">
        <f t="shared" si="1"/>
        <v>2888512</v>
      </c>
      <c r="I59" s="42" t="s">
        <v>75</v>
      </c>
      <c r="J59" s="42" t="s">
        <v>75</v>
      </c>
      <c r="K59" s="32">
        <v>2003929</v>
      </c>
      <c r="L59" s="31" t="s">
        <v>75</v>
      </c>
      <c r="M59" s="31" t="s">
        <v>75</v>
      </c>
      <c r="N59" s="30">
        <v>8288281</v>
      </c>
      <c r="O59" s="31" t="s">
        <v>75</v>
      </c>
      <c r="P59" s="31" t="s">
        <v>75</v>
      </c>
      <c r="Q59" s="30">
        <v>9353987</v>
      </c>
      <c r="R59" s="31" t="s">
        <v>75</v>
      </c>
      <c r="S59" s="31" t="s">
        <v>75</v>
      </c>
      <c r="T59" s="32">
        <v>237476</v>
      </c>
      <c r="U59" s="31" t="s">
        <v>75</v>
      </c>
      <c r="V59" s="31" t="s">
        <v>75</v>
      </c>
      <c r="W59" s="31" t="s">
        <v>75</v>
      </c>
      <c r="X59" s="31" t="s">
        <v>75</v>
      </c>
      <c r="Y59" s="31" t="s">
        <v>75</v>
      </c>
      <c r="Z59" s="30">
        <v>106342</v>
      </c>
      <c r="AA59" s="31" t="s">
        <v>75</v>
      </c>
      <c r="AB59" s="31" t="s">
        <v>75</v>
      </c>
      <c r="AC59" s="30">
        <v>310840</v>
      </c>
      <c r="AD59" s="31" t="s">
        <v>75</v>
      </c>
      <c r="AE59" s="31" t="s">
        <v>75</v>
      </c>
      <c r="AF59" s="30">
        <v>7005</v>
      </c>
      <c r="AG59" s="42" t="s">
        <v>75</v>
      </c>
      <c r="AH59" s="42" t="s">
        <v>75</v>
      </c>
      <c r="AI59" s="32">
        <v>77310</v>
      </c>
      <c r="AJ59" s="31" t="s">
        <v>75</v>
      </c>
      <c r="AK59" s="31" t="s">
        <v>75</v>
      </c>
      <c r="AL59" s="31" t="s">
        <v>75</v>
      </c>
      <c r="AM59" s="31"/>
      <c r="AN59" s="31"/>
      <c r="AO59" s="31"/>
      <c r="AP59" s="31"/>
      <c r="AQ59" s="31"/>
      <c r="AR59" s="31"/>
      <c r="AS59" s="31" t="s">
        <v>75</v>
      </c>
      <c r="AT59" s="31" t="s">
        <v>75</v>
      </c>
      <c r="AU59" s="31" t="s">
        <v>75</v>
      </c>
      <c r="AV59" s="31" t="s">
        <v>75</v>
      </c>
      <c r="AW59" s="31" t="s">
        <v>75</v>
      </c>
      <c r="AX59" s="31" t="s">
        <v>75</v>
      </c>
      <c r="AY59" s="31" t="s">
        <v>75</v>
      </c>
      <c r="AZ59" s="31" t="s">
        <v>75</v>
      </c>
      <c r="BA59" s="31" t="s">
        <v>75</v>
      </c>
      <c r="BB59" s="31" t="s">
        <v>75</v>
      </c>
      <c r="BC59" s="31" t="s">
        <v>75</v>
      </c>
      <c r="BD59" s="31" t="s">
        <v>75</v>
      </c>
      <c r="BE59" s="113">
        <v>0</v>
      </c>
      <c r="BF59" s="113">
        <v>0</v>
      </c>
      <c r="BG59" s="113">
        <v>0</v>
      </c>
      <c r="BH59" s="113">
        <v>0</v>
      </c>
      <c r="BI59" s="113">
        <v>0</v>
      </c>
      <c r="BJ59" s="113">
        <v>0</v>
      </c>
      <c r="BK59" s="113">
        <v>0</v>
      </c>
      <c r="BL59" s="113">
        <v>0</v>
      </c>
      <c r="BM59" s="113">
        <v>0</v>
      </c>
      <c r="BN59" s="113">
        <v>0</v>
      </c>
      <c r="BO59" s="113">
        <v>0</v>
      </c>
      <c r="BP59" s="113">
        <v>0</v>
      </c>
      <c r="BQ59" s="113">
        <v>0</v>
      </c>
      <c r="BR59" s="113">
        <v>0</v>
      </c>
      <c r="BS59" s="113">
        <v>0</v>
      </c>
      <c r="BT59" s="113">
        <v>0</v>
      </c>
      <c r="BU59" s="113">
        <v>0</v>
      </c>
      <c r="BV59" s="113">
        <v>0</v>
      </c>
      <c r="BW59" s="113"/>
      <c r="BX59" s="113"/>
      <c r="BY59" s="113"/>
      <c r="BZ59" s="113">
        <v>0</v>
      </c>
      <c r="CA59" s="113">
        <v>0</v>
      </c>
      <c r="CB59" s="113">
        <v>0</v>
      </c>
      <c r="CC59" s="113"/>
      <c r="CD59" s="113"/>
      <c r="CE59" s="113"/>
      <c r="CF59" s="113">
        <v>0</v>
      </c>
      <c r="CG59" s="113">
        <v>0</v>
      </c>
      <c r="CH59" s="113">
        <v>0</v>
      </c>
      <c r="CI59" s="113">
        <v>0</v>
      </c>
      <c r="CJ59" s="113">
        <v>0</v>
      </c>
      <c r="CK59" s="113">
        <v>0</v>
      </c>
      <c r="CL59" s="113">
        <v>0</v>
      </c>
      <c r="CM59" s="113">
        <v>0</v>
      </c>
      <c r="CN59" s="113">
        <v>0</v>
      </c>
      <c r="CO59" s="113">
        <v>0</v>
      </c>
      <c r="CP59" s="113">
        <v>0</v>
      </c>
      <c r="CQ59" s="113">
        <v>0</v>
      </c>
      <c r="CR59" s="113">
        <v>0</v>
      </c>
      <c r="CS59" s="113">
        <v>0</v>
      </c>
      <c r="CT59" s="113">
        <v>0</v>
      </c>
      <c r="CU59" s="113">
        <v>0</v>
      </c>
      <c r="CV59" s="113">
        <v>0</v>
      </c>
      <c r="CW59" s="113">
        <v>0</v>
      </c>
      <c r="CX59" s="113">
        <v>0</v>
      </c>
      <c r="CY59" s="113">
        <v>0</v>
      </c>
      <c r="CZ59" s="113">
        <v>0</v>
      </c>
      <c r="DA59" s="113">
        <v>0</v>
      </c>
      <c r="DB59" s="113">
        <v>0</v>
      </c>
      <c r="DC59" s="113">
        <v>0</v>
      </c>
      <c r="DD59" s="113">
        <v>0</v>
      </c>
      <c r="DE59" s="113">
        <v>0</v>
      </c>
      <c r="DF59" s="113">
        <v>0</v>
      </c>
      <c r="DG59" s="113">
        <v>0</v>
      </c>
      <c r="DH59" s="113">
        <v>0</v>
      </c>
      <c r="DI59" s="113">
        <v>0</v>
      </c>
      <c r="DJ59" s="113">
        <v>0</v>
      </c>
      <c r="DK59" s="113">
        <v>0</v>
      </c>
      <c r="DL59" s="113">
        <v>0</v>
      </c>
      <c r="DM59" s="113">
        <v>0</v>
      </c>
      <c r="DN59" s="113">
        <v>0</v>
      </c>
      <c r="DO59" s="113">
        <v>0</v>
      </c>
      <c r="DP59" s="113">
        <v>0</v>
      </c>
      <c r="DQ59" s="113">
        <v>0</v>
      </c>
      <c r="DR59" s="113">
        <v>0</v>
      </c>
      <c r="DS59" s="113">
        <v>0</v>
      </c>
      <c r="DT59" s="113">
        <v>0</v>
      </c>
      <c r="DU59" s="113">
        <v>0</v>
      </c>
      <c r="DV59" s="113">
        <v>0</v>
      </c>
      <c r="DW59" s="113">
        <v>0</v>
      </c>
      <c r="DX59" s="113">
        <v>0</v>
      </c>
      <c r="DY59" s="113">
        <v>0</v>
      </c>
      <c r="DZ59" s="113">
        <v>0</v>
      </c>
      <c r="EA59" s="113">
        <v>0</v>
      </c>
      <c r="EB59" s="113">
        <v>0</v>
      </c>
      <c r="EC59" s="113">
        <v>0</v>
      </c>
      <c r="ED59" s="113">
        <v>0</v>
      </c>
      <c r="EE59" s="113">
        <v>0</v>
      </c>
      <c r="EF59" s="113">
        <v>0</v>
      </c>
      <c r="EG59" s="113">
        <v>0</v>
      </c>
      <c r="EH59" s="113">
        <v>0</v>
      </c>
      <c r="EI59" s="113">
        <v>0</v>
      </c>
      <c r="EJ59" s="113">
        <v>0</v>
      </c>
      <c r="EK59" s="113">
        <v>0</v>
      </c>
      <c r="EL59" s="113">
        <v>0</v>
      </c>
      <c r="EM59" s="113">
        <v>0</v>
      </c>
      <c r="EN59" s="113">
        <v>0</v>
      </c>
      <c r="EO59" s="113">
        <v>0</v>
      </c>
      <c r="EP59" s="113">
        <v>0</v>
      </c>
      <c r="EQ59" s="113">
        <v>0</v>
      </c>
      <c r="ER59" s="113">
        <v>0</v>
      </c>
      <c r="ES59" s="113">
        <v>0</v>
      </c>
      <c r="ET59" s="113">
        <v>0</v>
      </c>
      <c r="EU59" s="113">
        <v>0</v>
      </c>
      <c r="EV59" s="113">
        <v>0</v>
      </c>
      <c r="EW59" s="113">
        <v>0</v>
      </c>
      <c r="EX59" s="113">
        <v>0</v>
      </c>
      <c r="EY59" s="113">
        <v>0</v>
      </c>
      <c r="EZ59" s="113">
        <v>0</v>
      </c>
      <c r="FA59" s="113">
        <v>0</v>
      </c>
      <c r="FB59" s="113">
        <v>0</v>
      </c>
      <c r="FC59" s="113">
        <v>0</v>
      </c>
      <c r="FD59" s="113">
        <v>0</v>
      </c>
      <c r="FE59" s="113">
        <v>0</v>
      </c>
      <c r="FF59" s="113">
        <v>0</v>
      </c>
      <c r="FG59" s="113">
        <v>0</v>
      </c>
      <c r="FH59" s="113">
        <v>0</v>
      </c>
      <c r="FI59" s="113">
        <v>0</v>
      </c>
      <c r="FJ59" s="113">
        <v>0</v>
      </c>
      <c r="FK59" s="113">
        <v>0</v>
      </c>
      <c r="FL59" s="113">
        <v>0</v>
      </c>
      <c r="FM59" s="113">
        <v>0</v>
      </c>
      <c r="FN59" s="113">
        <v>0</v>
      </c>
      <c r="FO59" s="113">
        <v>0</v>
      </c>
      <c r="FP59" s="113">
        <v>0</v>
      </c>
      <c r="FQ59" s="113">
        <v>0</v>
      </c>
      <c r="FR59" s="113">
        <v>0</v>
      </c>
      <c r="FS59" s="113">
        <v>0</v>
      </c>
      <c r="FT59" s="113">
        <v>0</v>
      </c>
      <c r="FU59" s="113">
        <v>0</v>
      </c>
      <c r="FV59" s="113">
        <v>0</v>
      </c>
      <c r="FW59" s="113">
        <v>0</v>
      </c>
      <c r="FX59" s="32">
        <v>0</v>
      </c>
      <c r="FY59" s="30">
        <v>0</v>
      </c>
      <c r="FZ59" s="30">
        <v>0</v>
      </c>
    </row>
    <row r="60" spans="1:182" x14ac:dyDescent="0.2">
      <c r="A60" s="28">
        <v>33390</v>
      </c>
      <c r="B60" s="28"/>
      <c r="C60" s="29">
        <v>340884</v>
      </c>
      <c r="D60" s="29">
        <v>138516</v>
      </c>
      <c r="E60" s="29">
        <f t="shared" si="0"/>
        <v>479400</v>
      </c>
      <c r="F60" s="30">
        <v>2279231</v>
      </c>
      <c r="G60" s="30">
        <v>0</v>
      </c>
      <c r="H60" s="30">
        <f t="shared" si="1"/>
        <v>2279231</v>
      </c>
      <c r="I60" s="42" t="s">
        <v>75</v>
      </c>
      <c r="J60" s="42" t="s">
        <v>75</v>
      </c>
      <c r="K60" s="32">
        <v>1687752</v>
      </c>
      <c r="L60" s="31" t="s">
        <v>75</v>
      </c>
      <c r="M60" s="31" t="s">
        <v>75</v>
      </c>
      <c r="N60" s="30">
        <v>6863488</v>
      </c>
      <c r="O60" s="31" t="s">
        <v>75</v>
      </c>
      <c r="P60" s="31" t="s">
        <v>75</v>
      </c>
      <c r="Q60" s="30">
        <v>8757614</v>
      </c>
      <c r="R60" s="31" t="s">
        <v>75</v>
      </c>
      <c r="S60" s="31" t="s">
        <v>75</v>
      </c>
      <c r="T60" s="32">
        <v>229033</v>
      </c>
      <c r="U60" s="31" t="s">
        <v>75</v>
      </c>
      <c r="V60" s="31" t="s">
        <v>75</v>
      </c>
      <c r="W60" s="31" t="s">
        <v>75</v>
      </c>
      <c r="X60" s="31" t="s">
        <v>75</v>
      </c>
      <c r="Y60" s="31" t="s">
        <v>75</v>
      </c>
      <c r="Z60" s="30">
        <v>115868</v>
      </c>
      <c r="AA60" s="31" t="s">
        <v>75</v>
      </c>
      <c r="AB60" s="31" t="s">
        <v>75</v>
      </c>
      <c r="AC60" s="30">
        <v>503072</v>
      </c>
      <c r="AD60" s="31" t="s">
        <v>75</v>
      </c>
      <c r="AE60" s="31" t="s">
        <v>75</v>
      </c>
      <c r="AF60" s="30">
        <v>7217</v>
      </c>
      <c r="AG60" s="42" t="s">
        <v>75</v>
      </c>
      <c r="AH60" s="42" t="s">
        <v>75</v>
      </c>
      <c r="AI60" s="32">
        <v>117446</v>
      </c>
      <c r="AJ60" s="31" t="s">
        <v>75</v>
      </c>
      <c r="AK60" s="31" t="s">
        <v>75</v>
      </c>
      <c r="AL60" s="31" t="s">
        <v>75</v>
      </c>
      <c r="AM60" s="31"/>
      <c r="AN60" s="31"/>
      <c r="AO60" s="31"/>
      <c r="AP60" s="31"/>
      <c r="AQ60" s="31"/>
      <c r="AR60" s="31"/>
      <c r="AS60" s="31" t="s">
        <v>75</v>
      </c>
      <c r="AT60" s="31" t="s">
        <v>75</v>
      </c>
      <c r="AU60" s="31" t="s">
        <v>75</v>
      </c>
      <c r="AV60" s="31" t="s">
        <v>75</v>
      </c>
      <c r="AW60" s="31" t="s">
        <v>75</v>
      </c>
      <c r="AX60" s="31" t="s">
        <v>75</v>
      </c>
      <c r="AY60" s="31" t="s">
        <v>75</v>
      </c>
      <c r="AZ60" s="31" t="s">
        <v>75</v>
      </c>
      <c r="BA60" s="31" t="s">
        <v>75</v>
      </c>
      <c r="BB60" s="31" t="s">
        <v>75</v>
      </c>
      <c r="BC60" s="31" t="s">
        <v>75</v>
      </c>
      <c r="BD60" s="31" t="s">
        <v>75</v>
      </c>
      <c r="BE60" s="113">
        <v>0</v>
      </c>
      <c r="BF60" s="113">
        <v>0</v>
      </c>
      <c r="BG60" s="113">
        <v>0</v>
      </c>
      <c r="BH60" s="113">
        <v>0</v>
      </c>
      <c r="BI60" s="113">
        <v>0</v>
      </c>
      <c r="BJ60" s="113">
        <v>0</v>
      </c>
      <c r="BK60" s="113">
        <v>0</v>
      </c>
      <c r="BL60" s="113">
        <v>0</v>
      </c>
      <c r="BM60" s="113">
        <v>0</v>
      </c>
      <c r="BN60" s="113">
        <v>0</v>
      </c>
      <c r="BO60" s="113">
        <v>0</v>
      </c>
      <c r="BP60" s="113">
        <v>0</v>
      </c>
      <c r="BQ60" s="113">
        <v>0</v>
      </c>
      <c r="BR60" s="113">
        <v>0</v>
      </c>
      <c r="BS60" s="113">
        <v>0</v>
      </c>
      <c r="BT60" s="113">
        <v>0</v>
      </c>
      <c r="BU60" s="113">
        <v>0</v>
      </c>
      <c r="BV60" s="113">
        <v>0</v>
      </c>
      <c r="BW60" s="113"/>
      <c r="BX60" s="113"/>
      <c r="BY60" s="113"/>
      <c r="BZ60" s="113">
        <v>0</v>
      </c>
      <c r="CA60" s="113">
        <v>0</v>
      </c>
      <c r="CB60" s="113">
        <v>0</v>
      </c>
      <c r="CC60" s="113"/>
      <c r="CD60" s="113"/>
      <c r="CE60" s="113"/>
      <c r="CF60" s="113">
        <v>0</v>
      </c>
      <c r="CG60" s="113">
        <v>0</v>
      </c>
      <c r="CH60" s="113">
        <v>0</v>
      </c>
      <c r="CI60" s="113">
        <v>0</v>
      </c>
      <c r="CJ60" s="113">
        <v>0</v>
      </c>
      <c r="CK60" s="113">
        <v>0</v>
      </c>
      <c r="CL60" s="113">
        <v>0</v>
      </c>
      <c r="CM60" s="113">
        <v>0</v>
      </c>
      <c r="CN60" s="113">
        <v>0</v>
      </c>
      <c r="CO60" s="113">
        <v>0</v>
      </c>
      <c r="CP60" s="113">
        <v>0</v>
      </c>
      <c r="CQ60" s="113">
        <v>0</v>
      </c>
      <c r="CR60" s="113">
        <v>0</v>
      </c>
      <c r="CS60" s="113">
        <v>0</v>
      </c>
      <c r="CT60" s="113">
        <v>0</v>
      </c>
      <c r="CU60" s="113">
        <v>0</v>
      </c>
      <c r="CV60" s="113">
        <v>0</v>
      </c>
      <c r="CW60" s="113">
        <v>0</v>
      </c>
      <c r="CX60" s="113">
        <v>0</v>
      </c>
      <c r="CY60" s="113">
        <v>0</v>
      </c>
      <c r="CZ60" s="113">
        <v>0</v>
      </c>
      <c r="DA60" s="113">
        <v>0</v>
      </c>
      <c r="DB60" s="113">
        <v>0</v>
      </c>
      <c r="DC60" s="113">
        <v>0</v>
      </c>
      <c r="DD60" s="113">
        <v>0</v>
      </c>
      <c r="DE60" s="113">
        <v>0</v>
      </c>
      <c r="DF60" s="113">
        <v>0</v>
      </c>
      <c r="DG60" s="113">
        <v>0</v>
      </c>
      <c r="DH60" s="113">
        <v>0</v>
      </c>
      <c r="DI60" s="113">
        <v>0</v>
      </c>
      <c r="DJ60" s="113">
        <v>0</v>
      </c>
      <c r="DK60" s="113">
        <v>0</v>
      </c>
      <c r="DL60" s="113">
        <v>0</v>
      </c>
      <c r="DM60" s="113">
        <v>0</v>
      </c>
      <c r="DN60" s="113">
        <v>0</v>
      </c>
      <c r="DO60" s="113">
        <v>0</v>
      </c>
      <c r="DP60" s="113">
        <v>0</v>
      </c>
      <c r="DQ60" s="113">
        <v>0</v>
      </c>
      <c r="DR60" s="113">
        <v>0</v>
      </c>
      <c r="DS60" s="113">
        <v>0</v>
      </c>
      <c r="DT60" s="113">
        <v>0</v>
      </c>
      <c r="DU60" s="113">
        <v>0</v>
      </c>
      <c r="DV60" s="113">
        <v>0</v>
      </c>
      <c r="DW60" s="113">
        <v>0</v>
      </c>
      <c r="DX60" s="113">
        <v>0</v>
      </c>
      <c r="DY60" s="113">
        <v>0</v>
      </c>
      <c r="DZ60" s="113">
        <v>0</v>
      </c>
      <c r="EA60" s="113">
        <v>0</v>
      </c>
      <c r="EB60" s="113">
        <v>0</v>
      </c>
      <c r="EC60" s="113">
        <v>0</v>
      </c>
      <c r="ED60" s="113">
        <v>0</v>
      </c>
      <c r="EE60" s="113">
        <v>0</v>
      </c>
      <c r="EF60" s="113">
        <v>0</v>
      </c>
      <c r="EG60" s="113">
        <v>0</v>
      </c>
      <c r="EH60" s="113">
        <v>0</v>
      </c>
      <c r="EI60" s="113">
        <v>0</v>
      </c>
      <c r="EJ60" s="113">
        <v>0</v>
      </c>
      <c r="EK60" s="113">
        <v>0</v>
      </c>
      <c r="EL60" s="113">
        <v>0</v>
      </c>
      <c r="EM60" s="113">
        <v>0</v>
      </c>
      <c r="EN60" s="113">
        <v>0</v>
      </c>
      <c r="EO60" s="113">
        <v>0</v>
      </c>
      <c r="EP60" s="113">
        <v>0</v>
      </c>
      <c r="EQ60" s="113">
        <v>0</v>
      </c>
      <c r="ER60" s="113">
        <v>0</v>
      </c>
      <c r="ES60" s="113">
        <v>0</v>
      </c>
      <c r="ET60" s="113">
        <v>0</v>
      </c>
      <c r="EU60" s="113">
        <v>0</v>
      </c>
      <c r="EV60" s="113">
        <v>0</v>
      </c>
      <c r="EW60" s="113">
        <v>0</v>
      </c>
      <c r="EX60" s="113">
        <v>0</v>
      </c>
      <c r="EY60" s="113">
        <v>0</v>
      </c>
      <c r="EZ60" s="113">
        <v>0</v>
      </c>
      <c r="FA60" s="113">
        <v>0</v>
      </c>
      <c r="FB60" s="113">
        <v>0</v>
      </c>
      <c r="FC60" s="113">
        <v>0</v>
      </c>
      <c r="FD60" s="113">
        <v>0</v>
      </c>
      <c r="FE60" s="113">
        <v>0</v>
      </c>
      <c r="FF60" s="113">
        <v>0</v>
      </c>
      <c r="FG60" s="113">
        <v>0</v>
      </c>
      <c r="FH60" s="113">
        <v>0</v>
      </c>
      <c r="FI60" s="113">
        <v>0</v>
      </c>
      <c r="FJ60" s="113">
        <v>0</v>
      </c>
      <c r="FK60" s="113">
        <v>0</v>
      </c>
      <c r="FL60" s="113">
        <v>0</v>
      </c>
      <c r="FM60" s="113">
        <v>0</v>
      </c>
      <c r="FN60" s="113">
        <v>0</v>
      </c>
      <c r="FO60" s="113">
        <v>0</v>
      </c>
      <c r="FP60" s="113">
        <v>0</v>
      </c>
      <c r="FQ60" s="113">
        <v>0</v>
      </c>
      <c r="FR60" s="113">
        <v>0</v>
      </c>
      <c r="FS60" s="113">
        <v>0</v>
      </c>
      <c r="FT60" s="113">
        <v>0</v>
      </c>
      <c r="FU60" s="113">
        <v>0</v>
      </c>
      <c r="FV60" s="113">
        <v>0</v>
      </c>
      <c r="FW60" s="113">
        <v>0</v>
      </c>
      <c r="FX60" s="32">
        <v>0</v>
      </c>
      <c r="FY60" s="30">
        <v>0</v>
      </c>
      <c r="FZ60" s="30">
        <v>0</v>
      </c>
    </row>
    <row r="61" spans="1:182" x14ac:dyDescent="0.2">
      <c r="A61" s="28">
        <v>33420</v>
      </c>
      <c r="B61" s="28"/>
      <c r="C61" s="29">
        <v>119931</v>
      </c>
      <c r="D61" s="29">
        <v>106533</v>
      </c>
      <c r="E61" s="29">
        <f t="shared" si="0"/>
        <v>226464</v>
      </c>
      <c r="F61" s="30">
        <v>2210794</v>
      </c>
      <c r="G61" s="30">
        <v>0</v>
      </c>
      <c r="H61" s="30">
        <f t="shared" si="1"/>
        <v>2210794</v>
      </c>
      <c r="I61" s="42" t="s">
        <v>75</v>
      </c>
      <c r="J61" s="42" t="s">
        <v>75</v>
      </c>
      <c r="K61" s="32">
        <v>2441076</v>
      </c>
      <c r="L61" s="31" t="s">
        <v>75</v>
      </c>
      <c r="M61" s="31" t="s">
        <v>75</v>
      </c>
      <c r="N61" s="30">
        <v>8200300</v>
      </c>
      <c r="O61" s="31" t="s">
        <v>75</v>
      </c>
      <c r="P61" s="31" t="s">
        <v>75</v>
      </c>
      <c r="Q61" s="30">
        <v>8985995</v>
      </c>
      <c r="R61" s="31" t="s">
        <v>75</v>
      </c>
      <c r="S61" s="31" t="s">
        <v>75</v>
      </c>
      <c r="T61" s="32">
        <v>254856</v>
      </c>
      <c r="U61" s="31" t="s">
        <v>75</v>
      </c>
      <c r="V61" s="31" t="s">
        <v>75</v>
      </c>
      <c r="W61" s="31" t="s">
        <v>75</v>
      </c>
      <c r="X61" s="31" t="s">
        <v>75</v>
      </c>
      <c r="Y61" s="31" t="s">
        <v>75</v>
      </c>
      <c r="Z61" s="30">
        <v>147826</v>
      </c>
      <c r="AA61" s="31" t="s">
        <v>75</v>
      </c>
      <c r="AB61" s="31" t="s">
        <v>75</v>
      </c>
      <c r="AC61" s="30">
        <v>444512</v>
      </c>
      <c r="AD61" s="31" t="s">
        <v>75</v>
      </c>
      <c r="AE61" s="31" t="s">
        <v>75</v>
      </c>
      <c r="AF61" s="30">
        <v>6754</v>
      </c>
      <c r="AG61" s="42" t="s">
        <v>75</v>
      </c>
      <c r="AH61" s="42" t="s">
        <v>75</v>
      </c>
      <c r="AI61" s="32">
        <v>105897</v>
      </c>
      <c r="AJ61" s="31" t="s">
        <v>75</v>
      </c>
      <c r="AK61" s="31" t="s">
        <v>75</v>
      </c>
      <c r="AL61" s="31" t="s">
        <v>75</v>
      </c>
      <c r="AM61" s="31"/>
      <c r="AN61" s="31"/>
      <c r="AO61" s="31"/>
      <c r="AP61" s="31"/>
      <c r="AQ61" s="31"/>
      <c r="AR61" s="31"/>
      <c r="AS61" s="31" t="s">
        <v>75</v>
      </c>
      <c r="AT61" s="31" t="s">
        <v>75</v>
      </c>
      <c r="AU61" s="31" t="s">
        <v>75</v>
      </c>
      <c r="AV61" s="31" t="s">
        <v>75</v>
      </c>
      <c r="AW61" s="31" t="s">
        <v>75</v>
      </c>
      <c r="AX61" s="31" t="s">
        <v>75</v>
      </c>
      <c r="AY61" s="31" t="s">
        <v>75</v>
      </c>
      <c r="AZ61" s="31" t="s">
        <v>75</v>
      </c>
      <c r="BA61" s="31" t="s">
        <v>75</v>
      </c>
      <c r="BB61" s="31" t="s">
        <v>75</v>
      </c>
      <c r="BC61" s="31" t="s">
        <v>75</v>
      </c>
      <c r="BD61" s="31" t="s">
        <v>75</v>
      </c>
      <c r="BE61" s="113">
        <v>0</v>
      </c>
      <c r="BF61" s="113">
        <v>0</v>
      </c>
      <c r="BG61" s="113">
        <v>0</v>
      </c>
      <c r="BH61" s="113">
        <v>0</v>
      </c>
      <c r="BI61" s="113">
        <v>0</v>
      </c>
      <c r="BJ61" s="113">
        <v>0</v>
      </c>
      <c r="BK61" s="113">
        <v>0</v>
      </c>
      <c r="BL61" s="113">
        <v>0</v>
      </c>
      <c r="BM61" s="113">
        <v>0</v>
      </c>
      <c r="BN61" s="113">
        <v>0</v>
      </c>
      <c r="BO61" s="113">
        <v>0</v>
      </c>
      <c r="BP61" s="113">
        <v>0</v>
      </c>
      <c r="BQ61" s="113">
        <v>0</v>
      </c>
      <c r="BR61" s="113">
        <v>0</v>
      </c>
      <c r="BS61" s="113">
        <v>0</v>
      </c>
      <c r="BT61" s="113">
        <v>0</v>
      </c>
      <c r="BU61" s="113">
        <v>0</v>
      </c>
      <c r="BV61" s="113">
        <v>0</v>
      </c>
      <c r="BW61" s="113"/>
      <c r="BX61" s="113"/>
      <c r="BY61" s="113"/>
      <c r="BZ61" s="113">
        <v>0</v>
      </c>
      <c r="CA61" s="113">
        <v>0</v>
      </c>
      <c r="CB61" s="113">
        <v>0</v>
      </c>
      <c r="CC61" s="113"/>
      <c r="CD61" s="113"/>
      <c r="CE61" s="113"/>
      <c r="CF61" s="113">
        <v>0</v>
      </c>
      <c r="CG61" s="113">
        <v>0</v>
      </c>
      <c r="CH61" s="113">
        <v>0</v>
      </c>
      <c r="CI61" s="113">
        <v>0</v>
      </c>
      <c r="CJ61" s="113">
        <v>0</v>
      </c>
      <c r="CK61" s="113">
        <v>0</v>
      </c>
      <c r="CL61" s="113">
        <v>0</v>
      </c>
      <c r="CM61" s="113">
        <v>0</v>
      </c>
      <c r="CN61" s="113">
        <v>0</v>
      </c>
      <c r="CO61" s="113">
        <v>0</v>
      </c>
      <c r="CP61" s="113">
        <v>0</v>
      </c>
      <c r="CQ61" s="113">
        <v>0</v>
      </c>
      <c r="CR61" s="113">
        <v>0</v>
      </c>
      <c r="CS61" s="113">
        <v>0</v>
      </c>
      <c r="CT61" s="113">
        <v>0</v>
      </c>
      <c r="CU61" s="113">
        <v>0</v>
      </c>
      <c r="CV61" s="113">
        <v>0</v>
      </c>
      <c r="CW61" s="113">
        <v>0</v>
      </c>
      <c r="CX61" s="113">
        <v>0</v>
      </c>
      <c r="CY61" s="113">
        <v>0</v>
      </c>
      <c r="CZ61" s="113">
        <v>0</v>
      </c>
      <c r="DA61" s="113">
        <v>0</v>
      </c>
      <c r="DB61" s="113">
        <v>0</v>
      </c>
      <c r="DC61" s="113">
        <v>0</v>
      </c>
      <c r="DD61" s="113">
        <v>0</v>
      </c>
      <c r="DE61" s="113">
        <v>0</v>
      </c>
      <c r="DF61" s="113">
        <v>0</v>
      </c>
      <c r="DG61" s="113">
        <v>0</v>
      </c>
      <c r="DH61" s="113">
        <v>0</v>
      </c>
      <c r="DI61" s="113">
        <v>0</v>
      </c>
      <c r="DJ61" s="113">
        <v>0</v>
      </c>
      <c r="DK61" s="113">
        <v>0</v>
      </c>
      <c r="DL61" s="113">
        <v>0</v>
      </c>
      <c r="DM61" s="113">
        <v>0</v>
      </c>
      <c r="DN61" s="113">
        <v>0</v>
      </c>
      <c r="DO61" s="113">
        <v>0</v>
      </c>
      <c r="DP61" s="113">
        <v>0</v>
      </c>
      <c r="DQ61" s="113">
        <v>0</v>
      </c>
      <c r="DR61" s="113">
        <v>0</v>
      </c>
      <c r="DS61" s="113">
        <v>0</v>
      </c>
      <c r="DT61" s="113">
        <v>0</v>
      </c>
      <c r="DU61" s="113">
        <v>0</v>
      </c>
      <c r="DV61" s="113">
        <v>0</v>
      </c>
      <c r="DW61" s="113">
        <v>0</v>
      </c>
      <c r="DX61" s="113">
        <v>0</v>
      </c>
      <c r="DY61" s="113">
        <v>0</v>
      </c>
      <c r="DZ61" s="113">
        <v>0</v>
      </c>
      <c r="EA61" s="113">
        <v>0</v>
      </c>
      <c r="EB61" s="113">
        <v>0</v>
      </c>
      <c r="EC61" s="113">
        <v>0</v>
      </c>
      <c r="ED61" s="113">
        <v>0</v>
      </c>
      <c r="EE61" s="113">
        <v>0</v>
      </c>
      <c r="EF61" s="113">
        <v>0</v>
      </c>
      <c r="EG61" s="113">
        <v>0</v>
      </c>
      <c r="EH61" s="113">
        <v>0</v>
      </c>
      <c r="EI61" s="113">
        <v>0</v>
      </c>
      <c r="EJ61" s="113">
        <v>0</v>
      </c>
      <c r="EK61" s="113">
        <v>0</v>
      </c>
      <c r="EL61" s="113">
        <v>0</v>
      </c>
      <c r="EM61" s="113">
        <v>0</v>
      </c>
      <c r="EN61" s="113">
        <v>0</v>
      </c>
      <c r="EO61" s="113">
        <v>0</v>
      </c>
      <c r="EP61" s="113">
        <v>0</v>
      </c>
      <c r="EQ61" s="113">
        <v>0</v>
      </c>
      <c r="ER61" s="113">
        <v>0</v>
      </c>
      <c r="ES61" s="113">
        <v>0</v>
      </c>
      <c r="ET61" s="113">
        <v>0</v>
      </c>
      <c r="EU61" s="113">
        <v>0</v>
      </c>
      <c r="EV61" s="113">
        <v>0</v>
      </c>
      <c r="EW61" s="113">
        <v>0</v>
      </c>
      <c r="EX61" s="113">
        <v>0</v>
      </c>
      <c r="EY61" s="113">
        <v>0</v>
      </c>
      <c r="EZ61" s="113">
        <v>0</v>
      </c>
      <c r="FA61" s="113">
        <v>0</v>
      </c>
      <c r="FB61" s="113">
        <v>0</v>
      </c>
      <c r="FC61" s="113">
        <v>0</v>
      </c>
      <c r="FD61" s="113">
        <v>0</v>
      </c>
      <c r="FE61" s="113">
        <v>0</v>
      </c>
      <c r="FF61" s="113">
        <v>0</v>
      </c>
      <c r="FG61" s="113">
        <v>0</v>
      </c>
      <c r="FH61" s="113">
        <v>0</v>
      </c>
      <c r="FI61" s="113">
        <v>0</v>
      </c>
      <c r="FJ61" s="113">
        <v>0</v>
      </c>
      <c r="FK61" s="113">
        <v>0</v>
      </c>
      <c r="FL61" s="113">
        <v>0</v>
      </c>
      <c r="FM61" s="113">
        <v>0</v>
      </c>
      <c r="FN61" s="113">
        <v>0</v>
      </c>
      <c r="FO61" s="113">
        <v>0</v>
      </c>
      <c r="FP61" s="113">
        <v>0</v>
      </c>
      <c r="FQ61" s="113">
        <v>0</v>
      </c>
      <c r="FR61" s="113">
        <v>0</v>
      </c>
      <c r="FS61" s="113">
        <v>0</v>
      </c>
      <c r="FT61" s="113">
        <v>0</v>
      </c>
      <c r="FU61" s="113">
        <v>0</v>
      </c>
      <c r="FV61" s="113">
        <v>0</v>
      </c>
      <c r="FW61" s="113">
        <v>0</v>
      </c>
      <c r="FX61" s="32">
        <v>0</v>
      </c>
      <c r="FY61" s="30">
        <v>0</v>
      </c>
      <c r="FZ61" s="30">
        <v>0</v>
      </c>
    </row>
    <row r="62" spans="1:182" x14ac:dyDescent="0.2">
      <c r="A62" s="28">
        <v>33451</v>
      </c>
      <c r="B62" s="28"/>
      <c r="C62" s="29">
        <v>337377</v>
      </c>
      <c r="D62" s="29">
        <v>200002</v>
      </c>
      <c r="E62" s="29">
        <f t="shared" si="0"/>
        <v>537379</v>
      </c>
      <c r="F62" s="30">
        <v>3834818</v>
      </c>
      <c r="G62" s="30">
        <v>0</v>
      </c>
      <c r="H62" s="30">
        <f t="shared" si="1"/>
        <v>3834818</v>
      </c>
      <c r="I62" s="42" t="s">
        <v>75</v>
      </c>
      <c r="J62" s="42" t="s">
        <v>75</v>
      </c>
      <c r="K62" s="32">
        <v>2211041</v>
      </c>
      <c r="L62" s="31" t="s">
        <v>75</v>
      </c>
      <c r="M62" s="31" t="s">
        <v>75</v>
      </c>
      <c r="N62" s="30">
        <v>9069349</v>
      </c>
      <c r="O62" s="31" t="s">
        <v>75</v>
      </c>
      <c r="P62" s="31" t="s">
        <v>75</v>
      </c>
      <c r="Q62" s="30">
        <v>10027284</v>
      </c>
      <c r="R62" s="31" t="s">
        <v>75</v>
      </c>
      <c r="S62" s="31" t="s">
        <v>75</v>
      </c>
      <c r="T62" s="32">
        <v>264185</v>
      </c>
      <c r="U62" s="31" t="s">
        <v>75</v>
      </c>
      <c r="V62" s="31" t="s">
        <v>75</v>
      </c>
      <c r="W62" s="31" t="s">
        <v>75</v>
      </c>
      <c r="X62" s="31" t="s">
        <v>75</v>
      </c>
      <c r="Y62" s="31" t="s">
        <v>75</v>
      </c>
      <c r="Z62" s="30">
        <v>205090</v>
      </c>
      <c r="AA62" s="31" t="s">
        <v>75</v>
      </c>
      <c r="AB62" s="31" t="s">
        <v>75</v>
      </c>
      <c r="AC62" s="30">
        <v>552135</v>
      </c>
      <c r="AD62" s="31" t="s">
        <v>75</v>
      </c>
      <c r="AE62" s="31" t="s">
        <v>75</v>
      </c>
      <c r="AF62" s="30">
        <v>11653</v>
      </c>
      <c r="AG62" s="42" t="s">
        <v>75</v>
      </c>
      <c r="AH62" s="42" t="s">
        <v>75</v>
      </c>
      <c r="AI62" s="32">
        <v>128267</v>
      </c>
      <c r="AJ62" s="31" t="s">
        <v>75</v>
      </c>
      <c r="AK62" s="31" t="s">
        <v>75</v>
      </c>
      <c r="AL62" s="31" t="s">
        <v>75</v>
      </c>
      <c r="AM62" s="31"/>
      <c r="AN62" s="31"/>
      <c r="AO62" s="31"/>
      <c r="AP62" s="31"/>
      <c r="AQ62" s="31"/>
      <c r="AR62" s="31"/>
      <c r="AS62" s="31" t="s">
        <v>75</v>
      </c>
      <c r="AT62" s="31" t="s">
        <v>75</v>
      </c>
      <c r="AU62" s="31" t="s">
        <v>75</v>
      </c>
      <c r="AV62" s="31" t="s">
        <v>75</v>
      </c>
      <c r="AW62" s="31" t="s">
        <v>75</v>
      </c>
      <c r="AX62" s="31" t="s">
        <v>75</v>
      </c>
      <c r="AY62" s="31" t="s">
        <v>75</v>
      </c>
      <c r="AZ62" s="31" t="s">
        <v>75</v>
      </c>
      <c r="BA62" s="31" t="s">
        <v>75</v>
      </c>
      <c r="BB62" s="31" t="s">
        <v>75</v>
      </c>
      <c r="BC62" s="31" t="s">
        <v>75</v>
      </c>
      <c r="BD62" s="31" t="s">
        <v>75</v>
      </c>
      <c r="BE62" s="113">
        <v>0</v>
      </c>
      <c r="BF62" s="113">
        <v>0</v>
      </c>
      <c r="BG62" s="113">
        <v>0</v>
      </c>
      <c r="BH62" s="113">
        <v>0</v>
      </c>
      <c r="BI62" s="113">
        <v>0</v>
      </c>
      <c r="BJ62" s="113">
        <v>0</v>
      </c>
      <c r="BK62" s="113">
        <v>0</v>
      </c>
      <c r="BL62" s="113">
        <v>0</v>
      </c>
      <c r="BM62" s="113">
        <v>0</v>
      </c>
      <c r="BN62" s="113">
        <v>0</v>
      </c>
      <c r="BO62" s="113">
        <v>0</v>
      </c>
      <c r="BP62" s="113">
        <v>0</v>
      </c>
      <c r="BQ62" s="113">
        <v>0</v>
      </c>
      <c r="BR62" s="113">
        <v>0</v>
      </c>
      <c r="BS62" s="113">
        <v>0</v>
      </c>
      <c r="BT62" s="113">
        <v>0</v>
      </c>
      <c r="BU62" s="113">
        <v>0</v>
      </c>
      <c r="BV62" s="113">
        <v>0</v>
      </c>
      <c r="BW62" s="113"/>
      <c r="BX62" s="113"/>
      <c r="BY62" s="113"/>
      <c r="BZ62" s="113">
        <v>0</v>
      </c>
      <c r="CA62" s="113">
        <v>0</v>
      </c>
      <c r="CB62" s="113">
        <v>0</v>
      </c>
      <c r="CC62" s="113"/>
      <c r="CD62" s="113"/>
      <c r="CE62" s="113"/>
      <c r="CF62" s="113">
        <v>0</v>
      </c>
      <c r="CG62" s="113">
        <v>0</v>
      </c>
      <c r="CH62" s="113">
        <v>0</v>
      </c>
      <c r="CI62" s="113">
        <v>0</v>
      </c>
      <c r="CJ62" s="113">
        <v>0</v>
      </c>
      <c r="CK62" s="113">
        <v>0</v>
      </c>
      <c r="CL62" s="113">
        <v>0</v>
      </c>
      <c r="CM62" s="113">
        <v>0</v>
      </c>
      <c r="CN62" s="113">
        <v>0</v>
      </c>
      <c r="CO62" s="113">
        <v>0</v>
      </c>
      <c r="CP62" s="113">
        <v>0</v>
      </c>
      <c r="CQ62" s="113">
        <v>0</v>
      </c>
      <c r="CR62" s="113">
        <v>0</v>
      </c>
      <c r="CS62" s="113">
        <v>0</v>
      </c>
      <c r="CT62" s="113">
        <v>0</v>
      </c>
      <c r="CU62" s="113">
        <v>0</v>
      </c>
      <c r="CV62" s="113">
        <v>0</v>
      </c>
      <c r="CW62" s="113">
        <v>0</v>
      </c>
      <c r="CX62" s="113">
        <v>0</v>
      </c>
      <c r="CY62" s="113">
        <v>0</v>
      </c>
      <c r="CZ62" s="113">
        <v>0</v>
      </c>
      <c r="DA62" s="113">
        <v>0</v>
      </c>
      <c r="DB62" s="113">
        <v>0</v>
      </c>
      <c r="DC62" s="113">
        <v>0</v>
      </c>
      <c r="DD62" s="113">
        <v>0</v>
      </c>
      <c r="DE62" s="113">
        <v>0</v>
      </c>
      <c r="DF62" s="113">
        <v>0</v>
      </c>
      <c r="DG62" s="113">
        <v>0</v>
      </c>
      <c r="DH62" s="113">
        <v>0</v>
      </c>
      <c r="DI62" s="113">
        <v>0</v>
      </c>
      <c r="DJ62" s="113">
        <v>0</v>
      </c>
      <c r="DK62" s="113">
        <v>0</v>
      </c>
      <c r="DL62" s="113">
        <v>0</v>
      </c>
      <c r="DM62" s="113">
        <v>0</v>
      </c>
      <c r="DN62" s="113">
        <v>0</v>
      </c>
      <c r="DO62" s="113">
        <v>0</v>
      </c>
      <c r="DP62" s="113">
        <v>0</v>
      </c>
      <c r="DQ62" s="113">
        <v>0</v>
      </c>
      <c r="DR62" s="113">
        <v>0</v>
      </c>
      <c r="DS62" s="113">
        <v>0</v>
      </c>
      <c r="DT62" s="113">
        <v>0</v>
      </c>
      <c r="DU62" s="113">
        <v>0</v>
      </c>
      <c r="DV62" s="113">
        <v>0</v>
      </c>
      <c r="DW62" s="113">
        <v>0</v>
      </c>
      <c r="DX62" s="113">
        <v>0</v>
      </c>
      <c r="DY62" s="113">
        <v>0</v>
      </c>
      <c r="DZ62" s="113">
        <v>0</v>
      </c>
      <c r="EA62" s="113">
        <v>0</v>
      </c>
      <c r="EB62" s="113">
        <v>0</v>
      </c>
      <c r="EC62" s="113">
        <v>0</v>
      </c>
      <c r="ED62" s="113">
        <v>0</v>
      </c>
      <c r="EE62" s="113">
        <v>0</v>
      </c>
      <c r="EF62" s="113">
        <v>0</v>
      </c>
      <c r="EG62" s="113">
        <v>0</v>
      </c>
      <c r="EH62" s="113">
        <v>0</v>
      </c>
      <c r="EI62" s="113">
        <v>0</v>
      </c>
      <c r="EJ62" s="113">
        <v>0</v>
      </c>
      <c r="EK62" s="113">
        <v>0</v>
      </c>
      <c r="EL62" s="113">
        <v>0</v>
      </c>
      <c r="EM62" s="113">
        <v>0</v>
      </c>
      <c r="EN62" s="113">
        <v>0</v>
      </c>
      <c r="EO62" s="113">
        <v>0</v>
      </c>
      <c r="EP62" s="113">
        <v>0</v>
      </c>
      <c r="EQ62" s="113">
        <v>0</v>
      </c>
      <c r="ER62" s="113">
        <v>0</v>
      </c>
      <c r="ES62" s="113">
        <v>0</v>
      </c>
      <c r="ET62" s="113">
        <v>0</v>
      </c>
      <c r="EU62" s="113">
        <v>0</v>
      </c>
      <c r="EV62" s="113">
        <v>0</v>
      </c>
      <c r="EW62" s="113">
        <v>0</v>
      </c>
      <c r="EX62" s="113">
        <v>0</v>
      </c>
      <c r="EY62" s="113">
        <v>0</v>
      </c>
      <c r="EZ62" s="113">
        <v>0</v>
      </c>
      <c r="FA62" s="113">
        <v>0</v>
      </c>
      <c r="FB62" s="113">
        <v>0</v>
      </c>
      <c r="FC62" s="113">
        <v>0</v>
      </c>
      <c r="FD62" s="113">
        <v>0</v>
      </c>
      <c r="FE62" s="113">
        <v>0</v>
      </c>
      <c r="FF62" s="113">
        <v>0</v>
      </c>
      <c r="FG62" s="113">
        <v>0</v>
      </c>
      <c r="FH62" s="113">
        <v>0</v>
      </c>
      <c r="FI62" s="113">
        <v>0</v>
      </c>
      <c r="FJ62" s="113">
        <v>0</v>
      </c>
      <c r="FK62" s="113">
        <v>0</v>
      </c>
      <c r="FL62" s="113">
        <v>0</v>
      </c>
      <c r="FM62" s="113">
        <v>0</v>
      </c>
      <c r="FN62" s="113">
        <v>0</v>
      </c>
      <c r="FO62" s="113">
        <v>0</v>
      </c>
      <c r="FP62" s="113">
        <v>0</v>
      </c>
      <c r="FQ62" s="113">
        <v>0</v>
      </c>
      <c r="FR62" s="113">
        <v>0</v>
      </c>
      <c r="FS62" s="113">
        <v>0</v>
      </c>
      <c r="FT62" s="113">
        <v>0</v>
      </c>
      <c r="FU62" s="113">
        <v>0</v>
      </c>
      <c r="FV62" s="113">
        <v>0</v>
      </c>
      <c r="FW62" s="113">
        <v>0</v>
      </c>
      <c r="FX62" s="32">
        <v>0</v>
      </c>
      <c r="FY62" s="30">
        <v>0</v>
      </c>
      <c r="FZ62" s="30">
        <v>0</v>
      </c>
    </row>
    <row r="63" spans="1:182" x14ac:dyDescent="0.2">
      <c r="A63" s="28">
        <v>33482</v>
      </c>
      <c r="B63" s="28"/>
      <c r="C63" s="29">
        <v>106920</v>
      </c>
      <c r="D63" s="29">
        <v>85912</v>
      </c>
      <c r="E63" s="29">
        <f t="shared" si="0"/>
        <v>192832</v>
      </c>
      <c r="F63" s="30">
        <v>5396550</v>
      </c>
      <c r="G63" s="30">
        <v>0</v>
      </c>
      <c r="H63" s="30">
        <f t="shared" si="1"/>
        <v>5396550</v>
      </c>
      <c r="I63" s="42" t="s">
        <v>75</v>
      </c>
      <c r="J63" s="42" t="s">
        <v>75</v>
      </c>
      <c r="K63" s="32">
        <v>2262585</v>
      </c>
      <c r="L63" s="31" t="s">
        <v>75</v>
      </c>
      <c r="M63" s="31" t="s">
        <v>75</v>
      </c>
      <c r="N63" s="30">
        <v>9245209</v>
      </c>
      <c r="O63" s="31" t="s">
        <v>75</v>
      </c>
      <c r="P63" s="31" t="s">
        <v>75</v>
      </c>
      <c r="Q63" s="30">
        <v>10711556</v>
      </c>
      <c r="R63" s="31" t="s">
        <v>75</v>
      </c>
      <c r="S63" s="31" t="s">
        <v>75</v>
      </c>
      <c r="T63" s="32">
        <v>209210</v>
      </c>
      <c r="U63" s="31" t="s">
        <v>75</v>
      </c>
      <c r="V63" s="31" t="s">
        <v>75</v>
      </c>
      <c r="W63" s="31" t="s">
        <v>75</v>
      </c>
      <c r="X63" s="31" t="s">
        <v>75</v>
      </c>
      <c r="Y63" s="31" t="s">
        <v>75</v>
      </c>
      <c r="Z63" s="30">
        <v>125498</v>
      </c>
      <c r="AA63" s="31" t="s">
        <v>75</v>
      </c>
      <c r="AB63" s="31" t="s">
        <v>75</v>
      </c>
      <c r="AC63" s="30">
        <v>266263</v>
      </c>
      <c r="AD63" s="31" t="s">
        <v>75</v>
      </c>
      <c r="AE63" s="31" t="s">
        <v>75</v>
      </c>
      <c r="AF63" s="30">
        <v>9608</v>
      </c>
      <c r="AG63" s="42" t="s">
        <v>75</v>
      </c>
      <c r="AH63" s="42" t="s">
        <v>75</v>
      </c>
      <c r="AI63" s="32">
        <v>59908</v>
      </c>
      <c r="AJ63" s="31" t="s">
        <v>75</v>
      </c>
      <c r="AK63" s="31" t="s">
        <v>75</v>
      </c>
      <c r="AL63" s="31" t="s">
        <v>75</v>
      </c>
      <c r="AM63" s="31"/>
      <c r="AN63" s="31"/>
      <c r="AO63" s="31"/>
      <c r="AP63" s="31"/>
      <c r="AQ63" s="31"/>
      <c r="AR63" s="31"/>
      <c r="AS63" s="31" t="s">
        <v>75</v>
      </c>
      <c r="AT63" s="31" t="s">
        <v>75</v>
      </c>
      <c r="AU63" s="31" t="s">
        <v>75</v>
      </c>
      <c r="AV63" s="31" t="s">
        <v>75</v>
      </c>
      <c r="AW63" s="31" t="s">
        <v>75</v>
      </c>
      <c r="AX63" s="31" t="s">
        <v>75</v>
      </c>
      <c r="AY63" s="31" t="s">
        <v>75</v>
      </c>
      <c r="AZ63" s="31" t="s">
        <v>75</v>
      </c>
      <c r="BA63" s="31" t="s">
        <v>75</v>
      </c>
      <c r="BB63" s="31" t="s">
        <v>75</v>
      </c>
      <c r="BC63" s="31" t="s">
        <v>75</v>
      </c>
      <c r="BD63" s="31" t="s">
        <v>75</v>
      </c>
      <c r="BE63" s="113">
        <v>0</v>
      </c>
      <c r="BF63" s="113">
        <v>0</v>
      </c>
      <c r="BG63" s="113">
        <v>0</v>
      </c>
      <c r="BH63" s="113">
        <v>0</v>
      </c>
      <c r="BI63" s="113">
        <v>0</v>
      </c>
      <c r="BJ63" s="113">
        <v>0</v>
      </c>
      <c r="BK63" s="113">
        <v>0</v>
      </c>
      <c r="BL63" s="113">
        <v>0</v>
      </c>
      <c r="BM63" s="113">
        <v>0</v>
      </c>
      <c r="BN63" s="113">
        <v>0</v>
      </c>
      <c r="BO63" s="113">
        <v>0</v>
      </c>
      <c r="BP63" s="113">
        <v>0</v>
      </c>
      <c r="BQ63" s="113">
        <v>0</v>
      </c>
      <c r="BR63" s="113">
        <v>0</v>
      </c>
      <c r="BS63" s="113">
        <v>0</v>
      </c>
      <c r="BT63" s="113">
        <v>0</v>
      </c>
      <c r="BU63" s="113">
        <v>0</v>
      </c>
      <c r="BV63" s="113">
        <v>0</v>
      </c>
      <c r="BW63" s="113"/>
      <c r="BX63" s="113"/>
      <c r="BY63" s="113"/>
      <c r="BZ63" s="113">
        <v>0</v>
      </c>
      <c r="CA63" s="113">
        <v>0</v>
      </c>
      <c r="CB63" s="113">
        <v>0</v>
      </c>
      <c r="CC63" s="113"/>
      <c r="CD63" s="113"/>
      <c r="CE63" s="113"/>
      <c r="CF63" s="113">
        <v>0</v>
      </c>
      <c r="CG63" s="113">
        <v>0</v>
      </c>
      <c r="CH63" s="113">
        <v>0</v>
      </c>
      <c r="CI63" s="113">
        <v>0</v>
      </c>
      <c r="CJ63" s="113">
        <v>0</v>
      </c>
      <c r="CK63" s="113">
        <v>0</v>
      </c>
      <c r="CL63" s="113">
        <v>0</v>
      </c>
      <c r="CM63" s="113">
        <v>0</v>
      </c>
      <c r="CN63" s="113">
        <v>0</v>
      </c>
      <c r="CO63" s="113">
        <v>0</v>
      </c>
      <c r="CP63" s="113">
        <v>0</v>
      </c>
      <c r="CQ63" s="113">
        <v>0</v>
      </c>
      <c r="CR63" s="113">
        <v>0</v>
      </c>
      <c r="CS63" s="113">
        <v>0</v>
      </c>
      <c r="CT63" s="113">
        <v>0</v>
      </c>
      <c r="CU63" s="113">
        <v>0</v>
      </c>
      <c r="CV63" s="113">
        <v>0</v>
      </c>
      <c r="CW63" s="113">
        <v>0</v>
      </c>
      <c r="CX63" s="113">
        <v>0</v>
      </c>
      <c r="CY63" s="113">
        <v>0</v>
      </c>
      <c r="CZ63" s="113">
        <v>0</v>
      </c>
      <c r="DA63" s="113">
        <v>0</v>
      </c>
      <c r="DB63" s="113">
        <v>0</v>
      </c>
      <c r="DC63" s="113">
        <v>0</v>
      </c>
      <c r="DD63" s="113">
        <v>0</v>
      </c>
      <c r="DE63" s="113">
        <v>0</v>
      </c>
      <c r="DF63" s="113">
        <v>0</v>
      </c>
      <c r="DG63" s="113">
        <v>0</v>
      </c>
      <c r="DH63" s="113">
        <v>0</v>
      </c>
      <c r="DI63" s="113">
        <v>0</v>
      </c>
      <c r="DJ63" s="113">
        <v>0</v>
      </c>
      <c r="DK63" s="113">
        <v>0</v>
      </c>
      <c r="DL63" s="113">
        <v>0</v>
      </c>
      <c r="DM63" s="113">
        <v>0</v>
      </c>
      <c r="DN63" s="113">
        <v>0</v>
      </c>
      <c r="DO63" s="113">
        <v>0</v>
      </c>
      <c r="DP63" s="113">
        <v>0</v>
      </c>
      <c r="DQ63" s="113">
        <v>0</v>
      </c>
      <c r="DR63" s="113">
        <v>0</v>
      </c>
      <c r="DS63" s="113">
        <v>0</v>
      </c>
      <c r="DT63" s="113">
        <v>0</v>
      </c>
      <c r="DU63" s="113">
        <v>0</v>
      </c>
      <c r="DV63" s="113">
        <v>0</v>
      </c>
      <c r="DW63" s="113">
        <v>0</v>
      </c>
      <c r="DX63" s="113">
        <v>0</v>
      </c>
      <c r="DY63" s="113">
        <v>0</v>
      </c>
      <c r="DZ63" s="113">
        <v>0</v>
      </c>
      <c r="EA63" s="113">
        <v>0</v>
      </c>
      <c r="EB63" s="113">
        <v>0</v>
      </c>
      <c r="EC63" s="113">
        <v>0</v>
      </c>
      <c r="ED63" s="113">
        <v>0</v>
      </c>
      <c r="EE63" s="113">
        <v>0</v>
      </c>
      <c r="EF63" s="113">
        <v>0</v>
      </c>
      <c r="EG63" s="113">
        <v>0</v>
      </c>
      <c r="EH63" s="113">
        <v>0</v>
      </c>
      <c r="EI63" s="113">
        <v>0</v>
      </c>
      <c r="EJ63" s="113">
        <v>0</v>
      </c>
      <c r="EK63" s="113">
        <v>0</v>
      </c>
      <c r="EL63" s="113">
        <v>0</v>
      </c>
      <c r="EM63" s="113">
        <v>0</v>
      </c>
      <c r="EN63" s="113">
        <v>0</v>
      </c>
      <c r="EO63" s="113">
        <v>0</v>
      </c>
      <c r="EP63" s="113">
        <v>0</v>
      </c>
      <c r="EQ63" s="113">
        <v>0</v>
      </c>
      <c r="ER63" s="113">
        <v>0</v>
      </c>
      <c r="ES63" s="113">
        <v>0</v>
      </c>
      <c r="ET63" s="113">
        <v>0</v>
      </c>
      <c r="EU63" s="113">
        <v>0</v>
      </c>
      <c r="EV63" s="113">
        <v>0</v>
      </c>
      <c r="EW63" s="113">
        <v>0</v>
      </c>
      <c r="EX63" s="113">
        <v>0</v>
      </c>
      <c r="EY63" s="113">
        <v>0</v>
      </c>
      <c r="EZ63" s="113">
        <v>0</v>
      </c>
      <c r="FA63" s="113">
        <v>0</v>
      </c>
      <c r="FB63" s="113">
        <v>0</v>
      </c>
      <c r="FC63" s="113">
        <v>0</v>
      </c>
      <c r="FD63" s="113">
        <v>0</v>
      </c>
      <c r="FE63" s="113">
        <v>0</v>
      </c>
      <c r="FF63" s="113">
        <v>0</v>
      </c>
      <c r="FG63" s="113">
        <v>0</v>
      </c>
      <c r="FH63" s="113">
        <v>0</v>
      </c>
      <c r="FI63" s="113">
        <v>0</v>
      </c>
      <c r="FJ63" s="113">
        <v>0</v>
      </c>
      <c r="FK63" s="113">
        <v>0</v>
      </c>
      <c r="FL63" s="113">
        <v>0</v>
      </c>
      <c r="FM63" s="113">
        <v>0</v>
      </c>
      <c r="FN63" s="113">
        <v>0</v>
      </c>
      <c r="FO63" s="113">
        <v>0</v>
      </c>
      <c r="FP63" s="113">
        <v>0</v>
      </c>
      <c r="FQ63" s="113">
        <v>0</v>
      </c>
      <c r="FR63" s="113">
        <v>0</v>
      </c>
      <c r="FS63" s="113">
        <v>0</v>
      </c>
      <c r="FT63" s="113">
        <v>0</v>
      </c>
      <c r="FU63" s="113">
        <v>0</v>
      </c>
      <c r="FV63" s="113">
        <v>0</v>
      </c>
      <c r="FW63" s="113">
        <v>0</v>
      </c>
      <c r="FX63" s="32">
        <v>0</v>
      </c>
      <c r="FY63" s="30">
        <v>0</v>
      </c>
      <c r="FZ63" s="30">
        <v>0</v>
      </c>
    </row>
    <row r="64" spans="1:182" x14ac:dyDescent="0.2">
      <c r="A64" s="28">
        <v>33512</v>
      </c>
      <c r="B64" s="28"/>
      <c r="C64" s="29">
        <v>376885</v>
      </c>
      <c r="D64" s="29">
        <v>225603</v>
      </c>
      <c r="E64" s="29">
        <f t="shared" si="0"/>
        <v>602488</v>
      </c>
      <c r="F64" s="30">
        <v>7745593</v>
      </c>
      <c r="G64" s="30">
        <v>0</v>
      </c>
      <c r="H64" s="30">
        <f t="shared" si="1"/>
        <v>7745593</v>
      </c>
      <c r="I64" s="42" t="s">
        <v>75</v>
      </c>
      <c r="J64" s="42" t="s">
        <v>75</v>
      </c>
      <c r="K64" s="32">
        <v>2937221</v>
      </c>
      <c r="L64" s="31" t="s">
        <v>75</v>
      </c>
      <c r="M64" s="31" t="s">
        <v>75</v>
      </c>
      <c r="N64" s="30">
        <v>10240871</v>
      </c>
      <c r="O64" s="31" t="s">
        <v>75</v>
      </c>
      <c r="P64" s="31" t="s">
        <v>75</v>
      </c>
      <c r="Q64" s="30">
        <v>11112265</v>
      </c>
      <c r="R64" s="31" t="s">
        <v>75</v>
      </c>
      <c r="S64" s="31" t="s">
        <v>75</v>
      </c>
      <c r="T64" s="32">
        <v>187794</v>
      </c>
      <c r="U64" s="31" t="s">
        <v>75</v>
      </c>
      <c r="V64" s="31" t="s">
        <v>75</v>
      </c>
      <c r="W64" s="31" t="s">
        <v>75</v>
      </c>
      <c r="X64" s="31" t="s">
        <v>75</v>
      </c>
      <c r="Y64" s="31" t="s">
        <v>75</v>
      </c>
      <c r="Z64" s="30">
        <v>284166</v>
      </c>
      <c r="AA64" s="31" t="s">
        <v>75</v>
      </c>
      <c r="AB64" s="31" t="s">
        <v>75</v>
      </c>
      <c r="AC64" s="30">
        <v>551583</v>
      </c>
      <c r="AD64" s="31" t="s">
        <v>75</v>
      </c>
      <c r="AE64" s="31" t="s">
        <v>75</v>
      </c>
      <c r="AF64" s="30">
        <v>19941</v>
      </c>
      <c r="AG64" s="42" t="s">
        <v>75</v>
      </c>
      <c r="AH64" s="42" t="s">
        <v>75</v>
      </c>
      <c r="AI64" s="32">
        <v>122501</v>
      </c>
      <c r="AJ64" s="31" t="s">
        <v>75</v>
      </c>
      <c r="AK64" s="31" t="s">
        <v>75</v>
      </c>
      <c r="AL64" s="31" t="s">
        <v>75</v>
      </c>
      <c r="AM64" s="31"/>
      <c r="AN64" s="31"/>
      <c r="AO64" s="31"/>
      <c r="AP64" s="31"/>
      <c r="AQ64" s="31"/>
      <c r="AR64" s="31"/>
      <c r="AS64" s="31" t="s">
        <v>75</v>
      </c>
      <c r="AT64" s="31" t="s">
        <v>75</v>
      </c>
      <c r="AU64" s="31" t="s">
        <v>75</v>
      </c>
      <c r="AV64" s="31" t="s">
        <v>75</v>
      </c>
      <c r="AW64" s="31" t="s">
        <v>75</v>
      </c>
      <c r="AX64" s="31" t="s">
        <v>75</v>
      </c>
      <c r="AY64" s="31" t="s">
        <v>75</v>
      </c>
      <c r="AZ64" s="31" t="s">
        <v>75</v>
      </c>
      <c r="BA64" s="31" t="s">
        <v>75</v>
      </c>
      <c r="BB64" s="31" t="s">
        <v>75</v>
      </c>
      <c r="BC64" s="31" t="s">
        <v>75</v>
      </c>
      <c r="BD64" s="31" t="s">
        <v>75</v>
      </c>
      <c r="BE64" s="113">
        <v>0</v>
      </c>
      <c r="BF64" s="113">
        <v>0</v>
      </c>
      <c r="BG64" s="113">
        <v>0</v>
      </c>
      <c r="BH64" s="113">
        <v>0</v>
      </c>
      <c r="BI64" s="113">
        <v>0</v>
      </c>
      <c r="BJ64" s="113">
        <v>0</v>
      </c>
      <c r="BK64" s="113">
        <v>0</v>
      </c>
      <c r="BL64" s="113">
        <v>0</v>
      </c>
      <c r="BM64" s="113">
        <v>0</v>
      </c>
      <c r="BN64" s="113">
        <v>0</v>
      </c>
      <c r="BO64" s="113">
        <v>0</v>
      </c>
      <c r="BP64" s="113">
        <v>0</v>
      </c>
      <c r="BQ64" s="113">
        <v>0</v>
      </c>
      <c r="BR64" s="113">
        <v>0</v>
      </c>
      <c r="BS64" s="113">
        <v>0</v>
      </c>
      <c r="BT64" s="113">
        <v>0</v>
      </c>
      <c r="BU64" s="113">
        <v>0</v>
      </c>
      <c r="BV64" s="113">
        <v>0</v>
      </c>
      <c r="BW64" s="113"/>
      <c r="BX64" s="113"/>
      <c r="BY64" s="113"/>
      <c r="BZ64" s="113">
        <v>0</v>
      </c>
      <c r="CA64" s="113">
        <v>0</v>
      </c>
      <c r="CB64" s="113">
        <v>0</v>
      </c>
      <c r="CC64" s="113"/>
      <c r="CD64" s="113"/>
      <c r="CE64" s="113"/>
      <c r="CF64" s="113">
        <v>0</v>
      </c>
      <c r="CG64" s="113">
        <v>0</v>
      </c>
      <c r="CH64" s="113">
        <v>0</v>
      </c>
      <c r="CI64" s="113">
        <v>0</v>
      </c>
      <c r="CJ64" s="113">
        <v>0</v>
      </c>
      <c r="CK64" s="113">
        <v>0</v>
      </c>
      <c r="CL64" s="113">
        <v>0</v>
      </c>
      <c r="CM64" s="113">
        <v>0</v>
      </c>
      <c r="CN64" s="113">
        <v>0</v>
      </c>
      <c r="CO64" s="113">
        <v>0</v>
      </c>
      <c r="CP64" s="113">
        <v>0</v>
      </c>
      <c r="CQ64" s="113">
        <v>0</v>
      </c>
      <c r="CR64" s="113">
        <v>0</v>
      </c>
      <c r="CS64" s="113">
        <v>0</v>
      </c>
      <c r="CT64" s="113">
        <v>0</v>
      </c>
      <c r="CU64" s="113">
        <v>0</v>
      </c>
      <c r="CV64" s="113">
        <v>0</v>
      </c>
      <c r="CW64" s="113">
        <v>0</v>
      </c>
      <c r="CX64" s="113">
        <v>0</v>
      </c>
      <c r="CY64" s="113">
        <v>0</v>
      </c>
      <c r="CZ64" s="113">
        <v>0</v>
      </c>
      <c r="DA64" s="113">
        <v>0</v>
      </c>
      <c r="DB64" s="113">
        <v>0</v>
      </c>
      <c r="DC64" s="113">
        <v>0</v>
      </c>
      <c r="DD64" s="113">
        <v>0</v>
      </c>
      <c r="DE64" s="113">
        <v>0</v>
      </c>
      <c r="DF64" s="113">
        <v>0</v>
      </c>
      <c r="DG64" s="113">
        <v>0</v>
      </c>
      <c r="DH64" s="113">
        <v>0</v>
      </c>
      <c r="DI64" s="113">
        <v>0</v>
      </c>
      <c r="DJ64" s="113">
        <v>0</v>
      </c>
      <c r="DK64" s="113">
        <v>0</v>
      </c>
      <c r="DL64" s="113">
        <v>0</v>
      </c>
      <c r="DM64" s="113">
        <v>0</v>
      </c>
      <c r="DN64" s="113">
        <v>0</v>
      </c>
      <c r="DO64" s="113">
        <v>0</v>
      </c>
      <c r="DP64" s="113">
        <v>0</v>
      </c>
      <c r="DQ64" s="113">
        <v>0</v>
      </c>
      <c r="DR64" s="113">
        <v>0</v>
      </c>
      <c r="DS64" s="113">
        <v>0</v>
      </c>
      <c r="DT64" s="113">
        <v>0</v>
      </c>
      <c r="DU64" s="113">
        <v>0</v>
      </c>
      <c r="DV64" s="113">
        <v>0</v>
      </c>
      <c r="DW64" s="113">
        <v>0</v>
      </c>
      <c r="DX64" s="113">
        <v>0</v>
      </c>
      <c r="DY64" s="113">
        <v>0</v>
      </c>
      <c r="DZ64" s="113">
        <v>0</v>
      </c>
      <c r="EA64" s="113">
        <v>0</v>
      </c>
      <c r="EB64" s="113">
        <v>0</v>
      </c>
      <c r="EC64" s="113">
        <v>0</v>
      </c>
      <c r="ED64" s="113">
        <v>0</v>
      </c>
      <c r="EE64" s="113">
        <v>0</v>
      </c>
      <c r="EF64" s="113">
        <v>0</v>
      </c>
      <c r="EG64" s="113">
        <v>0</v>
      </c>
      <c r="EH64" s="113">
        <v>0</v>
      </c>
      <c r="EI64" s="113">
        <v>0</v>
      </c>
      <c r="EJ64" s="113">
        <v>0</v>
      </c>
      <c r="EK64" s="113">
        <v>0</v>
      </c>
      <c r="EL64" s="113">
        <v>0</v>
      </c>
      <c r="EM64" s="113">
        <v>0</v>
      </c>
      <c r="EN64" s="113">
        <v>0</v>
      </c>
      <c r="EO64" s="113">
        <v>0</v>
      </c>
      <c r="EP64" s="113">
        <v>0</v>
      </c>
      <c r="EQ64" s="113">
        <v>0</v>
      </c>
      <c r="ER64" s="113">
        <v>0</v>
      </c>
      <c r="ES64" s="113">
        <v>0</v>
      </c>
      <c r="ET64" s="113">
        <v>0</v>
      </c>
      <c r="EU64" s="113">
        <v>0</v>
      </c>
      <c r="EV64" s="113">
        <v>0</v>
      </c>
      <c r="EW64" s="113">
        <v>0</v>
      </c>
      <c r="EX64" s="113">
        <v>0</v>
      </c>
      <c r="EY64" s="113">
        <v>0</v>
      </c>
      <c r="EZ64" s="113">
        <v>0</v>
      </c>
      <c r="FA64" s="113">
        <v>0</v>
      </c>
      <c r="FB64" s="113">
        <v>0</v>
      </c>
      <c r="FC64" s="113">
        <v>0</v>
      </c>
      <c r="FD64" s="113">
        <v>0</v>
      </c>
      <c r="FE64" s="113">
        <v>0</v>
      </c>
      <c r="FF64" s="113">
        <v>0</v>
      </c>
      <c r="FG64" s="113">
        <v>0</v>
      </c>
      <c r="FH64" s="113">
        <v>0</v>
      </c>
      <c r="FI64" s="113">
        <v>0</v>
      </c>
      <c r="FJ64" s="113">
        <v>0</v>
      </c>
      <c r="FK64" s="113">
        <v>0</v>
      </c>
      <c r="FL64" s="113">
        <v>0</v>
      </c>
      <c r="FM64" s="113">
        <v>0</v>
      </c>
      <c r="FN64" s="113">
        <v>0</v>
      </c>
      <c r="FO64" s="113">
        <v>0</v>
      </c>
      <c r="FP64" s="113">
        <v>0</v>
      </c>
      <c r="FQ64" s="113">
        <v>0</v>
      </c>
      <c r="FR64" s="113">
        <v>0</v>
      </c>
      <c r="FS64" s="113">
        <v>0</v>
      </c>
      <c r="FT64" s="113">
        <v>0</v>
      </c>
      <c r="FU64" s="113">
        <v>0</v>
      </c>
      <c r="FV64" s="113">
        <v>0</v>
      </c>
      <c r="FW64" s="113">
        <v>0</v>
      </c>
      <c r="FX64" s="32">
        <v>0</v>
      </c>
      <c r="FY64" s="30">
        <v>0</v>
      </c>
      <c r="FZ64" s="30">
        <v>0</v>
      </c>
    </row>
    <row r="65" spans="1:182" x14ac:dyDescent="0.2">
      <c r="A65" s="28">
        <v>33543</v>
      </c>
      <c r="B65" s="28"/>
      <c r="C65" s="29">
        <v>150294</v>
      </c>
      <c r="D65" s="29">
        <v>134824</v>
      </c>
      <c r="E65" s="29">
        <f t="shared" si="0"/>
        <v>285118</v>
      </c>
      <c r="F65" s="30">
        <v>8222922</v>
      </c>
      <c r="G65" s="30">
        <v>0</v>
      </c>
      <c r="H65" s="30">
        <f t="shared" si="1"/>
        <v>8222922</v>
      </c>
      <c r="I65" s="42" t="s">
        <v>75</v>
      </c>
      <c r="J65" s="42" t="s">
        <v>75</v>
      </c>
      <c r="K65" s="32">
        <v>3687982</v>
      </c>
      <c r="L65" s="31" t="s">
        <v>75</v>
      </c>
      <c r="M65" s="31" t="s">
        <v>75</v>
      </c>
      <c r="N65" s="30">
        <v>10221139</v>
      </c>
      <c r="O65" s="31" t="s">
        <v>75</v>
      </c>
      <c r="P65" s="31" t="s">
        <v>75</v>
      </c>
      <c r="Q65" s="30">
        <v>13268341</v>
      </c>
      <c r="R65" s="31" t="s">
        <v>75</v>
      </c>
      <c r="S65" s="31" t="s">
        <v>75</v>
      </c>
      <c r="T65" s="32">
        <v>125484</v>
      </c>
      <c r="U65" s="31" t="s">
        <v>75</v>
      </c>
      <c r="V65" s="31" t="s">
        <v>75</v>
      </c>
      <c r="W65" s="31" t="s">
        <v>75</v>
      </c>
      <c r="X65" s="31" t="s">
        <v>75</v>
      </c>
      <c r="Y65" s="31" t="s">
        <v>75</v>
      </c>
      <c r="Z65" s="30">
        <v>178945</v>
      </c>
      <c r="AA65" s="31" t="s">
        <v>75</v>
      </c>
      <c r="AB65" s="31" t="s">
        <v>75</v>
      </c>
      <c r="AC65" s="30">
        <v>277638</v>
      </c>
      <c r="AD65" s="31" t="s">
        <v>75</v>
      </c>
      <c r="AE65" s="31" t="s">
        <v>75</v>
      </c>
      <c r="AF65" s="30">
        <v>23866</v>
      </c>
      <c r="AG65" s="42" t="s">
        <v>75</v>
      </c>
      <c r="AH65" s="42" t="s">
        <v>75</v>
      </c>
      <c r="AI65" s="32">
        <v>73367</v>
      </c>
      <c r="AJ65" s="31" t="s">
        <v>75</v>
      </c>
      <c r="AK65" s="31" t="s">
        <v>75</v>
      </c>
      <c r="AL65" s="31" t="s">
        <v>75</v>
      </c>
      <c r="AM65" s="31"/>
      <c r="AN65" s="31"/>
      <c r="AO65" s="31"/>
      <c r="AP65" s="31"/>
      <c r="AQ65" s="31"/>
      <c r="AR65" s="31"/>
      <c r="AS65" s="31" t="s">
        <v>75</v>
      </c>
      <c r="AT65" s="31" t="s">
        <v>75</v>
      </c>
      <c r="AU65" s="31" t="s">
        <v>75</v>
      </c>
      <c r="AV65" s="31" t="s">
        <v>75</v>
      </c>
      <c r="AW65" s="31" t="s">
        <v>75</v>
      </c>
      <c r="AX65" s="31" t="s">
        <v>75</v>
      </c>
      <c r="AY65" s="31" t="s">
        <v>75</v>
      </c>
      <c r="AZ65" s="31" t="s">
        <v>75</v>
      </c>
      <c r="BA65" s="31" t="s">
        <v>75</v>
      </c>
      <c r="BB65" s="31" t="s">
        <v>75</v>
      </c>
      <c r="BC65" s="31" t="s">
        <v>75</v>
      </c>
      <c r="BD65" s="31" t="s">
        <v>75</v>
      </c>
      <c r="BE65" s="113">
        <v>0</v>
      </c>
      <c r="BF65" s="113">
        <v>0</v>
      </c>
      <c r="BG65" s="113">
        <v>0</v>
      </c>
      <c r="BH65" s="113">
        <v>0</v>
      </c>
      <c r="BI65" s="113">
        <v>0</v>
      </c>
      <c r="BJ65" s="113">
        <v>0</v>
      </c>
      <c r="BK65" s="113">
        <v>0</v>
      </c>
      <c r="BL65" s="113">
        <v>0</v>
      </c>
      <c r="BM65" s="113">
        <v>0</v>
      </c>
      <c r="BN65" s="113">
        <v>0</v>
      </c>
      <c r="BO65" s="113">
        <v>0</v>
      </c>
      <c r="BP65" s="113">
        <v>0</v>
      </c>
      <c r="BQ65" s="113">
        <v>0</v>
      </c>
      <c r="BR65" s="113">
        <v>0</v>
      </c>
      <c r="BS65" s="113">
        <v>0</v>
      </c>
      <c r="BT65" s="113">
        <v>0</v>
      </c>
      <c r="BU65" s="113">
        <v>0</v>
      </c>
      <c r="BV65" s="113">
        <v>0</v>
      </c>
      <c r="BW65" s="113"/>
      <c r="BX65" s="113"/>
      <c r="BY65" s="113"/>
      <c r="BZ65" s="113">
        <v>0</v>
      </c>
      <c r="CA65" s="113">
        <v>0</v>
      </c>
      <c r="CB65" s="113">
        <v>0</v>
      </c>
      <c r="CC65" s="113"/>
      <c r="CD65" s="113"/>
      <c r="CE65" s="113"/>
      <c r="CF65" s="113">
        <v>0</v>
      </c>
      <c r="CG65" s="113">
        <v>0</v>
      </c>
      <c r="CH65" s="113">
        <v>0</v>
      </c>
      <c r="CI65" s="113">
        <v>0</v>
      </c>
      <c r="CJ65" s="113">
        <v>0</v>
      </c>
      <c r="CK65" s="113">
        <v>0</v>
      </c>
      <c r="CL65" s="113">
        <v>0</v>
      </c>
      <c r="CM65" s="113">
        <v>0</v>
      </c>
      <c r="CN65" s="113">
        <v>0</v>
      </c>
      <c r="CO65" s="113">
        <v>0</v>
      </c>
      <c r="CP65" s="113">
        <v>0</v>
      </c>
      <c r="CQ65" s="113">
        <v>0</v>
      </c>
      <c r="CR65" s="113">
        <v>0</v>
      </c>
      <c r="CS65" s="113">
        <v>0</v>
      </c>
      <c r="CT65" s="113">
        <v>0</v>
      </c>
      <c r="CU65" s="113">
        <v>0</v>
      </c>
      <c r="CV65" s="113">
        <v>0</v>
      </c>
      <c r="CW65" s="113">
        <v>0</v>
      </c>
      <c r="CX65" s="113">
        <v>0</v>
      </c>
      <c r="CY65" s="113">
        <v>0</v>
      </c>
      <c r="CZ65" s="113">
        <v>0</v>
      </c>
      <c r="DA65" s="113">
        <v>0</v>
      </c>
      <c r="DB65" s="113">
        <v>0</v>
      </c>
      <c r="DC65" s="113">
        <v>0</v>
      </c>
      <c r="DD65" s="113">
        <v>0</v>
      </c>
      <c r="DE65" s="113">
        <v>0</v>
      </c>
      <c r="DF65" s="113">
        <v>0</v>
      </c>
      <c r="DG65" s="113">
        <v>0</v>
      </c>
      <c r="DH65" s="113">
        <v>0</v>
      </c>
      <c r="DI65" s="113">
        <v>0</v>
      </c>
      <c r="DJ65" s="113">
        <v>0</v>
      </c>
      <c r="DK65" s="113">
        <v>0</v>
      </c>
      <c r="DL65" s="113">
        <v>0</v>
      </c>
      <c r="DM65" s="113">
        <v>0</v>
      </c>
      <c r="DN65" s="113">
        <v>0</v>
      </c>
      <c r="DO65" s="113">
        <v>0</v>
      </c>
      <c r="DP65" s="113">
        <v>0</v>
      </c>
      <c r="DQ65" s="113">
        <v>0</v>
      </c>
      <c r="DR65" s="113">
        <v>0</v>
      </c>
      <c r="DS65" s="113">
        <v>0</v>
      </c>
      <c r="DT65" s="113">
        <v>0</v>
      </c>
      <c r="DU65" s="113">
        <v>0</v>
      </c>
      <c r="DV65" s="113">
        <v>0</v>
      </c>
      <c r="DW65" s="113">
        <v>0</v>
      </c>
      <c r="DX65" s="113">
        <v>0</v>
      </c>
      <c r="DY65" s="113">
        <v>0</v>
      </c>
      <c r="DZ65" s="113">
        <v>0</v>
      </c>
      <c r="EA65" s="113">
        <v>0</v>
      </c>
      <c r="EB65" s="113">
        <v>0</v>
      </c>
      <c r="EC65" s="113">
        <v>0</v>
      </c>
      <c r="ED65" s="113">
        <v>0</v>
      </c>
      <c r="EE65" s="113">
        <v>0</v>
      </c>
      <c r="EF65" s="113">
        <v>0</v>
      </c>
      <c r="EG65" s="113">
        <v>0</v>
      </c>
      <c r="EH65" s="113">
        <v>0</v>
      </c>
      <c r="EI65" s="113">
        <v>0</v>
      </c>
      <c r="EJ65" s="113">
        <v>0</v>
      </c>
      <c r="EK65" s="113">
        <v>0</v>
      </c>
      <c r="EL65" s="113">
        <v>0</v>
      </c>
      <c r="EM65" s="113">
        <v>0</v>
      </c>
      <c r="EN65" s="113">
        <v>0</v>
      </c>
      <c r="EO65" s="113">
        <v>0</v>
      </c>
      <c r="EP65" s="113">
        <v>0</v>
      </c>
      <c r="EQ65" s="113">
        <v>0</v>
      </c>
      <c r="ER65" s="113">
        <v>0</v>
      </c>
      <c r="ES65" s="113">
        <v>0</v>
      </c>
      <c r="ET65" s="113">
        <v>0</v>
      </c>
      <c r="EU65" s="113">
        <v>0</v>
      </c>
      <c r="EV65" s="113">
        <v>0</v>
      </c>
      <c r="EW65" s="113">
        <v>0</v>
      </c>
      <c r="EX65" s="113">
        <v>0</v>
      </c>
      <c r="EY65" s="113">
        <v>0</v>
      </c>
      <c r="EZ65" s="113">
        <v>0</v>
      </c>
      <c r="FA65" s="113">
        <v>0</v>
      </c>
      <c r="FB65" s="113">
        <v>0</v>
      </c>
      <c r="FC65" s="113">
        <v>0</v>
      </c>
      <c r="FD65" s="113">
        <v>0</v>
      </c>
      <c r="FE65" s="113">
        <v>0</v>
      </c>
      <c r="FF65" s="113">
        <v>0</v>
      </c>
      <c r="FG65" s="113">
        <v>0</v>
      </c>
      <c r="FH65" s="113">
        <v>0</v>
      </c>
      <c r="FI65" s="113">
        <v>0</v>
      </c>
      <c r="FJ65" s="113">
        <v>0</v>
      </c>
      <c r="FK65" s="113">
        <v>0</v>
      </c>
      <c r="FL65" s="113">
        <v>0</v>
      </c>
      <c r="FM65" s="113">
        <v>0</v>
      </c>
      <c r="FN65" s="113">
        <v>0</v>
      </c>
      <c r="FO65" s="113">
        <v>0</v>
      </c>
      <c r="FP65" s="113">
        <v>0</v>
      </c>
      <c r="FQ65" s="113">
        <v>0</v>
      </c>
      <c r="FR65" s="113">
        <v>0</v>
      </c>
      <c r="FS65" s="113">
        <v>0</v>
      </c>
      <c r="FT65" s="113">
        <v>0</v>
      </c>
      <c r="FU65" s="113">
        <v>0</v>
      </c>
      <c r="FV65" s="113">
        <v>0</v>
      </c>
      <c r="FW65" s="113">
        <v>0</v>
      </c>
      <c r="FX65" s="32">
        <v>0</v>
      </c>
      <c r="FY65" s="30">
        <v>0</v>
      </c>
      <c r="FZ65" s="30">
        <v>0</v>
      </c>
    </row>
    <row r="66" spans="1:182" x14ac:dyDescent="0.2">
      <c r="A66" s="28">
        <v>33573</v>
      </c>
      <c r="B66" s="28"/>
      <c r="C66" s="29">
        <v>286293</v>
      </c>
      <c r="D66" s="29">
        <v>251391</v>
      </c>
      <c r="E66" s="29">
        <f t="shared" si="0"/>
        <v>537684</v>
      </c>
      <c r="F66" s="30">
        <v>12270397</v>
      </c>
      <c r="G66" s="30">
        <v>0</v>
      </c>
      <c r="H66" s="30">
        <f t="shared" si="1"/>
        <v>12270397</v>
      </c>
      <c r="I66" s="42" t="s">
        <v>75</v>
      </c>
      <c r="J66" s="42" t="s">
        <v>75</v>
      </c>
      <c r="K66" s="32">
        <v>5415600</v>
      </c>
      <c r="L66" s="31" t="s">
        <v>75</v>
      </c>
      <c r="M66" s="31" t="s">
        <v>75</v>
      </c>
      <c r="N66" s="30">
        <v>15832492</v>
      </c>
      <c r="O66" s="31" t="s">
        <v>75</v>
      </c>
      <c r="P66" s="31" t="s">
        <v>75</v>
      </c>
      <c r="Q66" s="30">
        <v>13269161</v>
      </c>
      <c r="R66" s="31" t="s">
        <v>75</v>
      </c>
      <c r="S66" s="31" t="s">
        <v>75</v>
      </c>
      <c r="T66" s="32">
        <v>33019</v>
      </c>
      <c r="U66" s="31" t="s">
        <v>75</v>
      </c>
      <c r="V66" s="31" t="s">
        <v>75</v>
      </c>
      <c r="W66" s="31" t="s">
        <v>75</v>
      </c>
      <c r="X66" s="31" t="s">
        <v>75</v>
      </c>
      <c r="Y66" s="31" t="s">
        <v>75</v>
      </c>
      <c r="Z66" s="30">
        <v>207546</v>
      </c>
      <c r="AA66" s="31" t="s">
        <v>75</v>
      </c>
      <c r="AB66" s="31" t="s">
        <v>75</v>
      </c>
      <c r="AC66" s="30">
        <v>494796</v>
      </c>
      <c r="AD66" s="31" t="s">
        <v>75</v>
      </c>
      <c r="AE66" s="31" t="s">
        <v>75</v>
      </c>
      <c r="AF66" s="30">
        <v>122225</v>
      </c>
      <c r="AG66" s="42" t="s">
        <v>75</v>
      </c>
      <c r="AH66" s="42" t="s">
        <v>75</v>
      </c>
      <c r="AI66" s="32">
        <v>122014</v>
      </c>
      <c r="AJ66" s="31" t="s">
        <v>75</v>
      </c>
      <c r="AK66" s="31" t="s">
        <v>75</v>
      </c>
      <c r="AL66" s="31" t="s">
        <v>75</v>
      </c>
      <c r="AM66" s="31"/>
      <c r="AN66" s="31"/>
      <c r="AO66" s="31"/>
      <c r="AP66" s="31"/>
      <c r="AQ66" s="31"/>
      <c r="AR66" s="31"/>
      <c r="AS66" s="31" t="s">
        <v>75</v>
      </c>
      <c r="AT66" s="31" t="s">
        <v>75</v>
      </c>
      <c r="AU66" s="31" t="s">
        <v>75</v>
      </c>
      <c r="AV66" s="31" t="s">
        <v>75</v>
      </c>
      <c r="AW66" s="31" t="s">
        <v>75</v>
      </c>
      <c r="AX66" s="31" t="s">
        <v>75</v>
      </c>
      <c r="AY66" s="31" t="s">
        <v>75</v>
      </c>
      <c r="AZ66" s="31" t="s">
        <v>75</v>
      </c>
      <c r="BA66" s="31" t="s">
        <v>75</v>
      </c>
      <c r="BB66" s="31" t="s">
        <v>75</v>
      </c>
      <c r="BC66" s="31" t="s">
        <v>75</v>
      </c>
      <c r="BD66" s="31" t="s">
        <v>75</v>
      </c>
      <c r="BE66" s="113">
        <v>0</v>
      </c>
      <c r="BF66" s="113">
        <v>0</v>
      </c>
      <c r="BG66" s="113">
        <v>0</v>
      </c>
      <c r="BH66" s="113">
        <v>0</v>
      </c>
      <c r="BI66" s="113">
        <v>0</v>
      </c>
      <c r="BJ66" s="113">
        <v>0</v>
      </c>
      <c r="BK66" s="113">
        <v>0</v>
      </c>
      <c r="BL66" s="113">
        <v>0</v>
      </c>
      <c r="BM66" s="113">
        <v>0</v>
      </c>
      <c r="BN66" s="113">
        <v>0</v>
      </c>
      <c r="BO66" s="113">
        <v>0</v>
      </c>
      <c r="BP66" s="113">
        <v>0</v>
      </c>
      <c r="BQ66" s="113">
        <v>0</v>
      </c>
      <c r="BR66" s="113">
        <v>0</v>
      </c>
      <c r="BS66" s="113">
        <v>0</v>
      </c>
      <c r="BT66" s="113">
        <v>0</v>
      </c>
      <c r="BU66" s="113">
        <v>0</v>
      </c>
      <c r="BV66" s="113">
        <v>0</v>
      </c>
      <c r="BW66" s="113"/>
      <c r="BX66" s="113"/>
      <c r="BY66" s="113"/>
      <c r="BZ66" s="113">
        <v>0</v>
      </c>
      <c r="CA66" s="113">
        <v>0</v>
      </c>
      <c r="CB66" s="113">
        <v>0</v>
      </c>
      <c r="CC66" s="113"/>
      <c r="CD66" s="113"/>
      <c r="CE66" s="113"/>
      <c r="CF66" s="113">
        <v>0</v>
      </c>
      <c r="CG66" s="113">
        <v>0</v>
      </c>
      <c r="CH66" s="113">
        <v>0</v>
      </c>
      <c r="CI66" s="113">
        <v>0</v>
      </c>
      <c r="CJ66" s="113">
        <v>0</v>
      </c>
      <c r="CK66" s="113">
        <v>0</v>
      </c>
      <c r="CL66" s="113">
        <v>0</v>
      </c>
      <c r="CM66" s="113">
        <v>0</v>
      </c>
      <c r="CN66" s="113">
        <v>0</v>
      </c>
      <c r="CO66" s="113">
        <v>0</v>
      </c>
      <c r="CP66" s="113">
        <v>0</v>
      </c>
      <c r="CQ66" s="113">
        <v>0</v>
      </c>
      <c r="CR66" s="113">
        <v>0</v>
      </c>
      <c r="CS66" s="113">
        <v>0</v>
      </c>
      <c r="CT66" s="113">
        <v>0</v>
      </c>
      <c r="CU66" s="113">
        <v>0</v>
      </c>
      <c r="CV66" s="113">
        <v>0</v>
      </c>
      <c r="CW66" s="113">
        <v>0</v>
      </c>
      <c r="CX66" s="113">
        <v>0</v>
      </c>
      <c r="CY66" s="113">
        <v>0</v>
      </c>
      <c r="CZ66" s="113">
        <v>0</v>
      </c>
      <c r="DA66" s="113">
        <v>0</v>
      </c>
      <c r="DB66" s="113">
        <v>0</v>
      </c>
      <c r="DC66" s="113">
        <v>0</v>
      </c>
      <c r="DD66" s="113">
        <v>0</v>
      </c>
      <c r="DE66" s="113">
        <v>0</v>
      </c>
      <c r="DF66" s="113">
        <v>0</v>
      </c>
      <c r="DG66" s="113">
        <v>0</v>
      </c>
      <c r="DH66" s="113">
        <v>0</v>
      </c>
      <c r="DI66" s="113">
        <v>0</v>
      </c>
      <c r="DJ66" s="113">
        <v>0</v>
      </c>
      <c r="DK66" s="113">
        <v>0</v>
      </c>
      <c r="DL66" s="113">
        <v>0</v>
      </c>
      <c r="DM66" s="113">
        <v>0</v>
      </c>
      <c r="DN66" s="113">
        <v>0</v>
      </c>
      <c r="DO66" s="113">
        <v>0</v>
      </c>
      <c r="DP66" s="113">
        <v>0</v>
      </c>
      <c r="DQ66" s="113">
        <v>0</v>
      </c>
      <c r="DR66" s="113">
        <v>0</v>
      </c>
      <c r="DS66" s="113">
        <v>0</v>
      </c>
      <c r="DT66" s="113">
        <v>0</v>
      </c>
      <c r="DU66" s="113">
        <v>0</v>
      </c>
      <c r="DV66" s="113">
        <v>0</v>
      </c>
      <c r="DW66" s="113">
        <v>0</v>
      </c>
      <c r="DX66" s="113">
        <v>0</v>
      </c>
      <c r="DY66" s="113">
        <v>0</v>
      </c>
      <c r="DZ66" s="113">
        <v>0</v>
      </c>
      <c r="EA66" s="113">
        <v>0</v>
      </c>
      <c r="EB66" s="113">
        <v>0</v>
      </c>
      <c r="EC66" s="113">
        <v>0</v>
      </c>
      <c r="ED66" s="113">
        <v>0</v>
      </c>
      <c r="EE66" s="113">
        <v>0</v>
      </c>
      <c r="EF66" s="113">
        <v>0</v>
      </c>
      <c r="EG66" s="113">
        <v>0</v>
      </c>
      <c r="EH66" s="113">
        <v>0</v>
      </c>
      <c r="EI66" s="113">
        <v>0</v>
      </c>
      <c r="EJ66" s="113">
        <v>0</v>
      </c>
      <c r="EK66" s="113">
        <v>0</v>
      </c>
      <c r="EL66" s="113">
        <v>0</v>
      </c>
      <c r="EM66" s="113">
        <v>0</v>
      </c>
      <c r="EN66" s="113">
        <v>0</v>
      </c>
      <c r="EO66" s="113">
        <v>0</v>
      </c>
      <c r="EP66" s="113">
        <v>0</v>
      </c>
      <c r="EQ66" s="113">
        <v>0</v>
      </c>
      <c r="ER66" s="113">
        <v>0</v>
      </c>
      <c r="ES66" s="113">
        <v>0</v>
      </c>
      <c r="ET66" s="113">
        <v>0</v>
      </c>
      <c r="EU66" s="113">
        <v>0</v>
      </c>
      <c r="EV66" s="113">
        <v>0</v>
      </c>
      <c r="EW66" s="113">
        <v>0</v>
      </c>
      <c r="EX66" s="113">
        <v>0</v>
      </c>
      <c r="EY66" s="113">
        <v>0</v>
      </c>
      <c r="EZ66" s="113">
        <v>0</v>
      </c>
      <c r="FA66" s="113">
        <v>0</v>
      </c>
      <c r="FB66" s="113">
        <v>0</v>
      </c>
      <c r="FC66" s="113">
        <v>0</v>
      </c>
      <c r="FD66" s="113">
        <v>0</v>
      </c>
      <c r="FE66" s="113">
        <v>0</v>
      </c>
      <c r="FF66" s="113">
        <v>0</v>
      </c>
      <c r="FG66" s="113">
        <v>0</v>
      </c>
      <c r="FH66" s="113">
        <v>0</v>
      </c>
      <c r="FI66" s="113">
        <v>0</v>
      </c>
      <c r="FJ66" s="113">
        <v>0</v>
      </c>
      <c r="FK66" s="113">
        <v>0</v>
      </c>
      <c r="FL66" s="113">
        <v>0</v>
      </c>
      <c r="FM66" s="113">
        <v>0</v>
      </c>
      <c r="FN66" s="113">
        <v>0</v>
      </c>
      <c r="FO66" s="113">
        <v>0</v>
      </c>
      <c r="FP66" s="113">
        <v>0</v>
      </c>
      <c r="FQ66" s="113">
        <v>0</v>
      </c>
      <c r="FR66" s="113">
        <v>0</v>
      </c>
      <c r="FS66" s="113">
        <v>0</v>
      </c>
      <c r="FT66" s="113">
        <v>0</v>
      </c>
      <c r="FU66" s="113">
        <v>0</v>
      </c>
      <c r="FV66" s="113">
        <v>0</v>
      </c>
      <c r="FW66" s="113">
        <v>0</v>
      </c>
      <c r="FX66" s="32">
        <v>0</v>
      </c>
      <c r="FY66" s="30">
        <v>0</v>
      </c>
      <c r="FZ66" s="30">
        <v>0</v>
      </c>
    </row>
    <row r="67" spans="1:182" x14ac:dyDescent="0.2">
      <c r="A67" s="28">
        <v>33604</v>
      </c>
      <c r="B67" s="28"/>
      <c r="C67" s="29">
        <v>91434</v>
      </c>
      <c r="D67" s="29">
        <v>114923</v>
      </c>
      <c r="E67" s="29">
        <f t="shared" si="0"/>
        <v>206357</v>
      </c>
      <c r="F67" s="30">
        <v>10217473</v>
      </c>
      <c r="G67" s="30">
        <v>0</v>
      </c>
      <c r="H67" s="30">
        <f t="shared" si="1"/>
        <v>10217473</v>
      </c>
      <c r="I67" s="42" t="s">
        <v>75</v>
      </c>
      <c r="J67" s="42" t="s">
        <v>75</v>
      </c>
      <c r="K67" s="32">
        <v>5234441</v>
      </c>
      <c r="L67" s="31" t="s">
        <v>75</v>
      </c>
      <c r="M67" s="31" t="s">
        <v>75</v>
      </c>
      <c r="N67" s="30">
        <v>12408286</v>
      </c>
      <c r="O67" s="31" t="s">
        <v>75</v>
      </c>
      <c r="P67" s="31" t="s">
        <v>75</v>
      </c>
      <c r="Q67" s="30">
        <v>15114349</v>
      </c>
      <c r="R67" s="31" t="s">
        <v>75</v>
      </c>
      <c r="S67" s="31" t="s">
        <v>75</v>
      </c>
      <c r="T67" s="32">
        <v>49213</v>
      </c>
      <c r="U67" s="31" t="s">
        <v>75</v>
      </c>
      <c r="V67" s="31" t="s">
        <v>75</v>
      </c>
      <c r="W67" s="31" t="s">
        <v>75</v>
      </c>
      <c r="X67" s="31" t="s">
        <v>75</v>
      </c>
      <c r="Y67" s="31" t="s">
        <v>75</v>
      </c>
      <c r="Z67" s="30">
        <v>58057</v>
      </c>
      <c r="AA67" s="31" t="s">
        <v>75</v>
      </c>
      <c r="AB67" s="31" t="s">
        <v>75</v>
      </c>
      <c r="AC67" s="30">
        <v>203988</v>
      </c>
      <c r="AD67" s="31" t="s">
        <v>75</v>
      </c>
      <c r="AE67" s="31" t="s">
        <v>75</v>
      </c>
      <c r="AF67" s="30">
        <v>10254</v>
      </c>
      <c r="AG67" s="42" t="s">
        <v>75</v>
      </c>
      <c r="AH67" s="42" t="s">
        <v>75</v>
      </c>
      <c r="AI67" s="32">
        <v>57891</v>
      </c>
      <c r="AJ67" s="31" t="s">
        <v>75</v>
      </c>
      <c r="AK67" s="31" t="s">
        <v>75</v>
      </c>
      <c r="AL67" s="31" t="s">
        <v>75</v>
      </c>
      <c r="AM67" s="31"/>
      <c r="AN67" s="31"/>
      <c r="AO67" s="31"/>
      <c r="AP67" s="31"/>
      <c r="AQ67" s="31"/>
      <c r="AR67" s="31"/>
      <c r="AS67" s="31" t="s">
        <v>75</v>
      </c>
      <c r="AT67" s="31" t="s">
        <v>75</v>
      </c>
      <c r="AU67" s="31" t="s">
        <v>75</v>
      </c>
      <c r="AV67" s="31" t="s">
        <v>75</v>
      </c>
      <c r="AW67" s="31" t="s">
        <v>75</v>
      </c>
      <c r="AX67" s="31" t="s">
        <v>75</v>
      </c>
      <c r="AY67" s="31" t="s">
        <v>75</v>
      </c>
      <c r="AZ67" s="31" t="s">
        <v>75</v>
      </c>
      <c r="BA67" s="31" t="s">
        <v>75</v>
      </c>
      <c r="BB67" s="31" t="s">
        <v>75</v>
      </c>
      <c r="BC67" s="31" t="s">
        <v>75</v>
      </c>
      <c r="BD67" s="31" t="s">
        <v>75</v>
      </c>
      <c r="BE67" s="113">
        <v>0</v>
      </c>
      <c r="BF67" s="113">
        <v>0</v>
      </c>
      <c r="BG67" s="113">
        <v>0</v>
      </c>
      <c r="BH67" s="113">
        <v>0</v>
      </c>
      <c r="BI67" s="113">
        <v>0</v>
      </c>
      <c r="BJ67" s="113">
        <v>0</v>
      </c>
      <c r="BK67" s="113">
        <v>0</v>
      </c>
      <c r="BL67" s="113">
        <v>0</v>
      </c>
      <c r="BM67" s="113">
        <v>0</v>
      </c>
      <c r="BN67" s="113">
        <v>0</v>
      </c>
      <c r="BO67" s="113">
        <v>0</v>
      </c>
      <c r="BP67" s="113">
        <v>0</v>
      </c>
      <c r="BQ67" s="113">
        <v>0</v>
      </c>
      <c r="BR67" s="113">
        <v>0</v>
      </c>
      <c r="BS67" s="113">
        <v>0</v>
      </c>
      <c r="BT67" s="113">
        <v>0</v>
      </c>
      <c r="BU67" s="113">
        <v>0</v>
      </c>
      <c r="BV67" s="113">
        <v>0</v>
      </c>
      <c r="BW67" s="113"/>
      <c r="BX67" s="113"/>
      <c r="BY67" s="113"/>
      <c r="BZ67" s="113">
        <v>0</v>
      </c>
      <c r="CA67" s="113">
        <v>0</v>
      </c>
      <c r="CB67" s="113">
        <v>0</v>
      </c>
      <c r="CC67" s="113"/>
      <c r="CD67" s="113"/>
      <c r="CE67" s="113"/>
      <c r="CF67" s="113">
        <v>0</v>
      </c>
      <c r="CG67" s="113">
        <v>0</v>
      </c>
      <c r="CH67" s="113">
        <v>0</v>
      </c>
      <c r="CI67" s="113">
        <v>0</v>
      </c>
      <c r="CJ67" s="113">
        <v>0</v>
      </c>
      <c r="CK67" s="113">
        <v>0</v>
      </c>
      <c r="CL67" s="113">
        <v>0</v>
      </c>
      <c r="CM67" s="113">
        <v>0</v>
      </c>
      <c r="CN67" s="113">
        <v>0</v>
      </c>
      <c r="CO67" s="113">
        <v>0</v>
      </c>
      <c r="CP67" s="113">
        <v>0</v>
      </c>
      <c r="CQ67" s="113">
        <v>0</v>
      </c>
      <c r="CR67" s="113">
        <v>0</v>
      </c>
      <c r="CS67" s="113">
        <v>0</v>
      </c>
      <c r="CT67" s="113">
        <v>0</v>
      </c>
      <c r="CU67" s="113">
        <v>0</v>
      </c>
      <c r="CV67" s="113">
        <v>0</v>
      </c>
      <c r="CW67" s="113">
        <v>0</v>
      </c>
      <c r="CX67" s="113">
        <v>0</v>
      </c>
      <c r="CY67" s="113">
        <v>0</v>
      </c>
      <c r="CZ67" s="113">
        <v>0</v>
      </c>
      <c r="DA67" s="113">
        <v>0</v>
      </c>
      <c r="DB67" s="113">
        <v>0</v>
      </c>
      <c r="DC67" s="113">
        <v>0</v>
      </c>
      <c r="DD67" s="113">
        <v>0</v>
      </c>
      <c r="DE67" s="113">
        <v>0</v>
      </c>
      <c r="DF67" s="113">
        <v>0</v>
      </c>
      <c r="DG67" s="113">
        <v>0</v>
      </c>
      <c r="DH67" s="113">
        <v>0</v>
      </c>
      <c r="DI67" s="113">
        <v>0</v>
      </c>
      <c r="DJ67" s="113">
        <v>0</v>
      </c>
      <c r="DK67" s="113">
        <v>0</v>
      </c>
      <c r="DL67" s="113">
        <v>0</v>
      </c>
      <c r="DM67" s="113">
        <v>0</v>
      </c>
      <c r="DN67" s="113">
        <v>0</v>
      </c>
      <c r="DO67" s="113">
        <v>0</v>
      </c>
      <c r="DP67" s="113">
        <v>0</v>
      </c>
      <c r="DQ67" s="113">
        <v>0</v>
      </c>
      <c r="DR67" s="113">
        <v>0</v>
      </c>
      <c r="DS67" s="113">
        <v>0</v>
      </c>
      <c r="DT67" s="113">
        <v>0</v>
      </c>
      <c r="DU67" s="113">
        <v>0</v>
      </c>
      <c r="DV67" s="113">
        <v>0</v>
      </c>
      <c r="DW67" s="113">
        <v>0</v>
      </c>
      <c r="DX67" s="113">
        <v>0</v>
      </c>
      <c r="DY67" s="113">
        <v>0</v>
      </c>
      <c r="DZ67" s="113">
        <v>0</v>
      </c>
      <c r="EA67" s="113">
        <v>0</v>
      </c>
      <c r="EB67" s="113">
        <v>0</v>
      </c>
      <c r="EC67" s="113">
        <v>0</v>
      </c>
      <c r="ED67" s="113">
        <v>0</v>
      </c>
      <c r="EE67" s="113">
        <v>0</v>
      </c>
      <c r="EF67" s="113">
        <v>0</v>
      </c>
      <c r="EG67" s="113">
        <v>0</v>
      </c>
      <c r="EH67" s="113">
        <v>0</v>
      </c>
      <c r="EI67" s="113">
        <v>0</v>
      </c>
      <c r="EJ67" s="113">
        <v>0</v>
      </c>
      <c r="EK67" s="113">
        <v>0</v>
      </c>
      <c r="EL67" s="113">
        <v>0</v>
      </c>
      <c r="EM67" s="113">
        <v>0</v>
      </c>
      <c r="EN67" s="113">
        <v>0</v>
      </c>
      <c r="EO67" s="113">
        <v>0</v>
      </c>
      <c r="EP67" s="113">
        <v>0</v>
      </c>
      <c r="EQ67" s="113">
        <v>0</v>
      </c>
      <c r="ER67" s="113">
        <v>0</v>
      </c>
      <c r="ES67" s="113">
        <v>0</v>
      </c>
      <c r="ET67" s="113">
        <v>0</v>
      </c>
      <c r="EU67" s="113">
        <v>0</v>
      </c>
      <c r="EV67" s="113">
        <v>0</v>
      </c>
      <c r="EW67" s="113">
        <v>0</v>
      </c>
      <c r="EX67" s="113">
        <v>0</v>
      </c>
      <c r="EY67" s="113">
        <v>0</v>
      </c>
      <c r="EZ67" s="113">
        <v>0</v>
      </c>
      <c r="FA67" s="113">
        <v>0</v>
      </c>
      <c r="FB67" s="113">
        <v>0</v>
      </c>
      <c r="FC67" s="113">
        <v>0</v>
      </c>
      <c r="FD67" s="113">
        <v>0</v>
      </c>
      <c r="FE67" s="113">
        <v>0</v>
      </c>
      <c r="FF67" s="113">
        <v>0</v>
      </c>
      <c r="FG67" s="113">
        <v>0</v>
      </c>
      <c r="FH67" s="113">
        <v>0</v>
      </c>
      <c r="FI67" s="113">
        <v>0</v>
      </c>
      <c r="FJ67" s="113">
        <v>0</v>
      </c>
      <c r="FK67" s="113">
        <v>0</v>
      </c>
      <c r="FL67" s="113">
        <v>0</v>
      </c>
      <c r="FM67" s="113">
        <v>0</v>
      </c>
      <c r="FN67" s="113">
        <v>0</v>
      </c>
      <c r="FO67" s="113">
        <v>0</v>
      </c>
      <c r="FP67" s="113">
        <v>0</v>
      </c>
      <c r="FQ67" s="113">
        <v>0</v>
      </c>
      <c r="FR67" s="113">
        <v>0</v>
      </c>
      <c r="FS67" s="113">
        <v>0</v>
      </c>
      <c r="FT67" s="113">
        <v>0</v>
      </c>
      <c r="FU67" s="113">
        <v>0</v>
      </c>
      <c r="FV67" s="113">
        <v>0</v>
      </c>
      <c r="FW67" s="113">
        <v>0</v>
      </c>
      <c r="FX67" s="32">
        <v>0</v>
      </c>
      <c r="FY67" s="30">
        <v>0</v>
      </c>
      <c r="FZ67" s="30">
        <v>0</v>
      </c>
    </row>
    <row r="68" spans="1:182" x14ac:dyDescent="0.2">
      <c r="A68" s="28">
        <v>33635</v>
      </c>
      <c r="B68" s="28"/>
      <c r="C68" s="29">
        <v>234691</v>
      </c>
      <c r="D68" s="29">
        <v>146558</v>
      </c>
      <c r="E68" s="29">
        <f t="shared" si="0"/>
        <v>381249</v>
      </c>
      <c r="F68" s="30">
        <v>8358383</v>
      </c>
      <c r="G68" s="30">
        <v>0</v>
      </c>
      <c r="H68" s="30">
        <f t="shared" si="1"/>
        <v>8358383</v>
      </c>
      <c r="I68" s="42" t="s">
        <v>75</v>
      </c>
      <c r="J68" s="42" t="s">
        <v>75</v>
      </c>
      <c r="K68" s="32">
        <v>5024197</v>
      </c>
      <c r="L68" s="31" t="s">
        <v>75</v>
      </c>
      <c r="M68" s="31" t="s">
        <v>75</v>
      </c>
      <c r="N68" s="30">
        <v>12269278</v>
      </c>
      <c r="O68" s="31" t="s">
        <v>75</v>
      </c>
      <c r="P68" s="31" t="s">
        <v>75</v>
      </c>
      <c r="Q68" s="30">
        <v>17046166</v>
      </c>
      <c r="R68" s="31" t="s">
        <v>75</v>
      </c>
      <c r="S68" s="31" t="s">
        <v>75</v>
      </c>
      <c r="T68" s="32">
        <v>235767</v>
      </c>
      <c r="U68" s="31" t="s">
        <v>75</v>
      </c>
      <c r="V68" s="31" t="s">
        <v>75</v>
      </c>
      <c r="W68" s="31" t="s">
        <v>75</v>
      </c>
      <c r="X68" s="31" t="s">
        <v>75</v>
      </c>
      <c r="Y68" s="31" t="s">
        <v>75</v>
      </c>
      <c r="Z68" s="30">
        <v>78886</v>
      </c>
      <c r="AA68" s="31" t="s">
        <v>75</v>
      </c>
      <c r="AB68" s="31" t="s">
        <v>75</v>
      </c>
      <c r="AC68" s="30">
        <v>406651</v>
      </c>
      <c r="AD68" s="31" t="s">
        <v>75</v>
      </c>
      <c r="AE68" s="31" t="s">
        <v>75</v>
      </c>
      <c r="AF68" s="30">
        <v>9949</v>
      </c>
      <c r="AG68" s="42" t="s">
        <v>75</v>
      </c>
      <c r="AH68" s="42" t="s">
        <v>75</v>
      </c>
      <c r="AI68" s="32">
        <v>101312</v>
      </c>
      <c r="AJ68" s="31" t="s">
        <v>75</v>
      </c>
      <c r="AK68" s="31" t="s">
        <v>75</v>
      </c>
      <c r="AL68" s="31" t="s">
        <v>75</v>
      </c>
      <c r="AM68" s="31"/>
      <c r="AN68" s="31"/>
      <c r="AO68" s="31"/>
      <c r="AP68" s="31"/>
      <c r="AQ68" s="31"/>
      <c r="AR68" s="31"/>
      <c r="AS68" s="31" t="s">
        <v>75</v>
      </c>
      <c r="AT68" s="31" t="s">
        <v>75</v>
      </c>
      <c r="AU68" s="31" t="s">
        <v>75</v>
      </c>
      <c r="AV68" s="31" t="s">
        <v>75</v>
      </c>
      <c r="AW68" s="31" t="s">
        <v>75</v>
      </c>
      <c r="AX68" s="31" t="s">
        <v>75</v>
      </c>
      <c r="AY68" s="31" t="s">
        <v>75</v>
      </c>
      <c r="AZ68" s="31" t="s">
        <v>75</v>
      </c>
      <c r="BA68" s="31" t="s">
        <v>75</v>
      </c>
      <c r="BB68" s="31" t="s">
        <v>75</v>
      </c>
      <c r="BC68" s="31" t="s">
        <v>75</v>
      </c>
      <c r="BD68" s="31" t="s">
        <v>75</v>
      </c>
      <c r="BE68" s="113">
        <v>0</v>
      </c>
      <c r="BF68" s="113">
        <v>0</v>
      </c>
      <c r="BG68" s="113">
        <v>0</v>
      </c>
      <c r="BH68" s="113">
        <v>0</v>
      </c>
      <c r="BI68" s="113">
        <v>0</v>
      </c>
      <c r="BJ68" s="113">
        <v>0</v>
      </c>
      <c r="BK68" s="113">
        <v>0</v>
      </c>
      <c r="BL68" s="113">
        <v>0</v>
      </c>
      <c r="BM68" s="113">
        <v>0</v>
      </c>
      <c r="BN68" s="113">
        <v>0</v>
      </c>
      <c r="BO68" s="113">
        <v>0</v>
      </c>
      <c r="BP68" s="113">
        <v>0</v>
      </c>
      <c r="BQ68" s="113">
        <v>0</v>
      </c>
      <c r="BR68" s="113">
        <v>0</v>
      </c>
      <c r="BS68" s="113">
        <v>0</v>
      </c>
      <c r="BT68" s="113">
        <v>0</v>
      </c>
      <c r="BU68" s="113">
        <v>0</v>
      </c>
      <c r="BV68" s="113">
        <v>0</v>
      </c>
      <c r="BW68" s="113"/>
      <c r="BX68" s="113"/>
      <c r="BY68" s="113"/>
      <c r="BZ68" s="113">
        <v>0</v>
      </c>
      <c r="CA68" s="113">
        <v>0</v>
      </c>
      <c r="CB68" s="113">
        <v>0</v>
      </c>
      <c r="CC68" s="113"/>
      <c r="CD68" s="113"/>
      <c r="CE68" s="113"/>
      <c r="CF68" s="113">
        <v>0</v>
      </c>
      <c r="CG68" s="113">
        <v>0</v>
      </c>
      <c r="CH68" s="113">
        <v>0</v>
      </c>
      <c r="CI68" s="113">
        <v>0</v>
      </c>
      <c r="CJ68" s="113">
        <v>0</v>
      </c>
      <c r="CK68" s="113">
        <v>0</v>
      </c>
      <c r="CL68" s="113">
        <v>0</v>
      </c>
      <c r="CM68" s="113">
        <v>0</v>
      </c>
      <c r="CN68" s="113">
        <v>0</v>
      </c>
      <c r="CO68" s="113">
        <v>0</v>
      </c>
      <c r="CP68" s="113">
        <v>0</v>
      </c>
      <c r="CQ68" s="113">
        <v>0</v>
      </c>
      <c r="CR68" s="113">
        <v>0</v>
      </c>
      <c r="CS68" s="113">
        <v>0</v>
      </c>
      <c r="CT68" s="113">
        <v>0</v>
      </c>
      <c r="CU68" s="113">
        <v>0</v>
      </c>
      <c r="CV68" s="113">
        <v>0</v>
      </c>
      <c r="CW68" s="113">
        <v>0</v>
      </c>
      <c r="CX68" s="113">
        <v>0</v>
      </c>
      <c r="CY68" s="113">
        <v>0</v>
      </c>
      <c r="CZ68" s="113">
        <v>0</v>
      </c>
      <c r="DA68" s="113">
        <v>0</v>
      </c>
      <c r="DB68" s="113">
        <v>0</v>
      </c>
      <c r="DC68" s="113">
        <v>0</v>
      </c>
      <c r="DD68" s="113">
        <v>0</v>
      </c>
      <c r="DE68" s="113">
        <v>0</v>
      </c>
      <c r="DF68" s="113">
        <v>0</v>
      </c>
      <c r="DG68" s="113">
        <v>0</v>
      </c>
      <c r="DH68" s="113">
        <v>0</v>
      </c>
      <c r="DI68" s="113">
        <v>0</v>
      </c>
      <c r="DJ68" s="113">
        <v>0</v>
      </c>
      <c r="DK68" s="113">
        <v>0</v>
      </c>
      <c r="DL68" s="113">
        <v>0</v>
      </c>
      <c r="DM68" s="113">
        <v>0</v>
      </c>
      <c r="DN68" s="113">
        <v>0</v>
      </c>
      <c r="DO68" s="113">
        <v>0</v>
      </c>
      <c r="DP68" s="113">
        <v>0</v>
      </c>
      <c r="DQ68" s="113">
        <v>0</v>
      </c>
      <c r="DR68" s="113">
        <v>0</v>
      </c>
      <c r="DS68" s="113">
        <v>0</v>
      </c>
      <c r="DT68" s="113">
        <v>0</v>
      </c>
      <c r="DU68" s="113">
        <v>0</v>
      </c>
      <c r="DV68" s="113">
        <v>0</v>
      </c>
      <c r="DW68" s="113">
        <v>0</v>
      </c>
      <c r="DX68" s="113">
        <v>0</v>
      </c>
      <c r="DY68" s="113">
        <v>0</v>
      </c>
      <c r="DZ68" s="113">
        <v>0</v>
      </c>
      <c r="EA68" s="113">
        <v>0</v>
      </c>
      <c r="EB68" s="113">
        <v>0</v>
      </c>
      <c r="EC68" s="113">
        <v>0</v>
      </c>
      <c r="ED68" s="113">
        <v>0</v>
      </c>
      <c r="EE68" s="113">
        <v>0</v>
      </c>
      <c r="EF68" s="113">
        <v>0</v>
      </c>
      <c r="EG68" s="113">
        <v>0</v>
      </c>
      <c r="EH68" s="113">
        <v>0</v>
      </c>
      <c r="EI68" s="113">
        <v>0</v>
      </c>
      <c r="EJ68" s="113">
        <v>0</v>
      </c>
      <c r="EK68" s="113">
        <v>0</v>
      </c>
      <c r="EL68" s="113">
        <v>0</v>
      </c>
      <c r="EM68" s="113">
        <v>0</v>
      </c>
      <c r="EN68" s="113">
        <v>0</v>
      </c>
      <c r="EO68" s="113">
        <v>0</v>
      </c>
      <c r="EP68" s="113">
        <v>0</v>
      </c>
      <c r="EQ68" s="113">
        <v>0</v>
      </c>
      <c r="ER68" s="113">
        <v>0</v>
      </c>
      <c r="ES68" s="113">
        <v>0</v>
      </c>
      <c r="ET68" s="113">
        <v>0</v>
      </c>
      <c r="EU68" s="113">
        <v>0</v>
      </c>
      <c r="EV68" s="113">
        <v>0</v>
      </c>
      <c r="EW68" s="113">
        <v>0</v>
      </c>
      <c r="EX68" s="113">
        <v>0</v>
      </c>
      <c r="EY68" s="113">
        <v>0</v>
      </c>
      <c r="EZ68" s="113">
        <v>0</v>
      </c>
      <c r="FA68" s="113">
        <v>0</v>
      </c>
      <c r="FB68" s="113">
        <v>0</v>
      </c>
      <c r="FC68" s="113">
        <v>0</v>
      </c>
      <c r="FD68" s="113">
        <v>0</v>
      </c>
      <c r="FE68" s="113">
        <v>0</v>
      </c>
      <c r="FF68" s="113">
        <v>0</v>
      </c>
      <c r="FG68" s="113">
        <v>0</v>
      </c>
      <c r="FH68" s="113">
        <v>0</v>
      </c>
      <c r="FI68" s="113">
        <v>0</v>
      </c>
      <c r="FJ68" s="113">
        <v>0</v>
      </c>
      <c r="FK68" s="113">
        <v>0</v>
      </c>
      <c r="FL68" s="113">
        <v>0</v>
      </c>
      <c r="FM68" s="113">
        <v>0</v>
      </c>
      <c r="FN68" s="113">
        <v>0</v>
      </c>
      <c r="FO68" s="113">
        <v>0</v>
      </c>
      <c r="FP68" s="113">
        <v>0</v>
      </c>
      <c r="FQ68" s="113">
        <v>0</v>
      </c>
      <c r="FR68" s="113">
        <v>0</v>
      </c>
      <c r="FS68" s="113">
        <v>0</v>
      </c>
      <c r="FT68" s="113">
        <v>0</v>
      </c>
      <c r="FU68" s="113">
        <v>0</v>
      </c>
      <c r="FV68" s="113">
        <v>0</v>
      </c>
      <c r="FW68" s="113">
        <v>0</v>
      </c>
      <c r="FX68" s="32">
        <v>0</v>
      </c>
      <c r="FY68" s="30">
        <v>0</v>
      </c>
      <c r="FZ68" s="30">
        <v>0</v>
      </c>
    </row>
    <row r="69" spans="1:182" x14ac:dyDescent="0.2">
      <c r="A69" s="28">
        <v>33664</v>
      </c>
      <c r="B69" s="28"/>
      <c r="C69" s="29">
        <v>117292</v>
      </c>
      <c r="D69" s="29">
        <v>87248</v>
      </c>
      <c r="E69" s="29">
        <f t="shared" si="0"/>
        <v>204540</v>
      </c>
      <c r="F69" s="30">
        <v>6546106</v>
      </c>
      <c r="G69" s="30">
        <v>0</v>
      </c>
      <c r="H69" s="30">
        <f t="shared" si="1"/>
        <v>6546106</v>
      </c>
      <c r="I69" s="42" t="s">
        <v>75</v>
      </c>
      <c r="J69" s="42" t="s">
        <v>75</v>
      </c>
      <c r="K69" s="32">
        <v>4393888</v>
      </c>
      <c r="L69" s="31" t="s">
        <v>75</v>
      </c>
      <c r="M69" s="31" t="s">
        <v>75</v>
      </c>
      <c r="N69" s="30">
        <v>11484162</v>
      </c>
      <c r="O69" s="31" t="s">
        <v>75</v>
      </c>
      <c r="P69" s="31" t="s">
        <v>75</v>
      </c>
      <c r="Q69" s="30">
        <v>17607352</v>
      </c>
      <c r="R69" s="31" t="s">
        <v>75</v>
      </c>
      <c r="S69" s="31" t="s">
        <v>75</v>
      </c>
      <c r="T69" s="32">
        <v>224843</v>
      </c>
      <c r="U69" s="31" t="s">
        <v>75</v>
      </c>
      <c r="V69" s="31" t="s">
        <v>75</v>
      </c>
      <c r="W69" s="31" t="s">
        <v>75</v>
      </c>
      <c r="X69" s="31" t="s">
        <v>75</v>
      </c>
      <c r="Y69" s="31" t="s">
        <v>75</v>
      </c>
      <c r="Z69" s="30">
        <v>100172</v>
      </c>
      <c r="AA69" s="31" t="s">
        <v>75</v>
      </c>
      <c r="AB69" s="31" t="s">
        <v>75</v>
      </c>
      <c r="AC69" s="30">
        <v>258492</v>
      </c>
      <c r="AD69" s="31" t="s">
        <v>75</v>
      </c>
      <c r="AE69" s="31" t="s">
        <v>75</v>
      </c>
      <c r="AF69" s="30">
        <v>5978</v>
      </c>
      <c r="AG69" s="42" t="s">
        <v>75</v>
      </c>
      <c r="AH69" s="42" t="s">
        <v>75</v>
      </c>
      <c r="AI69" s="32">
        <v>67062</v>
      </c>
      <c r="AJ69" s="31" t="s">
        <v>75</v>
      </c>
      <c r="AK69" s="31" t="s">
        <v>75</v>
      </c>
      <c r="AL69" s="31" t="s">
        <v>75</v>
      </c>
      <c r="AM69" s="31"/>
      <c r="AN69" s="31"/>
      <c r="AO69" s="31"/>
      <c r="AP69" s="31"/>
      <c r="AQ69" s="31"/>
      <c r="AR69" s="31"/>
      <c r="AS69" s="31" t="s">
        <v>75</v>
      </c>
      <c r="AT69" s="31" t="s">
        <v>75</v>
      </c>
      <c r="AU69" s="31" t="s">
        <v>75</v>
      </c>
      <c r="AV69" s="31" t="s">
        <v>75</v>
      </c>
      <c r="AW69" s="31" t="s">
        <v>75</v>
      </c>
      <c r="AX69" s="31" t="s">
        <v>75</v>
      </c>
      <c r="AY69" s="31" t="s">
        <v>75</v>
      </c>
      <c r="AZ69" s="31" t="s">
        <v>75</v>
      </c>
      <c r="BA69" s="31" t="s">
        <v>75</v>
      </c>
      <c r="BB69" s="31" t="s">
        <v>75</v>
      </c>
      <c r="BC69" s="31" t="s">
        <v>75</v>
      </c>
      <c r="BD69" s="31" t="s">
        <v>75</v>
      </c>
      <c r="BE69" s="113">
        <v>0</v>
      </c>
      <c r="BF69" s="113">
        <v>0</v>
      </c>
      <c r="BG69" s="113">
        <v>0</v>
      </c>
      <c r="BH69" s="113">
        <v>0</v>
      </c>
      <c r="BI69" s="113">
        <v>0</v>
      </c>
      <c r="BJ69" s="113">
        <v>0</v>
      </c>
      <c r="BK69" s="113">
        <v>0</v>
      </c>
      <c r="BL69" s="113">
        <v>0</v>
      </c>
      <c r="BM69" s="113">
        <v>0</v>
      </c>
      <c r="BN69" s="113">
        <v>0</v>
      </c>
      <c r="BO69" s="113">
        <v>0</v>
      </c>
      <c r="BP69" s="113">
        <v>0</v>
      </c>
      <c r="BQ69" s="113">
        <v>0</v>
      </c>
      <c r="BR69" s="113">
        <v>0</v>
      </c>
      <c r="BS69" s="113">
        <v>0</v>
      </c>
      <c r="BT69" s="113">
        <v>0</v>
      </c>
      <c r="BU69" s="113">
        <v>0</v>
      </c>
      <c r="BV69" s="113">
        <v>0</v>
      </c>
      <c r="BW69" s="113"/>
      <c r="BX69" s="113"/>
      <c r="BY69" s="113"/>
      <c r="BZ69" s="113">
        <v>0</v>
      </c>
      <c r="CA69" s="113">
        <v>0</v>
      </c>
      <c r="CB69" s="113">
        <v>0</v>
      </c>
      <c r="CC69" s="113"/>
      <c r="CD69" s="113"/>
      <c r="CE69" s="113"/>
      <c r="CF69" s="113">
        <v>0</v>
      </c>
      <c r="CG69" s="113">
        <v>0</v>
      </c>
      <c r="CH69" s="113">
        <v>0</v>
      </c>
      <c r="CI69" s="113">
        <v>0</v>
      </c>
      <c r="CJ69" s="113">
        <v>0</v>
      </c>
      <c r="CK69" s="113">
        <v>0</v>
      </c>
      <c r="CL69" s="113">
        <v>0</v>
      </c>
      <c r="CM69" s="113">
        <v>0</v>
      </c>
      <c r="CN69" s="113">
        <v>0</v>
      </c>
      <c r="CO69" s="113">
        <v>0</v>
      </c>
      <c r="CP69" s="113">
        <v>0</v>
      </c>
      <c r="CQ69" s="113">
        <v>0</v>
      </c>
      <c r="CR69" s="113">
        <v>0</v>
      </c>
      <c r="CS69" s="113">
        <v>0</v>
      </c>
      <c r="CT69" s="113">
        <v>0</v>
      </c>
      <c r="CU69" s="113">
        <v>0</v>
      </c>
      <c r="CV69" s="113">
        <v>0</v>
      </c>
      <c r="CW69" s="113">
        <v>0</v>
      </c>
      <c r="CX69" s="113">
        <v>0</v>
      </c>
      <c r="CY69" s="113">
        <v>0</v>
      </c>
      <c r="CZ69" s="113">
        <v>0</v>
      </c>
      <c r="DA69" s="113">
        <v>0</v>
      </c>
      <c r="DB69" s="113">
        <v>0</v>
      </c>
      <c r="DC69" s="113">
        <v>0</v>
      </c>
      <c r="DD69" s="113">
        <v>0</v>
      </c>
      <c r="DE69" s="113">
        <v>0</v>
      </c>
      <c r="DF69" s="113">
        <v>0</v>
      </c>
      <c r="DG69" s="113">
        <v>0</v>
      </c>
      <c r="DH69" s="113">
        <v>0</v>
      </c>
      <c r="DI69" s="113">
        <v>0</v>
      </c>
      <c r="DJ69" s="113">
        <v>0</v>
      </c>
      <c r="DK69" s="113">
        <v>0</v>
      </c>
      <c r="DL69" s="113">
        <v>0</v>
      </c>
      <c r="DM69" s="113">
        <v>0</v>
      </c>
      <c r="DN69" s="113">
        <v>0</v>
      </c>
      <c r="DO69" s="113">
        <v>0</v>
      </c>
      <c r="DP69" s="113">
        <v>0</v>
      </c>
      <c r="DQ69" s="113">
        <v>0</v>
      </c>
      <c r="DR69" s="113">
        <v>0</v>
      </c>
      <c r="DS69" s="113">
        <v>0</v>
      </c>
      <c r="DT69" s="113">
        <v>0</v>
      </c>
      <c r="DU69" s="113">
        <v>0</v>
      </c>
      <c r="DV69" s="113">
        <v>0</v>
      </c>
      <c r="DW69" s="113">
        <v>0</v>
      </c>
      <c r="DX69" s="113">
        <v>0</v>
      </c>
      <c r="DY69" s="113">
        <v>0</v>
      </c>
      <c r="DZ69" s="113">
        <v>0</v>
      </c>
      <c r="EA69" s="113">
        <v>0</v>
      </c>
      <c r="EB69" s="113">
        <v>0</v>
      </c>
      <c r="EC69" s="113">
        <v>0</v>
      </c>
      <c r="ED69" s="113">
        <v>0</v>
      </c>
      <c r="EE69" s="113">
        <v>0</v>
      </c>
      <c r="EF69" s="113">
        <v>0</v>
      </c>
      <c r="EG69" s="113">
        <v>0</v>
      </c>
      <c r="EH69" s="113">
        <v>0</v>
      </c>
      <c r="EI69" s="113">
        <v>0</v>
      </c>
      <c r="EJ69" s="113">
        <v>0</v>
      </c>
      <c r="EK69" s="113">
        <v>0</v>
      </c>
      <c r="EL69" s="113">
        <v>0</v>
      </c>
      <c r="EM69" s="113">
        <v>0</v>
      </c>
      <c r="EN69" s="113">
        <v>0</v>
      </c>
      <c r="EO69" s="113">
        <v>0</v>
      </c>
      <c r="EP69" s="113">
        <v>0</v>
      </c>
      <c r="EQ69" s="113">
        <v>0</v>
      </c>
      <c r="ER69" s="113">
        <v>0</v>
      </c>
      <c r="ES69" s="113">
        <v>0</v>
      </c>
      <c r="ET69" s="113">
        <v>0</v>
      </c>
      <c r="EU69" s="113">
        <v>0</v>
      </c>
      <c r="EV69" s="113">
        <v>0</v>
      </c>
      <c r="EW69" s="113">
        <v>0</v>
      </c>
      <c r="EX69" s="113">
        <v>0</v>
      </c>
      <c r="EY69" s="113">
        <v>0</v>
      </c>
      <c r="EZ69" s="113">
        <v>0</v>
      </c>
      <c r="FA69" s="113">
        <v>0</v>
      </c>
      <c r="FB69" s="113">
        <v>0</v>
      </c>
      <c r="FC69" s="113">
        <v>0</v>
      </c>
      <c r="FD69" s="113">
        <v>0</v>
      </c>
      <c r="FE69" s="113">
        <v>0</v>
      </c>
      <c r="FF69" s="113">
        <v>0</v>
      </c>
      <c r="FG69" s="113">
        <v>0</v>
      </c>
      <c r="FH69" s="113">
        <v>0</v>
      </c>
      <c r="FI69" s="113">
        <v>0</v>
      </c>
      <c r="FJ69" s="113">
        <v>0</v>
      </c>
      <c r="FK69" s="113">
        <v>0</v>
      </c>
      <c r="FL69" s="113">
        <v>0</v>
      </c>
      <c r="FM69" s="113">
        <v>0</v>
      </c>
      <c r="FN69" s="113">
        <v>0</v>
      </c>
      <c r="FO69" s="113">
        <v>0</v>
      </c>
      <c r="FP69" s="113">
        <v>0</v>
      </c>
      <c r="FQ69" s="113">
        <v>0</v>
      </c>
      <c r="FR69" s="113">
        <v>0</v>
      </c>
      <c r="FS69" s="113">
        <v>0</v>
      </c>
      <c r="FT69" s="113">
        <v>0</v>
      </c>
      <c r="FU69" s="113">
        <v>0</v>
      </c>
      <c r="FV69" s="113">
        <v>0</v>
      </c>
      <c r="FW69" s="113">
        <v>0</v>
      </c>
      <c r="FX69" s="32">
        <v>0</v>
      </c>
      <c r="FY69" s="30">
        <v>0</v>
      </c>
      <c r="FZ69" s="30">
        <v>0</v>
      </c>
    </row>
    <row r="70" spans="1:182" x14ac:dyDescent="0.2">
      <c r="A70" s="28">
        <v>33695</v>
      </c>
      <c r="B70" s="28"/>
      <c r="C70" s="29">
        <v>307967</v>
      </c>
      <c r="D70" s="29">
        <v>155820</v>
      </c>
      <c r="E70" s="29">
        <f t="shared" si="0"/>
        <v>463787</v>
      </c>
      <c r="F70" s="30">
        <v>4111114</v>
      </c>
      <c r="G70" s="30">
        <v>0</v>
      </c>
      <c r="H70" s="30">
        <f t="shared" si="1"/>
        <v>4111114</v>
      </c>
      <c r="I70" s="42" t="s">
        <v>75</v>
      </c>
      <c r="J70" s="42" t="s">
        <v>75</v>
      </c>
      <c r="K70" s="32">
        <v>3325494</v>
      </c>
      <c r="L70" s="31" t="s">
        <v>75</v>
      </c>
      <c r="M70" s="31" t="s">
        <v>75</v>
      </c>
      <c r="N70" s="30">
        <v>10055400</v>
      </c>
      <c r="O70" s="31" t="s">
        <v>75</v>
      </c>
      <c r="P70" s="31" t="s">
        <v>75</v>
      </c>
      <c r="Q70" s="30">
        <v>11804015</v>
      </c>
      <c r="R70" s="31" t="s">
        <v>75</v>
      </c>
      <c r="S70" s="31" t="s">
        <v>75</v>
      </c>
      <c r="T70" s="32">
        <v>202946</v>
      </c>
      <c r="U70" s="31" t="s">
        <v>75</v>
      </c>
      <c r="V70" s="31" t="s">
        <v>75</v>
      </c>
      <c r="W70" s="31" t="s">
        <v>75</v>
      </c>
      <c r="X70" s="31" t="s">
        <v>75</v>
      </c>
      <c r="Y70" s="31" t="s">
        <v>75</v>
      </c>
      <c r="Z70" s="30">
        <v>102396</v>
      </c>
      <c r="AA70" s="31" t="s">
        <v>75</v>
      </c>
      <c r="AB70" s="31" t="s">
        <v>75</v>
      </c>
      <c r="AC70" s="30">
        <v>422067</v>
      </c>
      <c r="AD70" s="31" t="s">
        <v>75</v>
      </c>
      <c r="AE70" s="31" t="s">
        <v>75</v>
      </c>
      <c r="AF70" s="30">
        <v>8351</v>
      </c>
      <c r="AG70" s="42" t="s">
        <v>75</v>
      </c>
      <c r="AH70" s="42" t="s">
        <v>75</v>
      </c>
      <c r="AI70" s="32">
        <v>101045</v>
      </c>
      <c r="AJ70" s="31" t="s">
        <v>75</v>
      </c>
      <c r="AK70" s="31" t="s">
        <v>75</v>
      </c>
      <c r="AL70" s="31" t="s">
        <v>75</v>
      </c>
      <c r="AM70" s="31"/>
      <c r="AN70" s="31"/>
      <c r="AO70" s="31"/>
      <c r="AP70" s="31"/>
      <c r="AQ70" s="31"/>
      <c r="AR70" s="31"/>
      <c r="AS70" s="31" t="s">
        <v>75</v>
      </c>
      <c r="AT70" s="31" t="s">
        <v>75</v>
      </c>
      <c r="AU70" s="31" t="s">
        <v>75</v>
      </c>
      <c r="AV70" s="31" t="s">
        <v>75</v>
      </c>
      <c r="AW70" s="31" t="s">
        <v>75</v>
      </c>
      <c r="AX70" s="31" t="s">
        <v>75</v>
      </c>
      <c r="AY70" s="31" t="s">
        <v>75</v>
      </c>
      <c r="AZ70" s="31" t="s">
        <v>75</v>
      </c>
      <c r="BA70" s="31" t="s">
        <v>75</v>
      </c>
      <c r="BB70" s="31" t="s">
        <v>75</v>
      </c>
      <c r="BC70" s="31" t="s">
        <v>75</v>
      </c>
      <c r="BD70" s="31" t="s">
        <v>75</v>
      </c>
      <c r="BE70" s="113">
        <v>0</v>
      </c>
      <c r="BF70" s="113">
        <v>0</v>
      </c>
      <c r="BG70" s="113">
        <v>0</v>
      </c>
      <c r="BH70" s="113">
        <v>0</v>
      </c>
      <c r="BI70" s="113">
        <v>0</v>
      </c>
      <c r="BJ70" s="113">
        <v>0</v>
      </c>
      <c r="BK70" s="113">
        <v>0</v>
      </c>
      <c r="BL70" s="113">
        <v>0</v>
      </c>
      <c r="BM70" s="113">
        <v>0</v>
      </c>
      <c r="BN70" s="113">
        <v>0</v>
      </c>
      <c r="BO70" s="113">
        <v>0</v>
      </c>
      <c r="BP70" s="113">
        <v>0</v>
      </c>
      <c r="BQ70" s="113">
        <v>0</v>
      </c>
      <c r="BR70" s="113">
        <v>0</v>
      </c>
      <c r="BS70" s="113">
        <v>0</v>
      </c>
      <c r="BT70" s="113">
        <v>0</v>
      </c>
      <c r="BU70" s="113">
        <v>0</v>
      </c>
      <c r="BV70" s="113">
        <v>0</v>
      </c>
      <c r="BW70" s="113"/>
      <c r="BX70" s="113"/>
      <c r="BY70" s="113"/>
      <c r="BZ70" s="113">
        <v>0</v>
      </c>
      <c r="CA70" s="113">
        <v>0</v>
      </c>
      <c r="CB70" s="113">
        <v>0</v>
      </c>
      <c r="CC70" s="113"/>
      <c r="CD70" s="113"/>
      <c r="CE70" s="113"/>
      <c r="CF70" s="113">
        <v>0</v>
      </c>
      <c r="CG70" s="113">
        <v>0</v>
      </c>
      <c r="CH70" s="113">
        <v>0</v>
      </c>
      <c r="CI70" s="113">
        <v>0</v>
      </c>
      <c r="CJ70" s="113">
        <v>0</v>
      </c>
      <c r="CK70" s="113">
        <v>0</v>
      </c>
      <c r="CL70" s="113">
        <v>0</v>
      </c>
      <c r="CM70" s="113">
        <v>0</v>
      </c>
      <c r="CN70" s="113">
        <v>0</v>
      </c>
      <c r="CO70" s="113">
        <v>0</v>
      </c>
      <c r="CP70" s="113">
        <v>0</v>
      </c>
      <c r="CQ70" s="113">
        <v>0</v>
      </c>
      <c r="CR70" s="113">
        <v>0</v>
      </c>
      <c r="CS70" s="113">
        <v>0</v>
      </c>
      <c r="CT70" s="113">
        <v>0</v>
      </c>
      <c r="CU70" s="113">
        <v>0</v>
      </c>
      <c r="CV70" s="113">
        <v>0</v>
      </c>
      <c r="CW70" s="113">
        <v>0</v>
      </c>
      <c r="CX70" s="113">
        <v>0</v>
      </c>
      <c r="CY70" s="113">
        <v>0</v>
      </c>
      <c r="CZ70" s="113">
        <v>0</v>
      </c>
      <c r="DA70" s="113">
        <v>0</v>
      </c>
      <c r="DB70" s="113">
        <v>0</v>
      </c>
      <c r="DC70" s="113">
        <v>0</v>
      </c>
      <c r="DD70" s="113">
        <v>0</v>
      </c>
      <c r="DE70" s="113">
        <v>0</v>
      </c>
      <c r="DF70" s="113">
        <v>0</v>
      </c>
      <c r="DG70" s="113">
        <v>0</v>
      </c>
      <c r="DH70" s="113">
        <v>0</v>
      </c>
      <c r="DI70" s="113">
        <v>0</v>
      </c>
      <c r="DJ70" s="113">
        <v>0</v>
      </c>
      <c r="DK70" s="113">
        <v>0</v>
      </c>
      <c r="DL70" s="113">
        <v>0</v>
      </c>
      <c r="DM70" s="113">
        <v>0</v>
      </c>
      <c r="DN70" s="113">
        <v>0</v>
      </c>
      <c r="DO70" s="113">
        <v>0</v>
      </c>
      <c r="DP70" s="113">
        <v>0</v>
      </c>
      <c r="DQ70" s="113">
        <v>0</v>
      </c>
      <c r="DR70" s="113">
        <v>0</v>
      </c>
      <c r="DS70" s="113">
        <v>0</v>
      </c>
      <c r="DT70" s="113">
        <v>0</v>
      </c>
      <c r="DU70" s="113">
        <v>0</v>
      </c>
      <c r="DV70" s="113">
        <v>0</v>
      </c>
      <c r="DW70" s="113">
        <v>0</v>
      </c>
      <c r="DX70" s="113">
        <v>0</v>
      </c>
      <c r="DY70" s="113">
        <v>0</v>
      </c>
      <c r="DZ70" s="113">
        <v>0</v>
      </c>
      <c r="EA70" s="113">
        <v>0</v>
      </c>
      <c r="EB70" s="113">
        <v>0</v>
      </c>
      <c r="EC70" s="113">
        <v>0</v>
      </c>
      <c r="ED70" s="113">
        <v>0</v>
      </c>
      <c r="EE70" s="113">
        <v>0</v>
      </c>
      <c r="EF70" s="113">
        <v>0</v>
      </c>
      <c r="EG70" s="113">
        <v>0</v>
      </c>
      <c r="EH70" s="113">
        <v>0</v>
      </c>
      <c r="EI70" s="113">
        <v>0</v>
      </c>
      <c r="EJ70" s="113">
        <v>0</v>
      </c>
      <c r="EK70" s="113">
        <v>0</v>
      </c>
      <c r="EL70" s="113">
        <v>0</v>
      </c>
      <c r="EM70" s="113">
        <v>0</v>
      </c>
      <c r="EN70" s="113">
        <v>0</v>
      </c>
      <c r="EO70" s="113">
        <v>0</v>
      </c>
      <c r="EP70" s="113">
        <v>0</v>
      </c>
      <c r="EQ70" s="113">
        <v>0</v>
      </c>
      <c r="ER70" s="113">
        <v>0</v>
      </c>
      <c r="ES70" s="113">
        <v>0</v>
      </c>
      <c r="ET70" s="113">
        <v>0</v>
      </c>
      <c r="EU70" s="113">
        <v>0</v>
      </c>
      <c r="EV70" s="113">
        <v>0</v>
      </c>
      <c r="EW70" s="113">
        <v>0</v>
      </c>
      <c r="EX70" s="113">
        <v>0</v>
      </c>
      <c r="EY70" s="113">
        <v>0</v>
      </c>
      <c r="EZ70" s="113">
        <v>0</v>
      </c>
      <c r="FA70" s="113">
        <v>0</v>
      </c>
      <c r="FB70" s="113">
        <v>0</v>
      </c>
      <c r="FC70" s="113">
        <v>0</v>
      </c>
      <c r="FD70" s="113">
        <v>0</v>
      </c>
      <c r="FE70" s="113">
        <v>0</v>
      </c>
      <c r="FF70" s="113">
        <v>0</v>
      </c>
      <c r="FG70" s="113">
        <v>0</v>
      </c>
      <c r="FH70" s="113">
        <v>0</v>
      </c>
      <c r="FI70" s="113">
        <v>0</v>
      </c>
      <c r="FJ70" s="113">
        <v>0</v>
      </c>
      <c r="FK70" s="113">
        <v>0</v>
      </c>
      <c r="FL70" s="113">
        <v>0</v>
      </c>
      <c r="FM70" s="113">
        <v>0</v>
      </c>
      <c r="FN70" s="113">
        <v>0</v>
      </c>
      <c r="FO70" s="113">
        <v>0</v>
      </c>
      <c r="FP70" s="113">
        <v>0</v>
      </c>
      <c r="FQ70" s="113">
        <v>0</v>
      </c>
      <c r="FR70" s="113">
        <v>0</v>
      </c>
      <c r="FS70" s="113">
        <v>0</v>
      </c>
      <c r="FT70" s="113">
        <v>0</v>
      </c>
      <c r="FU70" s="113">
        <v>0</v>
      </c>
      <c r="FV70" s="113">
        <v>0</v>
      </c>
      <c r="FW70" s="113">
        <v>0</v>
      </c>
      <c r="FX70" s="32">
        <v>0</v>
      </c>
      <c r="FY70" s="30">
        <v>0</v>
      </c>
      <c r="FZ70" s="30">
        <v>0</v>
      </c>
    </row>
    <row r="71" spans="1:182" x14ac:dyDescent="0.2">
      <c r="A71" s="28">
        <v>33725</v>
      </c>
      <c r="B71" s="28"/>
      <c r="C71" s="29">
        <v>171358</v>
      </c>
      <c r="D71" s="29">
        <v>156443</v>
      </c>
      <c r="E71" s="29">
        <f t="shared" si="0"/>
        <v>327801</v>
      </c>
      <c r="F71" s="30">
        <v>2987886</v>
      </c>
      <c r="G71" s="30">
        <v>0</v>
      </c>
      <c r="H71" s="30">
        <f t="shared" si="1"/>
        <v>2987886</v>
      </c>
      <c r="I71" s="42" t="s">
        <v>75</v>
      </c>
      <c r="J71" s="42" t="s">
        <v>75</v>
      </c>
      <c r="K71" s="32">
        <v>2721505</v>
      </c>
      <c r="L71" s="31" t="s">
        <v>75</v>
      </c>
      <c r="M71" s="31" t="s">
        <v>75</v>
      </c>
      <c r="N71" s="30">
        <v>8941794</v>
      </c>
      <c r="O71" s="31" t="s">
        <v>75</v>
      </c>
      <c r="P71" s="31" t="s">
        <v>75</v>
      </c>
      <c r="Q71" s="30">
        <v>9808827</v>
      </c>
      <c r="R71" s="31" t="s">
        <v>75</v>
      </c>
      <c r="S71" s="31" t="s">
        <v>75</v>
      </c>
      <c r="T71" s="32">
        <v>193550</v>
      </c>
      <c r="U71" s="31" t="s">
        <v>75</v>
      </c>
      <c r="V71" s="31" t="s">
        <v>75</v>
      </c>
      <c r="W71" s="31" t="s">
        <v>75</v>
      </c>
      <c r="X71" s="31" t="s">
        <v>75</v>
      </c>
      <c r="Y71" s="31" t="s">
        <v>75</v>
      </c>
      <c r="Z71" s="30">
        <v>119173</v>
      </c>
      <c r="AA71" s="31" t="s">
        <v>75</v>
      </c>
      <c r="AB71" s="31" t="s">
        <v>75</v>
      </c>
      <c r="AC71" s="30">
        <v>207768</v>
      </c>
      <c r="AD71" s="31" t="s">
        <v>75</v>
      </c>
      <c r="AE71" s="31" t="s">
        <v>75</v>
      </c>
      <c r="AF71" s="30">
        <v>8579</v>
      </c>
      <c r="AG71" s="42" t="s">
        <v>75</v>
      </c>
      <c r="AH71" s="42" t="s">
        <v>75</v>
      </c>
      <c r="AI71" s="32">
        <v>75720</v>
      </c>
      <c r="AJ71" s="31" t="s">
        <v>75</v>
      </c>
      <c r="AK71" s="31" t="s">
        <v>75</v>
      </c>
      <c r="AL71" s="31" t="s">
        <v>75</v>
      </c>
      <c r="AM71" s="31"/>
      <c r="AN71" s="31"/>
      <c r="AO71" s="31"/>
      <c r="AP71" s="31"/>
      <c r="AQ71" s="31"/>
      <c r="AR71" s="31"/>
      <c r="AS71" s="31" t="s">
        <v>75</v>
      </c>
      <c r="AT71" s="31" t="s">
        <v>75</v>
      </c>
      <c r="AU71" s="31" t="s">
        <v>75</v>
      </c>
      <c r="AV71" s="31" t="s">
        <v>75</v>
      </c>
      <c r="AW71" s="31" t="s">
        <v>75</v>
      </c>
      <c r="AX71" s="31" t="s">
        <v>75</v>
      </c>
      <c r="AY71" s="31" t="s">
        <v>75</v>
      </c>
      <c r="AZ71" s="31" t="s">
        <v>75</v>
      </c>
      <c r="BA71" s="31" t="s">
        <v>75</v>
      </c>
      <c r="BB71" s="31" t="s">
        <v>75</v>
      </c>
      <c r="BC71" s="31" t="s">
        <v>75</v>
      </c>
      <c r="BD71" s="31" t="s">
        <v>75</v>
      </c>
      <c r="BE71" s="113">
        <v>0</v>
      </c>
      <c r="BF71" s="113">
        <v>0</v>
      </c>
      <c r="BG71" s="113">
        <v>0</v>
      </c>
      <c r="BH71" s="113">
        <v>0</v>
      </c>
      <c r="BI71" s="113">
        <v>0</v>
      </c>
      <c r="BJ71" s="113">
        <v>0</v>
      </c>
      <c r="BK71" s="113">
        <v>0</v>
      </c>
      <c r="BL71" s="113">
        <v>0</v>
      </c>
      <c r="BM71" s="113">
        <v>0</v>
      </c>
      <c r="BN71" s="113">
        <v>0</v>
      </c>
      <c r="BO71" s="113">
        <v>0</v>
      </c>
      <c r="BP71" s="113">
        <v>0</v>
      </c>
      <c r="BQ71" s="113">
        <v>0</v>
      </c>
      <c r="BR71" s="113">
        <v>0</v>
      </c>
      <c r="BS71" s="113">
        <v>0</v>
      </c>
      <c r="BT71" s="113">
        <v>0</v>
      </c>
      <c r="BU71" s="113">
        <v>0</v>
      </c>
      <c r="BV71" s="113">
        <v>0</v>
      </c>
      <c r="BW71" s="113"/>
      <c r="BX71" s="113"/>
      <c r="BY71" s="113"/>
      <c r="BZ71" s="113">
        <v>0</v>
      </c>
      <c r="CA71" s="113">
        <v>0</v>
      </c>
      <c r="CB71" s="113">
        <v>0</v>
      </c>
      <c r="CC71" s="113"/>
      <c r="CD71" s="113"/>
      <c r="CE71" s="113"/>
      <c r="CF71" s="113">
        <v>0</v>
      </c>
      <c r="CG71" s="113">
        <v>0</v>
      </c>
      <c r="CH71" s="113">
        <v>0</v>
      </c>
      <c r="CI71" s="113">
        <v>0</v>
      </c>
      <c r="CJ71" s="113">
        <v>0</v>
      </c>
      <c r="CK71" s="113">
        <v>0</v>
      </c>
      <c r="CL71" s="113">
        <v>0</v>
      </c>
      <c r="CM71" s="113">
        <v>0</v>
      </c>
      <c r="CN71" s="113">
        <v>0</v>
      </c>
      <c r="CO71" s="113">
        <v>0</v>
      </c>
      <c r="CP71" s="113">
        <v>0</v>
      </c>
      <c r="CQ71" s="113">
        <v>0</v>
      </c>
      <c r="CR71" s="113">
        <v>0</v>
      </c>
      <c r="CS71" s="113">
        <v>0</v>
      </c>
      <c r="CT71" s="113">
        <v>0</v>
      </c>
      <c r="CU71" s="113">
        <v>0</v>
      </c>
      <c r="CV71" s="113">
        <v>0</v>
      </c>
      <c r="CW71" s="113">
        <v>0</v>
      </c>
      <c r="CX71" s="113">
        <v>0</v>
      </c>
      <c r="CY71" s="113">
        <v>0</v>
      </c>
      <c r="CZ71" s="113">
        <v>0</v>
      </c>
      <c r="DA71" s="113">
        <v>0</v>
      </c>
      <c r="DB71" s="113">
        <v>0</v>
      </c>
      <c r="DC71" s="113">
        <v>0</v>
      </c>
      <c r="DD71" s="113">
        <v>0</v>
      </c>
      <c r="DE71" s="113">
        <v>0</v>
      </c>
      <c r="DF71" s="113">
        <v>0</v>
      </c>
      <c r="DG71" s="113">
        <v>0</v>
      </c>
      <c r="DH71" s="113">
        <v>0</v>
      </c>
      <c r="DI71" s="113">
        <v>0</v>
      </c>
      <c r="DJ71" s="113">
        <v>0</v>
      </c>
      <c r="DK71" s="113">
        <v>0</v>
      </c>
      <c r="DL71" s="113">
        <v>0</v>
      </c>
      <c r="DM71" s="113">
        <v>0</v>
      </c>
      <c r="DN71" s="113">
        <v>0</v>
      </c>
      <c r="DO71" s="113">
        <v>0</v>
      </c>
      <c r="DP71" s="113">
        <v>0</v>
      </c>
      <c r="DQ71" s="113">
        <v>0</v>
      </c>
      <c r="DR71" s="113">
        <v>0</v>
      </c>
      <c r="DS71" s="113">
        <v>0</v>
      </c>
      <c r="DT71" s="113">
        <v>0</v>
      </c>
      <c r="DU71" s="113">
        <v>0</v>
      </c>
      <c r="DV71" s="113">
        <v>0</v>
      </c>
      <c r="DW71" s="113">
        <v>0</v>
      </c>
      <c r="DX71" s="113">
        <v>0</v>
      </c>
      <c r="DY71" s="113">
        <v>0</v>
      </c>
      <c r="DZ71" s="113">
        <v>0</v>
      </c>
      <c r="EA71" s="113">
        <v>0</v>
      </c>
      <c r="EB71" s="113">
        <v>0</v>
      </c>
      <c r="EC71" s="113">
        <v>0</v>
      </c>
      <c r="ED71" s="113">
        <v>0</v>
      </c>
      <c r="EE71" s="113">
        <v>0</v>
      </c>
      <c r="EF71" s="113">
        <v>0</v>
      </c>
      <c r="EG71" s="113">
        <v>0</v>
      </c>
      <c r="EH71" s="113">
        <v>0</v>
      </c>
      <c r="EI71" s="113">
        <v>0</v>
      </c>
      <c r="EJ71" s="113">
        <v>0</v>
      </c>
      <c r="EK71" s="113">
        <v>0</v>
      </c>
      <c r="EL71" s="113">
        <v>0</v>
      </c>
      <c r="EM71" s="113">
        <v>0</v>
      </c>
      <c r="EN71" s="113">
        <v>0</v>
      </c>
      <c r="EO71" s="113">
        <v>0</v>
      </c>
      <c r="EP71" s="113">
        <v>0</v>
      </c>
      <c r="EQ71" s="113">
        <v>0</v>
      </c>
      <c r="ER71" s="113">
        <v>0</v>
      </c>
      <c r="ES71" s="113">
        <v>0</v>
      </c>
      <c r="ET71" s="113">
        <v>0</v>
      </c>
      <c r="EU71" s="113">
        <v>0</v>
      </c>
      <c r="EV71" s="113">
        <v>0</v>
      </c>
      <c r="EW71" s="113">
        <v>0</v>
      </c>
      <c r="EX71" s="113">
        <v>0</v>
      </c>
      <c r="EY71" s="113">
        <v>0</v>
      </c>
      <c r="EZ71" s="113">
        <v>0</v>
      </c>
      <c r="FA71" s="113">
        <v>0</v>
      </c>
      <c r="FB71" s="113">
        <v>0</v>
      </c>
      <c r="FC71" s="113">
        <v>0</v>
      </c>
      <c r="FD71" s="113">
        <v>0</v>
      </c>
      <c r="FE71" s="113">
        <v>0</v>
      </c>
      <c r="FF71" s="113">
        <v>0</v>
      </c>
      <c r="FG71" s="113">
        <v>0</v>
      </c>
      <c r="FH71" s="113">
        <v>0</v>
      </c>
      <c r="FI71" s="113">
        <v>0</v>
      </c>
      <c r="FJ71" s="113">
        <v>0</v>
      </c>
      <c r="FK71" s="113">
        <v>0</v>
      </c>
      <c r="FL71" s="113">
        <v>0</v>
      </c>
      <c r="FM71" s="113">
        <v>0</v>
      </c>
      <c r="FN71" s="113">
        <v>0</v>
      </c>
      <c r="FO71" s="113">
        <v>0</v>
      </c>
      <c r="FP71" s="113">
        <v>0</v>
      </c>
      <c r="FQ71" s="113">
        <v>0</v>
      </c>
      <c r="FR71" s="113">
        <v>0</v>
      </c>
      <c r="FS71" s="113">
        <v>0</v>
      </c>
      <c r="FT71" s="113">
        <v>0</v>
      </c>
      <c r="FU71" s="113">
        <v>0</v>
      </c>
      <c r="FV71" s="113">
        <v>0</v>
      </c>
      <c r="FW71" s="113">
        <v>0</v>
      </c>
      <c r="FX71" s="32">
        <v>0</v>
      </c>
      <c r="FY71" s="30">
        <v>0</v>
      </c>
      <c r="FZ71" s="30">
        <v>0</v>
      </c>
    </row>
    <row r="72" spans="1:182" x14ac:dyDescent="0.2">
      <c r="A72" s="28">
        <v>33756</v>
      </c>
      <c r="B72" s="28"/>
      <c r="C72" s="29">
        <v>374496</v>
      </c>
      <c r="D72" s="29">
        <v>120285</v>
      </c>
      <c r="E72" s="29">
        <f t="shared" ref="E72:E135" si="2">+C72+D72</f>
        <v>494781</v>
      </c>
      <c r="F72" s="30">
        <v>2791837</v>
      </c>
      <c r="G72" s="30">
        <v>0</v>
      </c>
      <c r="H72" s="30">
        <f t="shared" ref="H72:H135" si="3">+G72+F72</f>
        <v>2791837</v>
      </c>
      <c r="I72" s="42" t="s">
        <v>75</v>
      </c>
      <c r="J72" s="42" t="s">
        <v>75</v>
      </c>
      <c r="K72" s="32">
        <v>2686984</v>
      </c>
      <c r="L72" s="31" t="s">
        <v>75</v>
      </c>
      <c r="M72" s="31" t="s">
        <v>75</v>
      </c>
      <c r="N72" s="30">
        <v>8698247</v>
      </c>
      <c r="O72" s="31" t="s">
        <v>75</v>
      </c>
      <c r="P72" s="31" t="s">
        <v>75</v>
      </c>
      <c r="Q72" s="30">
        <v>9384478</v>
      </c>
      <c r="R72" s="31" t="s">
        <v>75</v>
      </c>
      <c r="S72" s="31" t="s">
        <v>75</v>
      </c>
      <c r="T72" s="32">
        <v>259931</v>
      </c>
      <c r="U72" s="31" t="s">
        <v>75</v>
      </c>
      <c r="V72" s="31" t="s">
        <v>75</v>
      </c>
      <c r="W72" s="31" t="s">
        <v>75</v>
      </c>
      <c r="X72" s="31" t="s">
        <v>75</v>
      </c>
      <c r="Y72" s="31" t="s">
        <v>75</v>
      </c>
      <c r="Z72" s="30">
        <v>139500</v>
      </c>
      <c r="AA72" s="31" t="s">
        <v>75</v>
      </c>
      <c r="AB72" s="31" t="s">
        <v>75</v>
      </c>
      <c r="AC72" s="30">
        <v>522142</v>
      </c>
      <c r="AD72" s="31" t="s">
        <v>75</v>
      </c>
      <c r="AE72" s="31" t="s">
        <v>75</v>
      </c>
      <c r="AF72" s="30">
        <v>8319</v>
      </c>
      <c r="AG72" s="42" t="s">
        <v>75</v>
      </c>
      <c r="AH72" s="42" t="s">
        <v>75</v>
      </c>
      <c r="AI72" s="32">
        <v>122563</v>
      </c>
      <c r="AJ72" s="31" t="s">
        <v>75</v>
      </c>
      <c r="AK72" s="31" t="s">
        <v>75</v>
      </c>
      <c r="AL72" s="31" t="s">
        <v>75</v>
      </c>
      <c r="AM72" s="31"/>
      <c r="AN72" s="31"/>
      <c r="AO72" s="31"/>
      <c r="AP72" s="31"/>
      <c r="AQ72" s="31"/>
      <c r="AR72" s="31"/>
      <c r="AS72" s="31" t="s">
        <v>75</v>
      </c>
      <c r="AT72" s="31" t="s">
        <v>75</v>
      </c>
      <c r="AU72" s="31" t="s">
        <v>75</v>
      </c>
      <c r="AV72" s="31" t="s">
        <v>75</v>
      </c>
      <c r="AW72" s="31" t="s">
        <v>75</v>
      </c>
      <c r="AX72" s="31" t="s">
        <v>75</v>
      </c>
      <c r="AY72" s="31" t="s">
        <v>75</v>
      </c>
      <c r="AZ72" s="31" t="s">
        <v>75</v>
      </c>
      <c r="BA72" s="31" t="s">
        <v>75</v>
      </c>
      <c r="BB72" s="31" t="s">
        <v>75</v>
      </c>
      <c r="BC72" s="31" t="s">
        <v>75</v>
      </c>
      <c r="BD72" s="31" t="s">
        <v>75</v>
      </c>
      <c r="BE72" s="113">
        <v>0</v>
      </c>
      <c r="BF72" s="113">
        <v>0</v>
      </c>
      <c r="BG72" s="113">
        <v>0</v>
      </c>
      <c r="BH72" s="113">
        <v>0</v>
      </c>
      <c r="BI72" s="113">
        <v>0</v>
      </c>
      <c r="BJ72" s="113">
        <v>0</v>
      </c>
      <c r="BK72" s="113">
        <v>0</v>
      </c>
      <c r="BL72" s="113">
        <v>0</v>
      </c>
      <c r="BM72" s="113">
        <v>0</v>
      </c>
      <c r="BN72" s="113">
        <v>0</v>
      </c>
      <c r="BO72" s="113">
        <v>0</v>
      </c>
      <c r="BP72" s="113">
        <v>0</v>
      </c>
      <c r="BQ72" s="113">
        <v>0</v>
      </c>
      <c r="BR72" s="113">
        <v>0</v>
      </c>
      <c r="BS72" s="113">
        <v>0</v>
      </c>
      <c r="BT72" s="113">
        <v>0</v>
      </c>
      <c r="BU72" s="113">
        <v>0</v>
      </c>
      <c r="BV72" s="113">
        <v>0</v>
      </c>
      <c r="BW72" s="113"/>
      <c r="BX72" s="113"/>
      <c r="BY72" s="113"/>
      <c r="BZ72" s="113">
        <v>0</v>
      </c>
      <c r="CA72" s="113">
        <v>0</v>
      </c>
      <c r="CB72" s="113">
        <v>0</v>
      </c>
      <c r="CC72" s="113"/>
      <c r="CD72" s="113"/>
      <c r="CE72" s="113"/>
      <c r="CF72" s="113">
        <v>0</v>
      </c>
      <c r="CG72" s="113">
        <v>0</v>
      </c>
      <c r="CH72" s="113">
        <v>0</v>
      </c>
      <c r="CI72" s="113">
        <v>0</v>
      </c>
      <c r="CJ72" s="113">
        <v>0</v>
      </c>
      <c r="CK72" s="113">
        <v>0</v>
      </c>
      <c r="CL72" s="113">
        <v>0</v>
      </c>
      <c r="CM72" s="113">
        <v>0</v>
      </c>
      <c r="CN72" s="113">
        <v>0</v>
      </c>
      <c r="CO72" s="113">
        <v>0</v>
      </c>
      <c r="CP72" s="113">
        <v>0</v>
      </c>
      <c r="CQ72" s="113">
        <v>0</v>
      </c>
      <c r="CR72" s="113">
        <v>0</v>
      </c>
      <c r="CS72" s="113">
        <v>0</v>
      </c>
      <c r="CT72" s="113">
        <v>0</v>
      </c>
      <c r="CU72" s="113">
        <v>0</v>
      </c>
      <c r="CV72" s="113">
        <v>0</v>
      </c>
      <c r="CW72" s="113">
        <v>0</v>
      </c>
      <c r="CX72" s="113">
        <v>0</v>
      </c>
      <c r="CY72" s="113">
        <v>0</v>
      </c>
      <c r="CZ72" s="113">
        <v>0</v>
      </c>
      <c r="DA72" s="113">
        <v>0</v>
      </c>
      <c r="DB72" s="113">
        <v>0</v>
      </c>
      <c r="DC72" s="113">
        <v>0</v>
      </c>
      <c r="DD72" s="113">
        <v>0</v>
      </c>
      <c r="DE72" s="113">
        <v>0</v>
      </c>
      <c r="DF72" s="113">
        <v>0</v>
      </c>
      <c r="DG72" s="113">
        <v>0</v>
      </c>
      <c r="DH72" s="113">
        <v>0</v>
      </c>
      <c r="DI72" s="113">
        <v>0</v>
      </c>
      <c r="DJ72" s="113">
        <v>0</v>
      </c>
      <c r="DK72" s="113">
        <v>0</v>
      </c>
      <c r="DL72" s="113">
        <v>0</v>
      </c>
      <c r="DM72" s="113">
        <v>0</v>
      </c>
      <c r="DN72" s="113">
        <v>0</v>
      </c>
      <c r="DO72" s="113">
        <v>0</v>
      </c>
      <c r="DP72" s="113">
        <v>0</v>
      </c>
      <c r="DQ72" s="113">
        <v>0</v>
      </c>
      <c r="DR72" s="113">
        <v>0</v>
      </c>
      <c r="DS72" s="113">
        <v>0</v>
      </c>
      <c r="DT72" s="113">
        <v>0</v>
      </c>
      <c r="DU72" s="113">
        <v>0</v>
      </c>
      <c r="DV72" s="113">
        <v>0</v>
      </c>
      <c r="DW72" s="113">
        <v>0</v>
      </c>
      <c r="DX72" s="113">
        <v>0</v>
      </c>
      <c r="DY72" s="113">
        <v>0</v>
      </c>
      <c r="DZ72" s="113">
        <v>0</v>
      </c>
      <c r="EA72" s="113">
        <v>0</v>
      </c>
      <c r="EB72" s="113">
        <v>0</v>
      </c>
      <c r="EC72" s="113">
        <v>0</v>
      </c>
      <c r="ED72" s="113">
        <v>0</v>
      </c>
      <c r="EE72" s="113">
        <v>0</v>
      </c>
      <c r="EF72" s="113">
        <v>0</v>
      </c>
      <c r="EG72" s="113">
        <v>0</v>
      </c>
      <c r="EH72" s="113">
        <v>0</v>
      </c>
      <c r="EI72" s="113">
        <v>0</v>
      </c>
      <c r="EJ72" s="113">
        <v>0</v>
      </c>
      <c r="EK72" s="113">
        <v>0</v>
      </c>
      <c r="EL72" s="113">
        <v>0</v>
      </c>
      <c r="EM72" s="113">
        <v>0</v>
      </c>
      <c r="EN72" s="113">
        <v>0</v>
      </c>
      <c r="EO72" s="113">
        <v>0</v>
      </c>
      <c r="EP72" s="113">
        <v>0</v>
      </c>
      <c r="EQ72" s="113">
        <v>0</v>
      </c>
      <c r="ER72" s="113">
        <v>0</v>
      </c>
      <c r="ES72" s="113">
        <v>0</v>
      </c>
      <c r="ET72" s="113">
        <v>0</v>
      </c>
      <c r="EU72" s="113">
        <v>0</v>
      </c>
      <c r="EV72" s="113">
        <v>0</v>
      </c>
      <c r="EW72" s="113">
        <v>0</v>
      </c>
      <c r="EX72" s="113">
        <v>0</v>
      </c>
      <c r="EY72" s="113">
        <v>0</v>
      </c>
      <c r="EZ72" s="113">
        <v>0</v>
      </c>
      <c r="FA72" s="113">
        <v>0</v>
      </c>
      <c r="FB72" s="113">
        <v>0</v>
      </c>
      <c r="FC72" s="113">
        <v>0</v>
      </c>
      <c r="FD72" s="113">
        <v>0</v>
      </c>
      <c r="FE72" s="113">
        <v>0</v>
      </c>
      <c r="FF72" s="113">
        <v>0</v>
      </c>
      <c r="FG72" s="113">
        <v>0</v>
      </c>
      <c r="FH72" s="113">
        <v>0</v>
      </c>
      <c r="FI72" s="113">
        <v>0</v>
      </c>
      <c r="FJ72" s="113">
        <v>0</v>
      </c>
      <c r="FK72" s="113">
        <v>0</v>
      </c>
      <c r="FL72" s="113">
        <v>0</v>
      </c>
      <c r="FM72" s="113">
        <v>0</v>
      </c>
      <c r="FN72" s="113">
        <v>0</v>
      </c>
      <c r="FO72" s="113">
        <v>0</v>
      </c>
      <c r="FP72" s="113">
        <v>0</v>
      </c>
      <c r="FQ72" s="113">
        <v>0</v>
      </c>
      <c r="FR72" s="113">
        <v>0</v>
      </c>
      <c r="FS72" s="113">
        <v>0</v>
      </c>
      <c r="FT72" s="113">
        <v>0</v>
      </c>
      <c r="FU72" s="113">
        <v>0</v>
      </c>
      <c r="FV72" s="113">
        <v>0</v>
      </c>
      <c r="FW72" s="113">
        <v>0</v>
      </c>
      <c r="FX72" s="32">
        <v>0</v>
      </c>
      <c r="FY72" s="30">
        <v>0</v>
      </c>
      <c r="FZ72" s="30">
        <v>0</v>
      </c>
    </row>
    <row r="73" spans="1:182" x14ac:dyDescent="0.2">
      <c r="A73" s="28">
        <v>33786</v>
      </c>
      <c r="B73" s="28"/>
      <c r="C73" s="29">
        <v>151240</v>
      </c>
      <c r="D73" s="29">
        <v>98294</v>
      </c>
      <c r="E73" s="29">
        <f t="shared" si="2"/>
        <v>249534</v>
      </c>
      <c r="F73" s="30">
        <v>2553162</v>
      </c>
      <c r="G73" s="30">
        <v>0</v>
      </c>
      <c r="H73" s="30">
        <f t="shared" si="3"/>
        <v>2553162</v>
      </c>
      <c r="I73" s="42" t="s">
        <v>75</v>
      </c>
      <c r="J73" s="42" t="s">
        <v>75</v>
      </c>
      <c r="K73" s="32">
        <v>2696198</v>
      </c>
      <c r="L73" s="31" t="s">
        <v>75</v>
      </c>
      <c r="M73" s="31" t="s">
        <v>75</v>
      </c>
      <c r="N73" s="30">
        <v>8738818</v>
      </c>
      <c r="O73" s="31" t="s">
        <v>75</v>
      </c>
      <c r="P73" s="31" t="s">
        <v>75</v>
      </c>
      <c r="Q73" s="30">
        <v>9490367</v>
      </c>
      <c r="R73" s="31" t="s">
        <v>75</v>
      </c>
      <c r="S73" s="31" t="s">
        <v>75</v>
      </c>
      <c r="T73" s="32">
        <v>239945</v>
      </c>
      <c r="U73" s="31" t="s">
        <v>75</v>
      </c>
      <c r="V73" s="31" t="s">
        <v>75</v>
      </c>
      <c r="W73" s="31" t="s">
        <v>75</v>
      </c>
      <c r="X73" s="31" t="s">
        <v>75</v>
      </c>
      <c r="Y73" s="31" t="s">
        <v>75</v>
      </c>
      <c r="Z73" s="30">
        <v>138568</v>
      </c>
      <c r="AA73" s="31" t="s">
        <v>75</v>
      </c>
      <c r="AB73" s="31" t="s">
        <v>75</v>
      </c>
      <c r="AC73" s="30">
        <v>357202</v>
      </c>
      <c r="AD73" s="31" t="s">
        <v>75</v>
      </c>
      <c r="AE73" s="31" t="s">
        <v>75</v>
      </c>
      <c r="AF73" s="30">
        <v>11723</v>
      </c>
      <c r="AG73" s="42" t="s">
        <v>75</v>
      </c>
      <c r="AH73" s="42" t="s">
        <v>75</v>
      </c>
      <c r="AI73" s="32">
        <v>92509</v>
      </c>
      <c r="AJ73" s="31" t="s">
        <v>75</v>
      </c>
      <c r="AK73" s="31" t="s">
        <v>75</v>
      </c>
      <c r="AL73" s="31" t="s">
        <v>75</v>
      </c>
      <c r="AM73" s="31"/>
      <c r="AN73" s="31"/>
      <c r="AO73" s="31"/>
      <c r="AP73" s="31"/>
      <c r="AQ73" s="31"/>
      <c r="AR73" s="31"/>
      <c r="AS73" s="31" t="s">
        <v>75</v>
      </c>
      <c r="AT73" s="31" t="s">
        <v>75</v>
      </c>
      <c r="AU73" s="31" t="s">
        <v>75</v>
      </c>
      <c r="AV73" s="31" t="s">
        <v>75</v>
      </c>
      <c r="AW73" s="31" t="s">
        <v>75</v>
      </c>
      <c r="AX73" s="31" t="s">
        <v>75</v>
      </c>
      <c r="AY73" s="31" t="s">
        <v>75</v>
      </c>
      <c r="AZ73" s="31" t="s">
        <v>75</v>
      </c>
      <c r="BA73" s="31" t="s">
        <v>75</v>
      </c>
      <c r="BB73" s="31" t="s">
        <v>75</v>
      </c>
      <c r="BC73" s="31" t="s">
        <v>75</v>
      </c>
      <c r="BD73" s="31" t="s">
        <v>75</v>
      </c>
      <c r="BE73" s="113">
        <v>0</v>
      </c>
      <c r="BF73" s="113">
        <v>0</v>
      </c>
      <c r="BG73" s="113">
        <v>0</v>
      </c>
      <c r="BH73" s="113">
        <v>0</v>
      </c>
      <c r="BI73" s="113">
        <v>0</v>
      </c>
      <c r="BJ73" s="113">
        <v>0</v>
      </c>
      <c r="BK73" s="113">
        <v>0</v>
      </c>
      <c r="BL73" s="113">
        <v>0</v>
      </c>
      <c r="BM73" s="113">
        <v>0</v>
      </c>
      <c r="BN73" s="113">
        <v>0</v>
      </c>
      <c r="BO73" s="113">
        <v>0</v>
      </c>
      <c r="BP73" s="113">
        <v>0</v>
      </c>
      <c r="BQ73" s="113">
        <v>0</v>
      </c>
      <c r="BR73" s="113">
        <v>0</v>
      </c>
      <c r="BS73" s="113">
        <v>0</v>
      </c>
      <c r="BT73" s="113">
        <v>0</v>
      </c>
      <c r="BU73" s="113">
        <v>0</v>
      </c>
      <c r="BV73" s="113">
        <v>0</v>
      </c>
      <c r="BW73" s="113"/>
      <c r="BX73" s="113"/>
      <c r="BY73" s="113"/>
      <c r="BZ73" s="113">
        <v>0</v>
      </c>
      <c r="CA73" s="113">
        <v>0</v>
      </c>
      <c r="CB73" s="113">
        <v>0</v>
      </c>
      <c r="CC73" s="113"/>
      <c r="CD73" s="113"/>
      <c r="CE73" s="113"/>
      <c r="CF73" s="113">
        <v>0</v>
      </c>
      <c r="CG73" s="113">
        <v>0</v>
      </c>
      <c r="CH73" s="113">
        <v>0</v>
      </c>
      <c r="CI73" s="113">
        <v>0</v>
      </c>
      <c r="CJ73" s="113">
        <v>0</v>
      </c>
      <c r="CK73" s="113">
        <v>0</v>
      </c>
      <c r="CL73" s="113">
        <v>0</v>
      </c>
      <c r="CM73" s="113">
        <v>0</v>
      </c>
      <c r="CN73" s="113">
        <v>0</v>
      </c>
      <c r="CO73" s="113">
        <v>0</v>
      </c>
      <c r="CP73" s="113">
        <v>0</v>
      </c>
      <c r="CQ73" s="113">
        <v>0</v>
      </c>
      <c r="CR73" s="113">
        <v>0</v>
      </c>
      <c r="CS73" s="113">
        <v>0</v>
      </c>
      <c r="CT73" s="113">
        <v>0</v>
      </c>
      <c r="CU73" s="113">
        <v>0</v>
      </c>
      <c r="CV73" s="113">
        <v>0</v>
      </c>
      <c r="CW73" s="113">
        <v>0</v>
      </c>
      <c r="CX73" s="113">
        <v>0</v>
      </c>
      <c r="CY73" s="113">
        <v>0</v>
      </c>
      <c r="CZ73" s="113">
        <v>0</v>
      </c>
      <c r="DA73" s="113">
        <v>0</v>
      </c>
      <c r="DB73" s="113">
        <v>0</v>
      </c>
      <c r="DC73" s="113">
        <v>0</v>
      </c>
      <c r="DD73" s="113">
        <v>0</v>
      </c>
      <c r="DE73" s="113">
        <v>0</v>
      </c>
      <c r="DF73" s="113">
        <v>0</v>
      </c>
      <c r="DG73" s="113">
        <v>0</v>
      </c>
      <c r="DH73" s="113">
        <v>0</v>
      </c>
      <c r="DI73" s="113">
        <v>0</v>
      </c>
      <c r="DJ73" s="113">
        <v>0</v>
      </c>
      <c r="DK73" s="113">
        <v>0</v>
      </c>
      <c r="DL73" s="113">
        <v>0</v>
      </c>
      <c r="DM73" s="113">
        <v>0</v>
      </c>
      <c r="DN73" s="113">
        <v>0</v>
      </c>
      <c r="DO73" s="113">
        <v>0</v>
      </c>
      <c r="DP73" s="113">
        <v>0</v>
      </c>
      <c r="DQ73" s="113">
        <v>0</v>
      </c>
      <c r="DR73" s="113">
        <v>0</v>
      </c>
      <c r="DS73" s="113">
        <v>0</v>
      </c>
      <c r="DT73" s="113">
        <v>0</v>
      </c>
      <c r="DU73" s="113">
        <v>0</v>
      </c>
      <c r="DV73" s="113">
        <v>0</v>
      </c>
      <c r="DW73" s="113">
        <v>0</v>
      </c>
      <c r="DX73" s="113">
        <v>0</v>
      </c>
      <c r="DY73" s="113">
        <v>0</v>
      </c>
      <c r="DZ73" s="113">
        <v>0</v>
      </c>
      <c r="EA73" s="113">
        <v>0</v>
      </c>
      <c r="EB73" s="113">
        <v>0</v>
      </c>
      <c r="EC73" s="113">
        <v>0</v>
      </c>
      <c r="ED73" s="113">
        <v>0</v>
      </c>
      <c r="EE73" s="113">
        <v>0</v>
      </c>
      <c r="EF73" s="113">
        <v>0</v>
      </c>
      <c r="EG73" s="113">
        <v>0</v>
      </c>
      <c r="EH73" s="113">
        <v>0</v>
      </c>
      <c r="EI73" s="113">
        <v>0</v>
      </c>
      <c r="EJ73" s="113">
        <v>0</v>
      </c>
      <c r="EK73" s="113">
        <v>0</v>
      </c>
      <c r="EL73" s="113">
        <v>0</v>
      </c>
      <c r="EM73" s="113">
        <v>0</v>
      </c>
      <c r="EN73" s="113">
        <v>0</v>
      </c>
      <c r="EO73" s="113">
        <v>0</v>
      </c>
      <c r="EP73" s="113">
        <v>0</v>
      </c>
      <c r="EQ73" s="113">
        <v>0</v>
      </c>
      <c r="ER73" s="113">
        <v>0</v>
      </c>
      <c r="ES73" s="113">
        <v>0</v>
      </c>
      <c r="ET73" s="113">
        <v>0</v>
      </c>
      <c r="EU73" s="113">
        <v>0</v>
      </c>
      <c r="EV73" s="113">
        <v>0</v>
      </c>
      <c r="EW73" s="113">
        <v>0</v>
      </c>
      <c r="EX73" s="113">
        <v>0</v>
      </c>
      <c r="EY73" s="113">
        <v>0</v>
      </c>
      <c r="EZ73" s="113">
        <v>0</v>
      </c>
      <c r="FA73" s="113">
        <v>0</v>
      </c>
      <c r="FB73" s="113">
        <v>0</v>
      </c>
      <c r="FC73" s="113">
        <v>0</v>
      </c>
      <c r="FD73" s="113">
        <v>0</v>
      </c>
      <c r="FE73" s="113">
        <v>0</v>
      </c>
      <c r="FF73" s="113">
        <v>0</v>
      </c>
      <c r="FG73" s="113">
        <v>0</v>
      </c>
      <c r="FH73" s="113">
        <v>0</v>
      </c>
      <c r="FI73" s="113">
        <v>0</v>
      </c>
      <c r="FJ73" s="113">
        <v>0</v>
      </c>
      <c r="FK73" s="113">
        <v>0</v>
      </c>
      <c r="FL73" s="113">
        <v>0</v>
      </c>
      <c r="FM73" s="113">
        <v>0</v>
      </c>
      <c r="FN73" s="113">
        <v>0</v>
      </c>
      <c r="FO73" s="113">
        <v>0</v>
      </c>
      <c r="FP73" s="113">
        <v>0</v>
      </c>
      <c r="FQ73" s="113">
        <v>0</v>
      </c>
      <c r="FR73" s="113">
        <v>0</v>
      </c>
      <c r="FS73" s="113">
        <v>0</v>
      </c>
      <c r="FT73" s="113">
        <v>0</v>
      </c>
      <c r="FU73" s="113">
        <v>0</v>
      </c>
      <c r="FV73" s="113">
        <v>0</v>
      </c>
      <c r="FW73" s="113">
        <v>0</v>
      </c>
      <c r="FX73" s="32">
        <v>0</v>
      </c>
      <c r="FY73" s="30">
        <v>0</v>
      </c>
      <c r="FZ73" s="30">
        <v>0</v>
      </c>
    </row>
    <row r="74" spans="1:182" x14ac:dyDescent="0.2">
      <c r="A74" s="28">
        <v>33817</v>
      </c>
      <c r="B74" s="28"/>
      <c r="C74" s="29">
        <v>291655</v>
      </c>
      <c r="D74" s="29">
        <v>185964</v>
      </c>
      <c r="E74" s="29">
        <f t="shared" si="2"/>
        <v>477619</v>
      </c>
      <c r="F74" s="30">
        <v>3497046</v>
      </c>
      <c r="G74" s="30">
        <v>0</v>
      </c>
      <c r="H74" s="30">
        <f t="shared" si="3"/>
        <v>3497046</v>
      </c>
      <c r="I74" s="42" t="s">
        <v>75</v>
      </c>
      <c r="J74" s="42" t="s">
        <v>75</v>
      </c>
      <c r="K74" s="32">
        <v>2913128</v>
      </c>
      <c r="L74" s="31" t="s">
        <v>75</v>
      </c>
      <c r="M74" s="31" t="s">
        <v>75</v>
      </c>
      <c r="N74" s="30">
        <v>9280432</v>
      </c>
      <c r="O74" s="31" t="s">
        <v>75</v>
      </c>
      <c r="P74" s="31" t="s">
        <v>75</v>
      </c>
      <c r="Q74" s="30">
        <v>9641687</v>
      </c>
      <c r="R74" s="31" t="s">
        <v>75</v>
      </c>
      <c r="S74" s="31" t="s">
        <v>75</v>
      </c>
      <c r="T74" s="32">
        <v>200723</v>
      </c>
      <c r="U74" s="31" t="s">
        <v>75</v>
      </c>
      <c r="V74" s="31" t="s">
        <v>75</v>
      </c>
      <c r="W74" s="31" t="s">
        <v>75</v>
      </c>
      <c r="X74" s="31" t="s">
        <v>75</v>
      </c>
      <c r="Y74" s="31" t="s">
        <v>75</v>
      </c>
      <c r="Z74" s="30">
        <v>157429</v>
      </c>
      <c r="AA74" s="31" t="s">
        <v>75</v>
      </c>
      <c r="AB74" s="31" t="s">
        <v>75</v>
      </c>
      <c r="AC74" s="30">
        <v>464948</v>
      </c>
      <c r="AD74" s="31" t="s">
        <v>75</v>
      </c>
      <c r="AE74" s="31" t="s">
        <v>75</v>
      </c>
      <c r="AF74" s="30">
        <v>8183</v>
      </c>
      <c r="AG74" s="42" t="s">
        <v>75</v>
      </c>
      <c r="AH74" s="42" t="s">
        <v>75</v>
      </c>
      <c r="AI74" s="32">
        <v>113789</v>
      </c>
      <c r="AJ74" s="31" t="s">
        <v>75</v>
      </c>
      <c r="AK74" s="31" t="s">
        <v>75</v>
      </c>
      <c r="AL74" s="31" t="s">
        <v>75</v>
      </c>
      <c r="AM74" s="31"/>
      <c r="AN74" s="31"/>
      <c r="AO74" s="31"/>
      <c r="AP74" s="31"/>
      <c r="AQ74" s="31"/>
      <c r="AR74" s="31"/>
      <c r="AS74" s="31" t="s">
        <v>75</v>
      </c>
      <c r="AT74" s="31" t="s">
        <v>75</v>
      </c>
      <c r="AU74" s="31" t="s">
        <v>75</v>
      </c>
      <c r="AV74" s="31" t="s">
        <v>75</v>
      </c>
      <c r="AW74" s="31" t="s">
        <v>75</v>
      </c>
      <c r="AX74" s="31" t="s">
        <v>75</v>
      </c>
      <c r="AY74" s="31" t="s">
        <v>75</v>
      </c>
      <c r="AZ74" s="31" t="s">
        <v>75</v>
      </c>
      <c r="BA74" s="31" t="s">
        <v>75</v>
      </c>
      <c r="BB74" s="31" t="s">
        <v>75</v>
      </c>
      <c r="BC74" s="31" t="s">
        <v>75</v>
      </c>
      <c r="BD74" s="31" t="s">
        <v>75</v>
      </c>
      <c r="BE74" s="113">
        <v>0</v>
      </c>
      <c r="BF74" s="113">
        <v>0</v>
      </c>
      <c r="BG74" s="113">
        <v>0</v>
      </c>
      <c r="BH74" s="113">
        <v>0</v>
      </c>
      <c r="BI74" s="113">
        <v>0</v>
      </c>
      <c r="BJ74" s="113">
        <v>0</v>
      </c>
      <c r="BK74" s="113">
        <v>0</v>
      </c>
      <c r="BL74" s="113">
        <v>0</v>
      </c>
      <c r="BM74" s="113">
        <v>0</v>
      </c>
      <c r="BN74" s="113">
        <v>0</v>
      </c>
      <c r="BO74" s="113">
        <v>0</v>
      </c>
      <c r="BP74" s="113">
        <v>0</v>
      </c>
      <c r="BQ74" s="113">
        <v>0</v>
      </c>
      <c r="BR74" s="113">
        <v>0</v>
      </c>
      <c r="BS74" s="113">
        <v>0</v>
      </c>
      <c r="BT74" s="113">
        <v>0</v>
      </c>
      <c r="BU74" s="113">
        <v>0</v>
      </c>
      <c r="BV74" s="113">
        <v>0</v>
      </c>
      <c r="BW74" s="113"/>
      <c r="BX74" s="113"/>
      <c r="BY74" s="113"/>
      <c r="BZ74" s="113">
        <v>0</v>
      </c>
      <c r="CA74" s="113">
        <v>0</v>
      </c>
      <c r="CB74" s="113">
        <v>0</v>
      </c>
      <c r="CC74" s="113"/>
      <c r="CD74" s="113"/>
      <c r="CE74" s="113"/>
      <c r="CF74" s="113">
        <v>0</v>
      </c>
      <c r="CG74" s="113">
        <v>0</v>
      </c>
      <c r="CH74" s="113">
        <v>0</v>
      </c>
      <c r="CI74" s="113">
        <v>0</v>
      </c>
      <c r="CJ74" s="113">
        <v>0</v>
      </c>
      <c r="CK74" s="113">
        <v>0</v>
      </c>
      <c r="CL74" s="113">
        <v>0</v>
      </c>
      <c r="CM74" s="113">
        <v>0</v>
      </c>
      <c r="CN74" s="113">
        <v>0</v>
      </c>
      <c r="CO74" s="113">
        <v>0</v>
      </c>
      <c r="CP74" s="113">
        <v>0</v>
      </c>
      <c r="CQ74" s="113">
        <v>0</v>
      </c>
      <c r="CR74" s="113">
        <v>0</v>
      </c>
      <c r="CS74" s="113">
        <v>0</v>
      </c>
      <c r="CT74" s="113">
        <v>0</v>
      </c>
      <c r="CU74" s="113">
        <v>0</v>
      </c>
      <c r="CV74" s="113">
        <v>0</v>
      </c>
      <c r="CW74" s="113">
        <v>0</v>
      </c>
      <c r="CX74" s="113">
        <v>0</v>
      </c>
      <c r="CY74" s="113">
        <v>0</v>
      </c>
      <c r="CZ74" s="113">
        <v>0</v>
      </c>
      <c r="DA74" s="113">
        <v>0</v>
      </c>
      <c r="DB74" s="113">
        <v>0</v>
      </c>
      <c r="DC74" s="113">
        <v>0</v>
      </c>
      <c r="DD74" s="113">
        <v>0</v>
      </c>
      <c r="DE74" s="113">
        <v>0</v>
      </c>
      <c r="DF74" s="113">
        <v>0</v>
      </c>
      <c r="DG74" s="113">
        <v>0</v>
      </c>
      <c r="DH74" s="113">
        <v>0</v>
      </c>
      <c r="DI74" s="113">
        <v>0</v>
      </c>
      <c r="DJ74" s="113">
        <v>0</v>
      </c>
      <c r="DK74" s="113">
        <v>0</v>
      </c>
      <c r="DL74" s="113">
        <v>0</v>
      </c>
      <c r="DM74" s="113">
        <v>0</v>
      </c>
      <c r="DN74" s="113">
        <v>0</v>
      </c>
      <c r="DO74" s="113">
        <v>0</v>
      </c>
      <c r="DP74" s="113">
        <v>0</v>
      </c>
      <c r="DQ74" s="113">
        <v>0</v>
      </c>
      <c r="DR74" s="113">
        <v>0</v>
      </c>
      <c r="DS74" s="113">
        <v>0</v>
      </c>
      <c r="DT74" s="113">
        <v>0</v>
      </c>
      <c r="DU74" s="113">
        <v>0</v>
      </c>
      <c r="DV74" s="113">
        <v>0</v>
      </c>
      <c r="DW74" s="113">
        <v>0</v>
      </c>
      <c r="DX74" s="113">
        <v>0</v>
      </c>
      <c r="DY74" s="113">
        <v>0</v>
      </c>
      <c r="DZ74" s="113">
        <v>0</v>
      </c>
      <c r="EA74" s="113">
        <v>0</v>
      </c>
      <c r="EB74" s="113">
        <v>0</v>
      </c>
      <c r="EC74" s="113">
        <v>0</v>
      </c>
      <c r="ED74" s="113">
        <v>0</v>
      </c>
      <c r="EE74" s="113">
        <v>0</v>
      </c>
      <c r="EF74" s="113">
        <v>0</v>
      </c>
      <c r="EG74" s="113">
        <v>0</v>
      </c>
      <c r="EH74" s="113">
        <v>0</v>
      </c>
      <c r="EI74" s="113">
        <v>0</v>
      </c>
      <c r="EJ74" s="113">
        <v>0</v>
      </c>
      <c r="EK74" s="113">
        <v>0</v>
      </c>
      <c r="EL74" s="113">
        <v>0</v>
      </c>
      <c r="EM74" s="113">
        <v>0</v>
      </c>
      <c r="EN74" s="113">
        <v>0</v>
      </c>
      <c r="EO74" s="113">
        <v>0</v>
      </c>
      <c r="EP74" s="113">
        <v>0</v>
      </c>
      <c r="EQ74" s="113">
        <v>0</v>
      </c>
      <c r="ER74" s="113">
        <v>0</v>
      </c>
      <c r="ES74" s="113">
        <v>0</v>
      </c>
      <c r="ET74" s="113">
        <v>0</v>
      </c>
      <c r="EU74" s="113">
        <v>0</v>
      </c>
      <c r="EV74" s="113">
        <v>0</v>
      </c>
      <c r="EW74" s="113">
        <v>0</v>
      </c>
      <c r="EX74" s="113">
        <v>0</v>
      </c>
      <c r="EY74" s="113">
        <v>0</v>
      </c>
      <c r="EZ74" s="113">
        <v>0</v>
      </c>
      <c r="FA74" s="113">
        <v>0</v>
      </c>
      <c r="FB74" s="113">
        <v>0</v>
      </c>
      <c r="FC74" s="113">
        <v>0</v>
      </c>
      <c r="FD74" s="113">
        <v>0</v>
      </c>
      <c r="FE74" s="113">
        <v>0</v>
      </c>
      <c r="FF74" s="113">
        <v>0</v>
      </c>
      <c r="FG74" s="113">
        <v>0</v>
      </c>
      <c r="FH74" s="113">
        <v>0</v>
      </c>
      <c r="FI74" s="113">
        <v>0</v>
      </c>
      <c r="FJ74" s="113">
        <v>0</v>
      </c>
      <c r="FK74" s="113">
        <v>0</v>
      </c>
      <c r="FL74" s="113">
        <v>0</v>
      </c>
      <c r="FM74" s="113">
        <v>0</v>
      </c>
      <c r="FN74" s="113">
        <v>0</v>
      </c>
      <c r="FO74" s="113">
        <v>0</v>
      </c>
      <c r="FP74" s="113">
        <v>0</v>
      </c>
      <c r="FQ74" s="113">
        <v>0</v>
      </c>
      <c r="FR74" s="113">
        <v>0</v>
      </c>
      <c r="FS74" s="113">
        <v>0</v>
      </c>
      <c r="FT74" s="113">
        <v>0</v>
      </c>
      <c r="FU74" s="113">
        <v>0</v>
      </c>
      <c r="FV74" s="113">
        <v>0</v>
      </c>
      <c r="FW74" s="113">
        <v>0</v>
      </c>
      <c r="FX74" s="32">
        <v>0</v>
      </c>
      <c r="FY74" s="30">
        <v>0</v>
      </c>
      <c r="FZ74" s="30">
        <v>0</v>
      </c>
    </row>
    <row r="75" spans="1:182" x14ac:dyDescent="0.2">
      <c r="A75" s="28">
        <v>33848</v>
      </c>
      <c r="B75" s="28"/>
      <c r="C75" s="29">
        <v>132193</v>
      </c>
      <c r="D75" s="29">
        <v>119767</v>
      </c>
      <c r="E75" s="29">
        <f t="shared" si="2"/>
        <v>251960</v>
      </c>
      <c r="F75" s="30">
        <v>6191532</v>
      </c>
      <c r="G75" s="30">
        <v>0</v>
      </c>
      <c r="H75" s="30">
        <f t="shared" si="3"/>
        <v>6191532</v>
      </c>
      <c r="I75" s="42" t="s">
        <v>75</v>
      </c>
      <c r="J75" s="42" t="s">
        <v>75</v>
      </c>
      <c r="K75" s="32">
        <v>2872682</v>
      </c>
      <c r="L75" s="31" t="s">
        <v>75</v>
      </c>
      <c r="M75" s="31" t="s">
        <v>75</v>
      </c>
      <c r="N75" s="30">
        <v>9160540</v>
      </c>
      <c r="O75" s="31" t="s">
        <v>75</v>
      </c>
      <c r="P75" s="31" t="s">
        <v>75</v>
      </c>
      <c r="Q75" s="30">
        <v>11066479</v>
      </c>
      <c r="R75" s="31" t="s">
        <v>75</v>
      </c>
      <c r="S75" s="31" t="s">
        <v>75</v>
      </c>
      <c r="T75" s="32">
        <v>232294</v>
      </c>
      <c r="U75" s="31" t="s">
        <v>75</v>
      </c>
      <c r="V75" s="31" t="s">
        <v>75</v>
      </c>
      <c r="W75" s="31" t="s">
        <v>75</v>
      </c>
      <c r="X75" s="31" t="s">
        <v>75</v>
      </c>
      <c r="Y75" s="31" t="s">
        <v>75</v>
      </c>
      <c r="Z75" s="30">
        <v>184584</v>
      </c>
      <c r="AA75" s="31" t="s">
        <v>75</v>
      </c>
      <c r="AB75" s="31" t="s">
        <v>75</v>
      </c>
      <c r="AC75" s="30">
        <v>286146</v>
      </c>
      <c r="AD75" s="31" t="s">
        <v>75</v>
      </c>
      <c r="AE75" s="31" t="s">
        <v>75</v>
      </c>
      <c r="AF75" s="30">
        <v>13869</v>
      </c>
      <c r="AG75" s="42" t="s">
        <v>75</v>
      </c>
      <c r="AH75" s="42" t="s">
        <v>75</v>
      </c>
      <c r="AI75" s="32">
        <v>64278</v>
      </c>
      <c r="AJ75" s="31" t="s">
        <v>75</v>
      </c>
      <c r="AK75" s="31" t="s">
        <v>75</v>
      </c>
      <c r="AL75" s="31" t="s">
        <v>75</v>
      </c>
      <c r="AM75" s="31"/>
      <c r="AN75" s="31"/>
      <c r="AO75" s="31"/>
      <c r="AP75" s="31"/>
      <c r="AQ75" s="31"/>
      <c r="AR75" s="31"/>
      <c r="AS75" s="31" t="s">
        <v>75</v>
      </c>
      <c r="AT75" s="31" t="s">
        <v>75</v>
      </c>
      <c r="AU75" s="31" t="s">
        <v>75</v>
      </c>
      <c r="AV75" s="31" t="s">
        <v>75</v>
      </c>
      <c r="AW75" s="31" t="s">
        <v>75</v>
      </c>
      <c r="AX75" s="31" t="s">
        <v>75</v>
      </c>
      <c r="AY75" s="31" t="s">
        <v>75</v>
      </c>
      <c r="AZ75" s="31" t="s">
        <v>75</v>
      </c>
      <c r="BA75" s="31" t="s">
        <v>75</v>
      </c>
      <c r="BB75" s="31" t="s">
        <v>75</v>
      </c>
      <c r="BC75" s="31" t="s">
        <v>75</v>
      </c>
      <c r="BD75" s="31" t="s">
        <v>75</v>
      </c>
      <c r="BE75" s="113">
        <v>0</v>
      </c>
      <c r="BF75" s="113">
        <v>0</v>
      </c>
      <c r="BG75" s="113">
        <v>0</v>
      </c>
      <c r="BH75" s="113">
        <v>0</v>
      </c>
      <c r="BI75" s="113">
        <v>0</v>
      </c>
      <c r="BJ75" s="113">
        <v>0</v>
      </c>
      <c r="BK75" s="113">
        <v>0</v>
      </c>
      <c r="BL75" s="113">
        <v>0</v>
      </c>
      <c r="BM75" s="113">
        <v>0</v>
      </c>
      <c r="BN75" s="113">
        <v>0</v>
      </c>
      <c r="BO75" s="113">
        <v>0</v>
      </c>
      <c r="BP75" s="113">
        <v>0</v>
      </c>
      <c r="BQ75" s="113">
        <v>0</v>
      </c>
      <c r="BR75" s="113">
        <v>0</v>
      </c>
      <c r="BS75" s="113">
        <v>0</v>
      </c>
      <c r="BT75" s="113">
        <v>0</v>
      </c>
      <c r="BU75" s="113">
        <v>0</v>
      </c>
      <c r="BV75" s="113">
        <v>0</v>
      </c>
      <c r="BW75" s="113"/>
      <c r="BX75" s="113"/>
      <c r="BY75" s="113"/>
      <c r="BZ75" s="113">
        <v>0</v>
      </c>
      <c r="CA75" s="113">
        <v>0</v>
      </c>
      <c r="CB75" s="113">
        <v>0</v>
      </c>
      <c r="CC75" s="113"/>
      <c r="CD75" s="113"/>
      <c r="CE75" s="113"/>
      <c r="CF75" s="113">
        <v>0</v>
      </c>
      <c r="CG75" s="113">
        <v>0</v>
      </c>
      <c r="CH75" s="113">
        <v>0</v>
      </c>
      <c r="CI75" s="113">
        <v>0</v>
      </c>
      <c r="CJ75" s="113">
        <v>0</v>
      </c>
      <c r="CK75" s="113">
        <v>0</v>
      </c>
      <c r="CL75" s="113">
        <v>0</v>
      </c>
      <c r="CM75" s="113">
        <v>0</v>
      </c>
      <c r="CN75" s="113">
        <v>0</v>
      </c>
      <c r="CO75" s="113">
        <v>0</v>
      </c>
      <c r="CP75" s="113">
        <v>0</v>
      </c>
      <c r="CQ75" s="113">
        <v>0</v>
      </c>
      <c r="CR75" s="113">
        <v>0</v>
      </c>
      <c r="CS75" s="113">
        <v>0</v>
      </c>
      <c r="CT75" s="113">
        <v>0</v>
      </c>
      <c r="CU75" s="113">
        <v>0</v>
      </c>
      <c r="CV75" s="113">
        <v>0</v>
      </c>
      <c r="CW75" s="113">
        <v>0</v>
      </c>
      <c r="CX75" s="113">
        <v>0</v>
      </c>
      <c r="CY75" s="113">
        <v>0</v>
      </c>
      <c r="CZ75" s="113">
        <v>0</v>
      </c>
      <c r="DA75" s="113">
        <v>0</v>
      </c>
      <c r="DB75" s="113">
        <v>0</v>
      </c>
      <c r="DC75" s="113">
        <v>0</v>
      </c>
      <c r="DD75" s="113">
        <v>0</v>
      </c>
      <c r="DE75" s="113">
        <v>0</v>
      </c>
      <c r="DF75" s="113">
        <v>0</v>
      </c>
      <c r="DG75" s="113">
        <v>0</v>
      </c>
      <c r="DH75" s="113">
        <v>0</v>
      </c>
      <c r="DI75" s="113">
        <v>0</v>
      </c>
      <c r="DJ75" s="113">
        <v>0</v>
      </c>
      <c r="DK75" s="113">
        <v>0</v>
      </c>
      <c r="DL75" s="113">
        <v>0</v>
      </c>
      <c r="DM75" s="113">
        <v>0</v>
      </c>
      <c r="DN75" s="113">
        <v>0</v>
      </c>
      <c r="DO75" s="113">
        <v>0</v>
      </c>
      <c r="DP75" s="113">
        <v>0</v>
      </c>
      <c r="DQ75" s="113">
        <v>0</v>
      </c>
      <c r="DR75" s="113">
        <v>0</v>
      </c>
      <c r="DS75" s="113">
        <v>0</v>
      </c>
      <c r="DT75" s="113">
        <v>0</v>
      </c>
      <c r="DU75" s="113">
        <v>0</v>
      </c>
      <c r="DV75" s="113">
        <v>0</v>
      </c>
      <c r="DW75" s="113">
        <v>0</v>
      </c>
      <c r="DX75" s="113">
        <v>0</v>
      </c>
      <c r="DY75" s="113">
        <v>0</v>
      </c>
      <c r="DZ75" s="113">
        <v>0</v>
      </c>
      <c r="EA75" s="113">
        <v>0</v>
      </c>
      <c r="EB75" s="113">
        <v>0</v>
      </c>
      <c r="EC75" s="113">
        <v>0</v>
      </c>
      <c r="ED75" s="113">
        <v>0</v>
      </c>
      <c r="EE75" s="113">
        <v>0</v>
      </c>
      <c r="EF75" s="113">
        <v>0</v>
      </c>
      <c r="EG75" s="113">
        <v>0</v>
      </c>
      <c r="EH75" s="113">
        <v>0</v>
      </c>
      <c r="EI75" s="113">
        <v>0</v>
      </c>
      <c r="EJ75" s="113">
        <v>0</v>
      </c>
      <c r="EK75" s="113">
        <v>0</v>
      </c>
      <c r="EL75" s="113">
        <v>0</v>
      </c>
      <c r="EM75" s="113">
        <v>0</v>
      </c>
      <c r="EN75" s="113">
        <v>0</v>
      </c>
      <c r="EO75" s="113">
        <v>0</v>
      </c>
      <c r="EP75" s="113">
        <v>0</v>
      </c>
      <c r="EQ75" s="113">
        <v>0</v>
      </c>
      <c r="ER75" s="113">
        <v>0</v>
      </c>
      <c r="ES75" s="113">
        <v>0</v>
      </c>
      <c r="ET75" s="113">
        <v>0</v>
      </c>
      <c r="EU75" s="113">
        <v>0</v>
      </c>
      <c r="EV75" s="113">
        <v>0</v>
      </c>
      <c r="EW75" s="113">
        <v>0</v>
      </c>
      <c r="EX75" s="113">
        <v>0</v>
      </c>
      <c r="EY75" s="113">
        <v>0</v>
      </c>
      <c r="EZ75" s="113">
        <v>0</v>
      </c>
      <c r="FA75" s="113">
        <v>0</v>
      </c>
      <c r="FB75" s="113">
        <v>0</v>
      </c>
      <c r="FC75" s="113">
        <v>0</v>
      </c>
      <c r="FD75" s="113">
        <v>0</v>
      </c>
      <c r="FE75" s="113">
        <v>0</v>
      </c>
      <c r="FF75" s="113">
        <v>0</v>
      </c>
      <c r="FG75" s="113">
        <v>0</v>
      </c>
      <c r="FH75" s="113">
        <v>0</v>
      </c>
      <c r="FI75" s="113">
        <v>0</v>
      </c>
      <c r="FJ75" s="113">
        <v>0</v>
      </c>
      <c r="FK75" s="113">
        <v>0</v>
      </c>
      <c r="FL75" s="113">
        <v>0</v>
      </c>
      <c r="FM75" s="113">
        <v>0</v>
      </c>
      <c r="FN75" s="113">
        <v>0</v>
      </c>
      <c r="FO75" s="113">
        <v>0</v>
      </c>
      <c r="FP75" s="113">
        <v>0</v>
      </c>
      <c r="FQ75" s="113">
        <v>0</v>
      </c>
      <c r="FR75" s="113">
        <v>0</v>
      </c>
      <c r="FS75" s="113">
        <v>0</v>
      </c>
      <c r="FT75" s="113">
        <v>0</v>
      </c>
      <c r="FU75" s="113">
        <v>0</v>
      </c>
      <c r="FV75" s="113">
        <v>0</v>
      </c>
      <c r="FW75" s="113">
        <v>0</v>
      </c>
      <c r="FX75" s="32">
        <v>0</v>
      </c>
      <c r="FY75" s="30">
        <v>0</v>
      </c>
      <c r="FZ75" s="30">
        <v>0</v>
      </c>
    </row>
    <row r="76" spans="1:182" x14ac:dyDescent="0.2">
      <c r="A76" s="28">
        <v>33878</v>
      </c>
      <c r="B76" s="28"/>
      <c r="C76" s="29">
        <v>491769</v>
      </c>
      <c r="D76" s="29">
        <v>170010</v>
      </c>
      <c r="E76" s="29">
        <f t="shared" si="2"/>
        <v>661779</v>
      </c>
      <c r="F76" s="30">
        <v>9414787</v>
      </c>
      <c r="G76" s="30">
        <v>0</v>
      </c>
      <c r="H76" s="30">
        <f t="shared" si="3"/>
        <v>9414787</v>
      </c>
      <c r="I76" s="42" t="s">
        <v>75</v>
      </c>
      <c r="J76" s="42" t="s">
        <v>75</v>
      </c>
      <c r="K76" s="32">
        <v>3817918</v>
      </c>
      <c r="L76" s="31" t="s">
        <v>75</v>
      </c>
      <c r="M76" s="31" t="s">
        <v>75</v>
      </c>
      <c r="N76" s="30">
        <v>11459781</v>
      </c>
      <c r="O76" s="31" t="s">
        <v>75</v>
      </c>
      <c r="P76" s="31" t="s">
        <v>75</v>
      </c>
      <c r="Q76" s="30">
        <v>13885189</v>
      </c>
      <c r="R76" s="31" t="s">
        <v>75</v>
      </c>
      <c r="S76" s="31" t="s">
        <v>75</v>
      </c>
      <c r="T76" s="32">
        <v>218300</v>
      </c>
      <c r="U76" s="31" t="s">
        <v>75</v>
      </c>
      <c r="V76" s="31" t="s">
        <v>75</v>
      </c>
      <c r="W76" s="31" t="s">
        <v>75</v>
      </c>
      <c r="X76" s="31" t="s">
        <v>75</v>
      </c>
      <c r="Y76" s="31" t="s">
        <v>75</v>
      </c>
      <c r="Z76" s="30">
        <v>292126</v>
      </c>
      <c r="AA76" s="31" t="s">
        <v>75</v>
      </c>
      <c r="AB76" s="31" t="s">
        <v>75</v>
      </c>
      <c r="AC76" s="30">
        <v>404541</v>
      </c>
      <c r="AD76" s="31" t="s">
        <v>75</v>
      </c>
      <c r="AE76" s="31" t="s">
        <v>75</v>
      </c>
      <c r="AF76" s="30">
        <v>33739</v>
      </c>
      <c r="AG76" s="42" t="s">
        <v>75</v>
      </c>
      <c r="AH76" s="42" t="s">
        <v>75</v>
      </c>
      <c r="AI76" s="32">
        <v>90643</v>
      </c>
      <c r="AJ76" s="31" t="s">
        <v>75</v>
      </c>
      <c r="AK76" s="31" t="s">
        <v>75</v>
      </c>
      <c r="AL76" s="31" t="s">
        <v>75</v>
      </c>
      <c r="AM76" s="31"/>
      <c r="AN76" s="31"/>
      <c r="AO76" s="31"/>
      <c r="AP76" s="31"/>
      <c r="AQ76" s="31"/>
      <c r="AR76" s="31"/>
      <c r="AS76" s="31" t="s">
        <v>75</v>
      </c>
      <c r="AT76" s="31" t="s">
        <v>75</v>
      </c>
      <c r="AU76" s="31" t="s">
        <v>75</v>
      </c>
      <c r="AV76" s="31" t="s">
        <v>75</v>
      </c>
      <c r="AW76" s="31" t="s">
        <v>75</v>
      </c>
      <c r="AX76" s="31" t="s">
        <v>75</v>
      </c>
      <c r="AY76" s="31" t="s">
        <v>75</v>
      </c>
      <c r="AZ76" s="31" t="s">
        <v>75</v>
      </c>
      <c r="BA76" s="31" t="s">
        <v>75</v>
      </c>
      <c r="BB76" s="31" t="s">
        <v>75</v>
      </c>
      <c r="BC76" s="31" t="s">
        <v>75</v>
      </c>
      <c r="BD76" s="31" t="s">
        <v>75</v>
      </c>
      <c r="BE76" s="113">
        <v>0</v>
      </c>
      <c r="BF76" s="113">
        <v>0</v>
      </c>
      <c r="BG76" s="113">
        <v>0</v>
      </c>
      <c r="BH76" s="113">
        <v>0</v>
      </c>
      <c r="BI76" s="113">
        <v>0</v>
      </c>
      <c r="BJ76" s="113">
        <v>0</v>
      </c>
      <c r="BK76" s="113">
        <v>0</v>
      </c>
      <c r="BL76" s="113">
        <v>0</v>
      </c>
      <c r="BM76" s="113">
        <v>0</v>
      </c>
      <c r="BN76" s="113">
        <v>0</v>
      </c>
      <c r="BO76" s="113">
        <v>0</v>
      </c>
      <c r="BP76" s="113">
        <v>0</v>
      </c>
      <c r="BQ76" s="113">
        <v>0</v>
      </c>
      <c r="BR76" s="113">
        <v>0</v>
      </c>
      <c r="BS76" s="113">
        <v>0</v>
      </c>
      <c r="BT76" s="113">
        <v>0</v>
      </c>
      <c r="BU76" s="113">
        <v>0</v>
      </c>
      <c r="BV76" s="113">
        <v>0</v>
      </c>
      <c r="BW76" s="113"/>
      <c r="BX76" s="113"/>
      <c r="BY76" s="113"/>
      <c r="BZ76" s="113">
        <v>0</v>
      </c>
      <c r="CA76" s="113">
        <v>0</v>
      </c>
      <c r="CB76" s="113">
        <v>0</v>
      </c>
      <c r="CC76" s="113"/>
      <c r="CD76" s="113"/>
      <c r="CE76" s="113"/>
      <c r="CF76" s="113">
        <v>0</v>
      </c>
      <c r="CG76" s="113">
        <v>0</v>
      </c>
      <c r="CH76" s="113">
        <v>0</v>
      </c>
      <c r="CI76" s="113">
        <v>0</v>
      </c>
      <c r="CJ76" s="113">
        <v>0</v>
      </c>
      <c r="CK76" s="113">
        <v>0</v>
      </c>
      <c r="CL76" s="113">
        <v>0</v>
      </c>
      <c r="CM76" s="113">
        <v>0</v>
      </c>
      <c r="CN76" s="113">
        <v>0</v>
      </c>
      <c r="CO76" s="113">
        <v>0</v>
      </c>
      <c r="CP76" s="113">
        <v>0</v>
      </c>
      <c r="CQ76" s="113">
        <v>0</v>
      </c>
      <c r="CR76" s="113">
        <v>0</v>
      </c>
      <c r="CS76" s="113">
        <v>0</v>
      </c>
      <c r="CT76" s="113">
        <v>0</v>
      </c>
      <c r="CU76" s="113">
        <v>0</v>
      </c>
      <c r="CV76" s="113">
        <v>0</v>
      </c>
      <c r="CW76" s="113">
        <v>0</v>
      </c>
      <c r="CX76" s="113">
        <v>0</v>
      </c>
      <c r="CY76" s="113">
        <v>0</v>
      </c>
      <c r="CZ76" s="113">
        <v>0</v>
      </c>
      <c r="DA76" s="113">
        <v>0</v>
      </c>
      <c r="DB76" s="113">
        <v>0</v>
      </c>
      <c r="DC76" s="113">
        <v>0</v>
      </c>
      <c r="DD76" s="113">
        <v>0</v>
      </c>
      <c r="DE76" s="113">
        <v>0</v>
      </c>
      <c r="DF76" s="113">
        <v>0</v>
      </c>
      <c r="DG76" s="113">
        <v>0</v>
      </c>
      <c r="DH76" s="113">
        <v>0</v>
      </c>
      <c r="DI76" s="113">
        <v>0</v>
      </c>
      <c r="DJ76" s="113">
        <v>0</v>
      </c>
      <c r="DK76" s="113">
        <v>0</v>
      </c>
      <c r="DL76" s="113">
        <v>0</v>
      </c>
      <c r="DM76" s="113">
        <v>0</v>
      </c>
      <c r="DN76" s="113">
        <v>0</v>
      </c>
      <c r="DO76" s="113">
        <v>0</v>
      </c>
      <c r="DP76" s="113">
        <v>0</v>
      </c>
      <c r="DQ76" s="113">
        <v>0</v>
      </c>
      <c r="DR76" s="113">
        <v>0</v>
      </c>
      <c r="DS76" s="113">
        <v>0</v>
      </c>
      <c r="DT76" s="113">
        <v>0</v>
      </c>
      <c r="DU76" s="113">
        <v>0</v>
      </c>
      <c r="DV76" s="113">
        <v>0</v>
      </c>
      <c r="DW76" s="113">
        <v>0</v>
      </c>
      <c r="DX76" s="113">
        <v>0</v>
      </c>
      <c r="DY76" s="113">
        <v>0</v>
      </c>
      <c r="DZ76" s="113">
        <v>0</v>
      </c>
      <c r="EA76" s="113">
        <v>0</v>
      </c>
      <c r="EB76" s="113">
        <v>0</v>
      </c>
      <c r="EC76" s="113">
        <v>0</v>
      </c>
      <c r="ED76" s="113">
        <v>0</v>
      </c>
      <c r="EE76" s="113">
        <v>0</v>
      </c>
      <c r="EF76" s="113">
        <v>0</v>
      </c>
      <c r="EG76" s="113">
        <v>0</v>
      </c>
      <c r="EH76" s="113">
        <v>0</v>
      </c>
      <c r="EI76" s="113">
        <v>0</v>
      </c>
      <c r="EJ76" s="113">
        <v>0</v>
      </c>
      <c r="EK76" s="113">
        <v>0</v>
      </c>
      <c r="EL76" s="113">
        <v>0</v>
      </c>
      <c r="EM76" s="113">
        <v>0</v>
      </c>
      <c r="EN76" s="113">
        <v>0</v>
      </c>
      <c r="EO76" s="113">
        <v>0</v>
      </c>
      <c r="EP76" s="113">
        <v>0</v>
      </c>
      <c r="EQ76" s="113">
        <v>0</v>
      </c>
      <c r="ER76" s="113">
        <v>0</v>
      </c>
      <c r="ES76" s="113">
        <v>0</v>
      </c>
      <c r="ET76" s="113">
        <v>0</v>
      </c>
      <c r="EU76" s="113">
        <v>0</v>
      </c>
      <c r="EV76" s="113">
        <v>0</v>
      </c>
      <c r="EW76" s="113">
        <v>0</v>
      </c>
      <c r="EX76" s="113">
        <v>0</v>
      </c>
      <c r="EY76" s="113">
        <v>0</v>
      </c>
      <c r="EZ76" s="113">
        <v>0</v>
      </c>
      <c r="FA76" s="113">
        <v>0</v>
      </c>
      <c r="FB76" s="113">
        <v>0</v>
      </c>
      <c r="FC76" s="113">
        <v>0</v>
      </c>
      <c r="FD76" s="113">
        <v>0</v>
      </c>
      <c r="FE76" s="113">
        <v>0</v>
      </c>
      <c r="FF76" s="113">
        <v>0</v>
      </c>
      <c r="FG76" s="113">
        <v>0</v>
      </c>
      <c r="FH76" s="113">
        <v>0</v>
      </c>
      <c r="FI76" s="113">
        <v>0</v>
      </c>
      <c r="FJ76" s="113">
        <v>0</v>
      </c>
      <c r="FK76" s="113">
        <v>0</v>
      </c>
      <c r="FL76" s="113">
        <v>0</v>
      </c>
      <c r="FM76" s="113">
        <v>0</v>
      </c>
      <c r="FN76" s="113">
        <v>0</v>
      </c>
      <c r="FO76" s="113">
        <v>0</v>
      </c>
      <c r="FP76" s="113">
        <v>0</v>
      </c>
      <c r="FQ76" s="113">
        <v>0</v>
      </c>
      <c r="FR76" s="113">
        <v>0</v>
      </c>
      <c r="FS76" s="113">
        <v>0</v>
      </c>
      <c r="FT76" s="113">
        <v>0</v>
      </c>
      <c r="FU76" s="113">
        <v>0</v>
      </c>
      <c r="FV76" s="113">
        <v>0</v>
      </c>
      <c r="FW76" s="113">
        <v>0</v>
      </c>
      <c r="FX76" s="32">
        <v>0</v>
      </c>
      <c r="FY76" s="30">
        <v>0</v>
      </c>
      <c r="FZ76" s="30">
        <v>0</v>
      </c>
    </row>
    <row r="77" spans="1:182" x14ac:dyDescent="0.2">
      <c r="A77" s="28">
        <v>33909</v>
      </c>
      <c r="B77" s="28"/>
      <c r="C77" s="29">
        <v>179994</v>
      </c>
      <c r="D77" s="29">
        <v>154378</v>
      </c>
      <c r="E77" s="29">
        <f t="shared" si="2"/>
        <v>334372</v>
      </c>
      <c r="F77" s="30">
        <v>9196223</v>
      </c>
      <c r="G77" s="30">
        <v>0</v>
      </c>
      <c r="H77" s="30">
        <f t="shared" si="3"/>
        <v>9196223</v>
      </c>
      <c r="I77" s="42" t="s">
        <v>75</v>
      </c>
      <c r="J77" s="42" t="s">
        <v>75</v>
      </c>
      <c r="K77" s="32">
        <v>3658720</v>
      </c>
      <c r="L77" s="31" t="s">
        <v>75</v>
      </c>
      <c r="M77" s="31" t="s">
        <v>75</v>
      </c>
      <c r="N77" s="30">
        <v>10948347</v>
      </c>
      <c r="O77" s="31" t="s">
        <v>75</v>
      </c>
      <c r="P77" s="31" t="s">
        <v>75</v>
      </c>
      <c r="Q77" s="30">
        <v>13477515</v>
      </c>
      <c r="R77" s="31" t="s">
        <v>75</v>
      </c>
      <c r="S77" s="31" t="s">
        <v>75</v>
      </c>
      <c r="T77" s="32">
        <v>113804</v>
      </c>
      <c r="U77" s="31" t="s">
        <v>75</v>
      </c>
      <c r="V77" s="31" t="s">
        <v>75</v>
      </c>
      <c r="W77" s="31" t="s">
        <v>75</v>
      </c>
      <c r="X77" s="31" t="s">
        <v>75</v>
      </c>
      <c r="Y77" s="31" t="s">
        <v>75</v>
      </c>
      <c r="Z77" s="30">
        <v>160990</v>
      </c>
      <c r="AA77" s="31" t="s">
        <v>75</v>
      </c>
      <c r="AB77" s="31" t="s">
        <v>75</v>
      </c>
      <c r="AC77" s="30">
        <v>249918</v>
      </c>
      <c r="AD77" s="31" t="s">
        <v>75</v>
      </c>
      <c r="AE77" s="31" t="s">
        <v>75</v>
      </c>
      <c r="AF77" s="30">
        <v>30164</v>
      </c>
      <c r="AG77" s="42" t="s">
        <v>75</v>
      </c>
      <c r="AH77" s="42" t="s">
        <v>75</v>
      </c>
      <c r="AI77" s="32">
        <v>74472</v>
      </c>
      <c r="AJ77" s="31" t="s">
        <v>75</v>
      </c>
      <c r="AK77" s="31" t="s">
        <v>75</v>
      </c>
      <c r="AL77" s="31" t="s">
        <v>75</v>
      </c>
      <c r="AM77" s="31"/>
      <c r="AN77" s="31"/>
      <c r="AO77" s="31"/>
      <c r="AP77" s="31"/>
      <c r="AQ77" s="31"/>
      <c r="AR77" s="31"/>
      <c r="AS77" s="31" t="s">
        <v>75</v>
      </c>
      <c r="AT77" s="31" t="s">
        <v>75</v>
      </c>
      <c r="AU77" s="31" t="s">
        <v>75</v>
      </c>
      <c r="AV77" s="31" t="s">
        <v>75</v>
      </c>
      <c r="AW77" s="31" t="s">
        <v>75</v>
      </c>
      <c r="AX77" s="31" t="s">
        <v>75</v>
      </c>
      <c r="AY77" s="31" t="s">
        <v>75</v>
      </c>
      <c r="AZ77" s="31" t="s">
        <v>75</v>
      </c>
      <c r="BA77" s="31" t="s">
        <v>75</v>
      </c>
      <c r="BB77" s="31" t="s">
        <v>75</v>
      </c>
      <c r="BC77" s="31" t="s">
        <v>75</v>
      </c>
      <c r="BD77" s="31" t="s">
        <v>75</v>
      </c>
      <c r="BE77" s="113">
        <v>0</v>
      </c>
      <c r="BF77" s="113">
        <v>0</v>
      </c>
      <c r="BG77" s="113">
        <v>0</v>
      </c>
      <c r="BH77" s="113">
        <v>0</v>
      </c>
      <c r="BI77" s="113">
        <v>0</v>
      </c>
      <c r="BJ77" s="113">
        <v>0</v>
      </c>
      <c r="BK77" s="113">
        <v>0</v>
      </c>
      <c r="BL77" s="113">
        <v>0</v>
      </c>
      <c r="BM77" s="113">
        <v>0</v>
      </c>
      <c r="BN77" s="113">
        <v>0</v>
      </c>
      <c r="BO77" s="113">
        <v>0</v>
      </c>
      <c r="BP77" s="113">
        <v>0</v>
      </c>
      <c r="BQ77" s="113">
        <v>0</v>
      </c>
      <c r="BR77" s="113">
        <v>0</v>
      </c>
      <c r="BS77" s="113">
        <v>0</v>
      </c>
      <c r="BT77" s="113">
        <v>0</v>
      </c>
      <c r="BU77" s="113">
        <v>0</v>
      </c>
      <c r="BV77" s="113">
        <v>0</v>
      </c>
      <c r="BW77" s="113"/>
      <c r="BX77" s="113"/>
      <c r="BY77" s="113"/>
      <c r="BZ77" s="113">
        <v>0</v>
      </c>
      <c r="CA77" s="113">
        <v>0</v>
      </c>
      <c r="CB77" s="113">
        <v>0</v>
      </c>
      <c r="CC77" s="113"/>
      <c r="CD77" s="113"/>
      <c r="CE77" s="113"/>
      <c r="CF77" s="113">
        <v>0</v>
      </c>
      <c r="CG77" s="113">
        <v>0</v>
      </c>
      <c r="CH77" s="113">
        <v>0</v>
      </c>
      <c r="CI77" s="113">
        <v>0</v>
      </c>
      <c r="CJ77" s="113">
        <v>0</v>
      </c>
      <c r="CK77" s="113">
        <v>0</v>
      </c>
      <c r="CL77" s="113">
        <v>0</v>
      </c>
      <c r="CM77" s="113">
        <v>0</v>
      </c>
      <c r="CN77" s="113">
        <v>0</v>
      </c>
      <c r="CO77" s="113">
        <v>0</v>
      </c>
      <c r="CP77" s="113">
        <v>0</v>
      </c>
      <c r="CQ77" s="113">
        <v>0</v>
      </c>
      <c r="CR77" s="113">
        <v>0</v>
      </c>
      <c r="CS77" s="113">
        <v>0</v>
      </c>
      <c r="CT77" s="113">
        <v>0</v>
      </c>
      <c r="CU77" s="113">
        <v>0</v>
      </c>
      <c r="CV77" s="113">
        <v>0</v>
      </c>
      <c r="CW77" s="113">
        <v>0</v>
      </c>
      <c r="CX77" s="113">
        <v>0</v>
      </c>
      <c r="CY77" s="113">
        <v>0</v>
      </c>
      <c r="CZ77" s="113">
        <v>0</v>
      </c>
      <c r="DA77" s="113">
        <v>0</v>
      </c>
      <c r="DB77" s="113">
        <v>0</v>
      </c>
      <c r="DC77" s="113">
        <v>0</v>
      </c>
      <c r="DD77" s="113">
        <v>0</v>
      </c>
      <c r="DE77" s="113">
        <v>0</v>
      </c>
      <c r="DF77" s="113">
        <v>0</v>
      </c>
      <c r="DG77" s="113">
        <v>0</v>
      </c>
      <c r="DH77" s="113">
        <v>0</v>
      </c>
      <c r="DI77" s="113">
        <v>0</v>
      </c>
      <c r="DJ77" s="113">
        <v>0</v>
      </c>
      <c r="DK77" s="113">
        <v>0</v>
      </c>
      <c r="DL77" s="113">
        <v>0</v>
      </c>
      <c r="DM77" s="113">
        <v>0</v>
      </c>
      <c r="DN77" s="113">
        <v>0</v>
      </c>
      <c r="DO77" s="113">
        <v>0</v>
      </c>
      <c r="DP77" s="113">
        <v>0</v>
      </c>
      <c r="DQ77" s="113">
        <v>0</v>
      </c>
      <c r="DR77" s="113">
        <v>0</v>
      </c>
      <c r="DS77" s="113">
        <v>0</v>
      </c>
      <c r="DT77" s="113">
        <v>0</v>
      </c>
      <c r="DU77" s="113">
        <v>0</v>
      </c>
      <c r="DV77" s="113">
        <v>0</v>
      </c>
      <c r="DW77" s="113">
        <v>0</v>
      </c>
      <c r="DX77" s="113">
        <v>0</v>
      </c>
      <c r="DY77" s="113">
        <v>0</v>
      </c>
      <c r="DZ77" s="113">
        <v>0</v>
      </c>
      <c r="EA77" s="113">
        <v>0</v>
      </c>
      <c r="EB77" s="113">
        <v>0</v>
      </c>
      <c r="EC77" s="113">
        <v>0</v>
      </c>
      <c r="ED77" s="113">
        <v>0</v>
      </c>
      <c r="EE77" s="113">
        <v>0</v>
      </c>
      <c r="EF77" s="113">
        <v>0</v>
      </c>
      <c r="EG77" s="113">
        <v>0</v>
      </c>
      <c r="EH77" s="113">
        <v>0</v>
      </c>
      <c r="EI77" s="113">
        <v>0</v>
      </c>
      <c r="EJ77" s="113">
        <v>0</v>
      </c>
      <c r="EK77" s="113">
        <v>0</v>
      </c>
      <c r="EL77" s="113">
        <v>0</v>
      </c>
      <c r="EM77" s="113">
        <v>0</v>
      </c>
      <c r="EN77" s="113">
        <v>0</v>
      </c>
      <c r="EO77" s="113">
        <v>0</v>
      </c>
      <c r="EP77" s="113">
        <v>0</v>
      </c>
      <c r="EQ77" s="113">
        <v>0</v>
      </c>
      <c r="ER77" s="113">
        <v>0</v>
      </c>
      <c r="ES77" s="113">
        <v>0</v>
      </c>
      <c r="ET77" s="113">
        <v>0</v>
      </c>
      <c r="EU77" s="113">
        <v>0</v>
      </c>
      <c r="EV77" s="113">
        <v>0</v>
      </c>
      <c r="EW77" s="113">
        <v>0</v>
      </c>
      <c r="EX77" s="113">
        <v>0</v>
      </c>
      <c r="EY77" s="113">
        <v>0</v>
      </c>
      <c r="EZ77" s="113">
        <v>0</v>
      </c>
      <c r="FA77" s="113">
        <v>0</v>
      </c>
      <c r="FB77" s="113">
        <v>0</v>
      </c>
      <c r="FC77" s="113">
        <v>0</v>
      </c>
      <c r="FD77" s="113">
        <v>0</v>
      </c>
      <c r="FE77" s="113">
        <v>0</v>
      </c>
      <c r="FF77" s="113">
        <v>0</v>
      </c>
      <c r="FG77" s="113">
        <v>0</v>
      </c>
      <c r="FH77" s="113">
        <v>0</v>
      </c>
      <c r="FI77" s="113">
        <v>0</v>
      </c>
      <c r="FJ77" s="113">
        <v>0</v>
      </c>
      <c r="FK77" s="113">
        <v>0</v>
      </c>
      <c r="FL77" s="113">
        <v>0</v>
      </c>
      <c r="FM77" s="113">
        <v>0</v>
      </c>
      <c r="FN77" s="113">
        <v>0</v>
      </c>
      <c r="FO77" s="113">
        <v>0</v>
      </c>
      <c r="FP77" s="113">
        <v>0</v>
      </c>
      <c r="FQ77" s="113">
        <v>0</v>
      </c>
      <c r="FR77" s="113">
        <v>0</v>
      </c>
      <c r="FS77" s="113">
        <v>0</v>
      </c>
      <c r="FT77" s="113">
        <v>0</v>
      </c>
      <c r="FU77" s="113">
        <v>0</v>
      </c>
      <c r="FV77" s="113">
        <v>0</v>
      </c>
      <c r="FW77" s="113">
        <v>0</v>
      </c>
      <c r="FX77" s="32">
        <v>0</v>
      </c>
      <c r="FY77" s="30">
        <v>0</v>
      </c>
      <c r="FZ77" s="30">
        <v>0</v>
      </c>
    </row>
    <row r="78" spans="1:182" x14ac:dyDescent="0.2">
      <c r="A78" s="28">
        <v>33939</v>
      </c>
      <c r="B78" s="28"/>
      <c r="C78" s="29">
        <v>357667</v>
      </c>
      <c r="D78" s="29">
        <v>251948</v>
      </c>
      <c r="E78" s="29">
        <f t="shared" si="2"/>
        <v>609615</v>
      </c>
      <c r="F78" s="30">
        <v>12232940</v>
      </c>
      <c r="G78" s="30">
        <v>0</v>
      </c>
      <c r="H78" s="30">
        <f t="shared" si="3"/>
        <v>12232940</v>
      </c>
      <c r="I78" s="42" t="s">
        <v>75</v>
      </c>
      <c r="J78" s="42" t="s">
        <v>75</v>
      </c>
      <c r="K78" s="32">
        <v>5829712</v>
      </c>
      <c r="L78" s="31" t="s">
        <v>75</v>
      </c>
      <c r="M78" s="31" t="s">
        <v>75</v>
      </c>
      <c r="N78" s="30">
        <v>18916953</v>
      </c>
      <c r="O78" s="31" t="s">
        <v>75</v>
      </c>
      <c r="P78" s="31" t="s">
        <v>75</v>
      </c>
      <c r="Q78" s="30">
        <v>8750318</v>
      </c>
      <c r="R78" s="31" t="s">
        <v>75</v>
      </c>
      <c r="S78" s="31" t="s">
        <v>75</v>
      </c>
      <c r="T78" s="32">
        <v>44143</v>
      </c>
      <c r="U78" s="31" t="s">
        <v>75</v>
      </c>
      <c r="V78" s="31" t="s">
        <v>75</v>
      </c>
      <c r="W78" s="31" t="s">
        <v>75</v>
      </c>
      <c r="X78" s="31" t="s">
        <v>75</v>
      </c>
      <c r="Y78" s="31" t="s">
        <v>75</v>
      </c>
      <c r="Z78" s="30">
        <v>221139</v>
      </c>
      <c r="AA78" s="31" t="s">
        <v>75</v>
      </c>
      <c r="AB78" s="31" t="s">
        <v>75</v>
      </c>
      <c r="AC78" s="30">
        <v>454195</v>
      </c>
      <c r="AD78" s="31" t="s">
        <v>75</v>
      </c>
      <c r="AE78" s="31" t="s">
        <v>75</v>
      </c>
      <c r="AF78" s="30">
        <v>70116</v>
      </c>
      <c r="AG78" s="42" t="s">
        <v>75</v>
      </c>
      <c r="AH78" s="42" t="s">
        <v>75</v>
      </c>
      <c r="AI78" s="32">
        <v>115619</v>
      </c>
      <c r="AJ78" s="31" t="s">
        <v>75</v>
      </c>
      <c r="AK78" s="31" t="s">
        <v>75</v>
      </c>
      <c r="AL78" s="31" t="s">
        <v>75</v>
      </c>
      <c r="AM78" s="31"/>
      <c r="AN78" s="31"/>
      <c r="AO78" s="31"/>
      <c r="AP78" s="31"/>
      <c r="AQ78" s="31"/>
      <c r="AR78" s="31"/>
      <c r="AS78" s="31" t="s">
        <v>75</v>
      </c>
      <c r="AT78" s="31" t="s">
        <v>75</v>
      </c>
      <c r="AU78" s="31" t="s">
        <v>75</v>
      </c>
      <c r="AV78" s="31" t="s">
        <v>75</v>
      </c>
      <c r="AW78" s="31" t="s">
        <v>75</v>
      </c>
      <c r="AX78" s="31" t="s">
        <v>75</v>
      </c>
      <c r="AY78" s="31" t="s">
        <v>75</v>
      </c>
      <c r="AZ78" s="31" t="s">
        <v>75</v>
      </c>
      <c r="BA78" s="31" t="s">
        <v>75</v>
      </c>
      <c r="BB78" s="31" t="s">
        <v>75</v>
      </c>
      <c r="BC78" s="31" t="s">
        <v>75</v>
      </c>
      <c r="BD78" s="31" t="s">
        <v>75</v>
      </c>
      <c r="BE78" s="113">
        <v>0</v>
      </c>
      <c r="BF78" s="113">
        <v>0</v>
      </c>
      <c r="BG78" s="113">
        <v>0</v>
      </c>
      <c r="BH78" s="113">
        <v>0</v>
      </c>
      <c r="BI78" s="113">
        <v>0</v>
      </c>
      <c r="BJ78" s="113">
        <v>0</v>
      </c>
      <c r="BK78" s="113">
        <v>0</v>
      </c>
      <c r="BL78" s="113">
        <v>0</v>
      </c>
      <c r="BM78" s="113">
        <v>0</v>
      </c>
      <c r="BN78" s="113">
        <v>0</v>
      </c>
      <c r="BO78" s="113">
        <v>0</v>
      </c>
      <c r="BP78" s="113">
        <v>0</v>
      </c>
      <c r="BQ78" s="113">
        <v>0</v>
      </c>
      <c r="BR78" s="113">
        <v>0</v>
      </c>
      <c r="BS78" s="113">
        <v>0</v>
      </c>
      <c r="BT78" s="113">
        <v>0</v>
      </c>
      <c r="BU78" s="113">
        <v>0</v>
      </c>
      <c r="BV78" s="113">
        <v>0</v>
      </c>
      <c r="BW78" s="113"/>
      <c r="BX78" s="113"/>
      <c r="BY78" s="113"/>
      <c r="BZ78" s="113">
        <v>0</v>
      </c>
      <c r="CA78" s="113">
        <v>0</v>
      </c>
      <c r="CB78" s="113">
        <v>0</v>
      </c>
      <c r="CC78" s="113"/>
      <c r="CD78" s="113"/>
      <c r="CE78" s="113"/>
      <c r="CF78" s="113">
        <v>0</v>
      </c>
      <c r="CG78" s="113">
        <v>0</v>
      </c>
      <c r="CH78" s="113">
        <v>0</v>
      </c>
      <c r="CI78" s="113">
        <v>0</v>
      </c>
      <c r="CJ78" s="113">
        <v>0</v>
      </c>
      <c r="CK78" s="113">
        <v>0</v>
      </c>
      <c r="CL78" s="113">
        <v>0</v>
      </c>
      <c r="CM78" s="113">
        <v>0</v>
      </c>
      <c r="CN78" s="113">
        <v>0</v>
      </c>
      <c r="CO78" s="113">
        <v>0</v>
      </c>
      <c r="CP78" s="113">
        <v>0</v>
      </c>
      <c r="CQ78" s="113">
        <v>0</v>
      </c>
      <c r="CR78" s="113">
        <v>0</v>
      </c>
      <c r="CS78" s="113">
        <v>0</v>
      </c>
      <c r="CT78" s="113">
        <v>0</v>
      </c>
      <c r="CU78" s="113">
        <v>0</v>
      </c>
      <c r="CV78" s="113">
        <v>0</v>
      </c>
      <c r="CW78" s="113">
        <v>0</v>
      </c>
      <c r="CX78" s="113">
        <v>0</v>
      </c>
      <c r="CY78" s="113">
        <v>0</v>
      </c>
      <c r="CZ78" s="113">
        <v>0</v>
      </c>
      <c r="DA78" s="113">
        <v>0</v>
      </c>
      <c r="DB78" s="113">
        <v>0</v>
      </c>
      <c r="DC78" s="113">
        <v>0</v>
      </c>
      <c r="DD78" s="113">
        <v>0</v>
      </c>
      <c r="DE78" s="113">
        <v>0</v>
      </c>
      <c r="DF78" s="113">
        <v>0</v>
      </c>
      <c r="DG78" s="113">
        <v>0</v>
      </c>
      <c r="DH78" s="113">
        <v>0</v>
      </c>
      <c r="DI78" s="113">
        <v>0</v>
      </c>
      <c r="DJ78" s="113">
        <v>0</v>
      </c>
      <c r="DK78" s="113">
        <v>0</v>
      </c>
      <c r="DL78" s="113">
        <v>0</v>
      </c>
      <c r="DM78" s="113">
        <v>0</v>
      </c>
      <c r="DN78" s="113">
        <v>0</v>
      </c>
      <c r="DO78" s="113">
        <v>0</v>
      </c>
      <c r="DP78" s="113">
        <v>0</v>
      </c>
      <c r="DQ78" s="113">
        <v>0</v>
      </c>
      <c r="DR78" s="113">
        <v>0</v>
      </c>
      <c r="DS78" s="113">
        <v>0</v>
      </c>
      <c r="DT78" s="113">
        <v>0</v>
      </c>
      <c r="DU78" s="113">
        <v>0</v>
      </c>
      <c r="DV78" s="113">
        <v>0</v>
      </c>
      <c r="DW78" s="113">
        <v>0</v>
      </c>
      <c r="DX78" s="113">
        <v>0</v>
      </c>
      <c r="DY78" s="113">
        <v>0</v>
      </c>
      <c r="DZ78" s="113">
        <v>0</v>
      </c>
      <c r="EA78" s="113">
        <v>0</v>
      </c>
      <c r="EB78" s="113">
        <v>0</v>
      </c>
      <c r="EC78" s="113">
        <v>0</v>
      </c>
      <c r="ED78" s="113">
        <v>0</v>
      </c>
      <c r="EE78" s="113">
        <v>0</v>
      </c>
      <c r="EF78" s="113">
        <v>0</v>
      </c>
      <c r="EG78" s="113">
        <v>0</v>
      </c>
      <c r="EH78" s="113">
        <v>0</v>
      </c>
      <c r="EI78" s="113">
        <v>0</v>
      </c>
      <c r="EJ78" s="113">
        <v>0</v>
      </c>
      <c r="EK78" s="113">
        <v>0</v>
      </c>
      <c r="EL78" s="113">
        <v>0</v>
      </c>
      <c r="EM78" s="113">
        <v>0</v>
      </c>
      <c r="EN78" s="113">
        <v>0</v>
      </c>
      <c r="EO78" s="113">
        <v>0</v>
      </c>
      <c r="EP78" s="113">
        <v>0</v>
      </c>
      <c r="EQ78" s="113">
        <v>0</v>
      </c>
      <c r="ER78" s="113">
        <v>0</v>
      </c>
      <c r="ES78" s="113">
        <v>0</v>
      </c>
      <c r="ET78" s="113">
        <v>0</v>
      </c>
      <c r="EU78" s="113">
        <v>0</v>
      </c>
      <c r="EV78" s="113">
        <v>0</v>
      </c>
      <c r="EW78" s="113">
        <v>0</v>
      </c>
      <c r="EX78" s="113">
        <v>0</v>
      </c>
      <c r="EY78" s="113">
        <v>0</v>
      </c>
      <c r="EZ78" s="113">
        <v>0</v>
      </c>
      <c r="FA78" s="113">
        <v>0</v>
      </c>
      <c r="FB78" s="113">
        <v>0</v>
      </c>
      <c r="FC78" s="113">
        <v>0</v>
      </c>
      <c r="FD78" s="113">
        <v>0</v>
      </c>
      <c r="FE78" s="113">
        <v>0</v>
      </c>
      <c r="FF78" s="113">
        <v>0</v>
      </c>
      <c r="FG78" s="113">
        <v>0</v>
      </c>
      <c r="FH78" s="113">
        <v>0</v>
      </c>
      <c r="FI78" s="113">
        <v>0</v>
      </c>
      <c r="FJ78" s="113">
        <v>0</v>
      </c>
      <c r="FK78" s="113">
        <v>0</v>
      </c>
      <c r="FL78" s="113">
        <v>0</v>
      </c>
      <c r="FM78" s="113">
        <v>0</v>
      </c>
      <c r="FN78" s="113">
        <v>0</v>
      </c>
      <c r="FO78" s="113">
        <v>0</v>
      </c>
      <c r="FP78" s="113">
        <v>0</v>
      </c>
      <c r="FQ78" s="113">
        <v>0</v>
      </c>
      <c r="FR78" s="113">
        <v>0</v>
      </c>
      <c r="FS78" s="113">
        <v>0</v>
      </c>
      <c r="FT78" s="113">
        <v>0</v>
      </c>
      <c r="FU78" s="113">
        <v>0</v>
      </c>
      <c r="FV78" s="113">
        <v>0</v>
      </c>
      <c r="FW78" s="113">
        <v>0</v>
      </c>
      <c r="FX78" s="32">
        <v>0</v>
      </c>
      <c r="FY78" s="30">
        <v>0</v>
      </c>
      <c r="FZ78" s="30">
        <v>0</v>
      </c>
    </row>
    <row r="79" spans="1:182" x14ac:dyDescent="0.2">
      <c r="A79" s="28">
        <v>33970</v>
      </c>
      <c r="B79" s="28"/>
      <c r="C79" s="29">
        <v>71041</v>
      </c>
      <c r="D79" s="29">
        <v>84621</v>
      </c>
      <c r="E79" s="29">
        <f t="shared" si="2"/>
        <v>155662</v>
      </c>
      <c r="F79" s="30">
        <v>10262920</v>
      </c>
      <c r="G79" s="30">
        <v>0</v>
      </c>
      <c r="H79" s="30">
        <f t="shared" si="3"/>
        <v>10262920</v>
      </c>
      <c r="I79" s="42" t="s">
        <v>75</v>
      </c>
      <c r="J79" s="42" t="s">
        <v>75</v>
      </c>
      <c r="K79" s="32">
        <v>5313134</v>
      </c>
      <c r="L79" s="31" t="s">
        <v>75</v>
      </c>
      <c r="M79" s="31" t="s">
        <v>75</v>
      </c>
      <c r="N79" s="30">
        <v>13349560</v>
      </c>
      <c r="O79" s="31" t="s">
        <v>75</v>
      </c>
      <c r="P79" s="31" t="s">
        <v>75</v>
      </c>
      <c r="Q79" s="30">
        <v>19189069</v>
      </c>
      <c r="R79" s="31" t="s">
        <v>75</v>
      </c>
      <c r="S79" s="31" t="s">
        <v>75</v>
      </c>
      <c r="T79" s="32">
        <v>28079</v>
      </c>
      <c r="U79" s="31" t="s">
        <v>75</v>
      </c>
      <c r="V79" s="31" t="s">
        <v>75</v>
      </c>
      <c r="W79" s="31" t="s">
        <v>75</v>
      </c>
      <c r="X79" s="31" t="s">
        <v>75</v>
      </c>
      <c r="Y79" s="31" t="s">
        <v>75</v>
      </c>
      <c r="Z79" s="30">
        <v>58113</v>
      </c>
      <c r="AA79" s="31" t="s">
        <v>75</v>
      </c>
      <c r="AB79" s="31" t="s">
        <v>75</v>
      </c>
      <c r="AC79" s="30">
        <v>176399</v>
      </c>
      <c r="AD79" s="31" t="s">
        <v>75</v>
      </c>
      <c r="AE79" s="31" t="s">
        <v>75</v>
      </c>
      <c r="AF79" s="30">
        <v>6266</v>
      </c>
      <c r="AG79" s="42" t="s">
        <v>75</v>
      </c>
      <c r="AH79" s="42" t="s">
        <v>75</v>
      </c>
      <c r="AI79" s="32">
        <v>53195</v>
      </c>
      <c r="AJ79" s="31" t="s">
        <v>75</v>
      </c>
      <c r="AK79" s="31" t="s">
        <v>75</v>
      </c>
      <c r="AL79" s="31" t="s">
        <v>75</v>
      </c>
      <c r="AM79" s="31"/>
      <c r="AN79" s="31"/>
      <c r="AO79" s="31"/>
      <c r="AP79" s="31"/>
      <c r="AQ79" s="31"/>
      <c r="AR79" s="31"/>
      <c r="AS79" s="31" t="s">
        <v>75</v>
      </c>
      <c r="AT79" s="31" t="s">
        <v>75</v>
      </c>
      <c r="AU79" s="31" t="s">
        <v>75</v>
      </c>
      <c r="AV79" s="31" t="s">
        <v>75</v>
      </c>
      <c r="AW79" s="31" t="s">
        <v>75</v>
      </c>
      <c r="AX79" s="31" t="s">
        <v>75</v>
      </c>
      <c r="AY79" s="31" t="s">
        <v>75</v>
      </c>
      <c r="AZ79" s="31" t="s">
        <v>75</v>
      </c>
      <c r="BA79" s="31" t="s">
        <v>75</v>
      </c>
      <c r="BB79" s="31" t="s">
        <v>75</v>
      </c>
      <c r="BC79" s="31" t="s">
        <v>75</v>
      </c>
      <c r="BD79" s="31" t="s">
        <v>75</v>
      </c>
      <c r="BE79" s="113">
        <v>0</v>
      </c>
      <c r="BF79" s="113">
        <v>0</v>
      </c>
      <c r="BG79" s="113">
        <v>0</v>
      </c>
      <c r="BH79" s="113">
        <v>0</v>
      </c>
      <c r="BI79" s="113">
        <v>0</v>
      </c>
      <c r="BJ79" s="113">
        <v>0</v>
      </c>
      <c r="BK79" s="113">
        <v>0</v>
      </c>
      <c r="BL79" s="113">
        <v>0</v>
      </c>
      <c r="BM79" s="113">
        <v>0</v>
      </c>
      <c r="BN79" s="113">
        <v>0</v>
      </c>
      <c r="BO79" s="113">
        <v>0</v>
      </c>
      <c r="BP79" s="113">
        <v>0</v>
      </c>
      <c r="BQ79" s="113">
        <v>0</v>
      </c>
      <c r="BR79" s="113">
        <v>0</v>
      </c>
      <c r="BS79" s="113">
        <v>0</v>
      </c>
      <c r="BT79" s="113">
        <v>0</v>
      </c>
      <c r="BU79" s="113">
        <v>0</v>
      </c>
      <c r="BV79" s="113">
        <v>0</v>
      </c>
      <c r="BW79" s="113"/>
      <c r="BX79" s="113"/>
      <c r="BY79" s="113"/>
      <c r="BZ79" s="113">
        <v>0</v>
      </c>
      <c r="CA79" s="113">
        <v>0</v>
      </c>
      <c r="CB79" s="113">
        <v>0</v>
      </c>
      <c r="CC79" s="113"/>
      <c r="CD79" s="113"/>
      <c r="CE79" s="113"/>
      <c r="CF79" s="113">
        <v>0</v>
      </c>
      <c r="CG79" s="113">
        <v>0</v>
      </c>
      <c r="CH79" s="113">
        <v>0</v>
      </c>
      <c r="CI79" s="113">
        <v>0</v>
      </c>
      <c r="CJ79" s="113">
        <v>0</v>
      </c>
      <c r="CK79" s="113">
        <v>0</v>
      </c>
      <c r="CL79" s="113">
        <v>0</v>
      </c>
      <c r="CM79" s="113">
        <v>0</v>
      </c>
      <c r="CN79" s="113">
        <v>0</v>
      </c>
      <c r="CO79" s="113">
        <v>0</v>
      </c>
      <c r="CP79" s="113">
        <v>0</v>
      </c>
      <c r="CQ79" s="113">
        <v>0</v>
      </c>
      <c r="CR79" s="113">
        <v>0</v>
      </c>
      <c r="CS79" s="113">
        <v>0</v>
      </c>
      <c r="CT79" s="113">
        <v>0</v>
      </c>
      <c r="CU79" s="113">
        <v>0</v>
      </c>
      <c r="CV79" s="113">
        <v>0</v>
      </c>
      <c r="CW79" s="113">
        <v>0</v>
      </c>
      <c r="CX79" s="113">
        <v>0</v>
      </c>
      <c r="CY79" s="113">
        <v>0</v>
      </c>
      <c r="CZ79" s="113">
        <v>0</v>
      </c>
      <c r="DA79" s="113">
        <v>0</v>
      </c>
      <c r="DB79" s="113">
        <v>0</v>
      </c>
      <c r="DC79" s="113">
        <v>0</v>
      </c>
      <c r="DD79" s="113">
        <v>0</v>
      </c>
      <c r="DE79" s="113">
        <v>0</v>
      </c>
      <c r="DF79" s="113">
        <v>0</v>
      </c>
      <c r="DG79" s="113">
        <v>0</v>
      </c>
      <c r="DH79" s="113">
        <v>0</v>
      </c>
      <c r="DI79" s="113">
        <v>0</v>
      </c>
      <c r="DJ79" s="113">
        <v>0</v>
      </c>
      <c r="DK79" s="113">
        <v>0</v>
      </c>
      <c r="DL79" s="113">
        <v>0</v>
      </c>
      <c r="DM79" s="113">
        <v>0</v>
      </c>
      <c r="DN79" s="113">
        <v>0</v>
      </c>
      <c r="DO79" s="113">
        <v>0</v>
      </c>
      <c r="DP79" s="113">
        <v>0</v>
      </c>
      <c r="DQ79" s="113">
        <v>0</v>
      </c>
      <c r="DR79" s="113">
        <v>0</v>
      </c>
      <c r="DS79" s="113">
        <v>0</v>
      </c>
      <c r="DT79" s="113">
        <v>0</v>
      </c>
      <c r="DU79" s="113">
        <v>0</v>
      </c>
      <c r="DV79" s="113">
        <v>0</v>
      </c>
      <c r="DW79" s="113">
        <v>0</v>
      </c>
      <c r="DX79" s="113">
        <v>0</v>
      </c>
      <c r="DY79" s="113">
        <v>0</v>
      </c>
      <c r="DZ79" s="113">
        <v>0</v>
      </c>
      <c r="EA79" s="113">
        <v>0</v>
      </c>
      <c r="EB79" s="113">
        <v>0</v>
      </c>
      <c r="EC79" s="113">
        <v>0</v>
      </c>
      <c r="ED79" s="113">
        <v>0</v>
      </c>
      <c r="EE79" s="113">
        <v>0</v>
      </c>
      <c r="EF79" s="113">
        <v>0</v>
      </c>
      <c r="EG79" s="113">
        <v>0</v>
      </c>
      <c r="EH79" s="113">
        <v>0</v>
      </c>
      <c r="EI79" s="113">
        <v>0</v>
      </c>
      <c r="EJ79" s="113">
        <v>0</v>
      </c>
      <c r="EK79" s="113">
        <v>0</v>
      </c>
      <c r="EL79" s="113">
        <v>0</v>
      </c>
      <c r="EM79" s="113">
        <v>0</v>
      </c>
      <c r="EN79" s="113">
        <v>0</v>
      </c>
      <c r="EO79" s="113">
        <v>0</v>
      </c>
      <c r="EP79" s="113">
        <v>0</v>
      </c>
      <c r="EQ79" s="113">
        <v>0</v>
      </c>
      <c r="ER79" s="113">
        <v>0</v>
      </c>
      <c r="ES79" s="113">
        <v>0</v>
      </c>
      <c r="ET79" s="113">
        <v>0</v>
      </c>
      <c r="EU79" s="113">
        <v>0</v>
      </c>
      <c r="EV79" s="113">
        <v>0</v>
      </c>
      <c r="EW79" s="113">
        <v>0</v>
      </c>
      <c r="EX79" s="113">
        <v>0</v>
      </c>
      <c r="EY79" s="113">
        <v>0</v>
      </c>
      <c r="EZ79" s="113">
        <v>0</v>
      </c>
      <c r="FA79" s="113">
        <v>0</v>
      </c>
      <c r="FB79" s="113">
        <v>0</v>
      </c>
      <c r="FC79" s="113">
        <v>0</v>
      </c>
      <c r="FD79" s="113">
        <v>0</v>
      </c>
      <c r="FE79" s="113">
        <v>0</v>
      </c>
      <c r="FF79" s="113">
        <v>0</v>
      </c>
      <c r="FG79" s="113">
        <v>0</v>
      </c>
      <c r="FH79" s="113">
        <v>0</v>
      </c>
      <c r="FI79" s="113">
        <v>0</v>
      </c>
      <c r="FJ79" s="113">
        <v>0</v>
      </c>
      <c r="FK79" s="113">
        <v>0</v>
      </c>
      <c r="FL79" s="113">
        <v>0</v>
      </c>
      <c r="FM79" s="113">
        <v>0</v>
      </c>
      <c r="FN79" s="113">
        <v>0</v>
      </c>
      <c r="FO79" s="113">
        <v>0</v>
      </c>
      <c r="FP79" s="113">
        <v>0</v>
      </c>
      <c r="FQ79" s="113">
        <v>0</v>
      </c>
      <c r="FR79" s="113">
        <v>0</v>
      </c>
      <c r="FS79" s="113">
        <v>0</v>
      </c>
      <c r="FT79" s="113">
        <v>0</v>
      </c>
      <c r="FU79" s="113">
        <v>0</v>
      </c>
      <c r="FV79" s="113">
        <v>0</v>
      </c>
      <c r="FW79" s="113">
        <v>0</v>
      </c>
      <c r="FX79" s="32">
        <v>0</v>
      </c>
      <c r="FY79" s="30">
        <v>0</v>
      </c>
      <c r="FZ79" s="30">
        <v>0</v>
      </c>
    </row>
    <row r="80" spans="1:182" x14ac:dyDescent="0.2">
      <c r="A80" s="28">
        <v>34001</v>
      </c>
      <c r="B80" s="28"/>
      <c r="C80" s="29">
        <v>194875</v>
      </c>
      <c r="D80" s="29">
        <v>110568</v>
      </c>
      <c r="E80" s="29">
        <f t="shared" si="2"/>
        <v>305443</v>
      </c>
      <c r="F80" s="30">
        <v>8148590</v>
      </c>
      <c r="G80" s="30">
        <v>0</v>
      </c>
      <c r="H80" s="30">
        <f t="shared" si="3"/>
        <v>8148590</v>
      </c>
      <c r="I80" s="42" t="s">
        <v>75</v>
      </c>
      <c r="J80" s="42" t="s">
        <v>75</v>
      </c>
      <c r="K80" s="32">
        <v>5327093</v>
      </c>
      <c r="L80" s="31" t="s">
        <v>75</v>
      </c>
      <c r="M80" s="31" t="s">
        <v>75</v>
      </c>
      <c r="N80" s="30">
        <v>12702986</v>
      </c>
      <c r="O80" s="31" t="s">
        <v>75</v>
      </c>
      <c r="P80" s="31" t="s">
        <v>75</v>
      </c>
      <c r="Q80" s="30">
        <v>15076756</v>
      </c>
      <c r="R80" s="31" t="s">
        <v>75</v>
      </c>
      <c r="S80" s="31" t="s">
        <v>75</v>
      </c>
      <c r="T80" s="32">
        <v>222697</v>
      </c>
      <c r="U80" s="31" t="s">
        <v>75</v>
      </c>
      <c r="V80" s="31" t="s">
        <v>75</v>
      </c>
      <c r="W80" s="31" t="s">
        <v>75</v>
      </c>
      <c r="X80" s="31" t="s">
        <v>75</v>
      </c>
      <c r="Y80" s="31" t="s">
        <v>75</v>
      </c>
      <c r="Z80" s="30">
        <v>106285</v>
      </c>
      <c r="AA80" s="31" t="s">
        <v>75</v>
      </c>
      <c r="AB80" s="31" t="s">
        <v>75</v>
      </c>
      <c r="AC80" s="30">
        <v>308628</v>
      </c>
      <c r="AD80" s="31" t="s">
        <v>75</v>
      </c>
      <c r="AE80" s="31" t="s">
        <v>75</v>
      </c>
      <c r="AF80" s="30">
        <v>9642</v>
      </c>
      <c r="AG80" s="42" t="s">
        <v>75</v>
      </c>
      <c r="AH80" s="42" t="s">
        <v>75</v>
      </c>
      <c r="AI80" s="32">
        <v>79381</v>
      </c>
      <c r="AJ80" s="31" t="s">
        <v>75</v>
      </c>
      <c r="AK80" s="31" t="s">
        <v>75</v>
      </c>
      <c r="AL80" s="31" t="s">
        <v>75</v>
      </c>
      <c r="AM80" s="31"/>
      <c r="AN80" s="31"/>
      <c r="AO80" s="31"/>
      <c r="AP80" s="31"/>
      <c r="AQ80" s="31"/>
      <c r="AR80" s="31"/>
      <c r="AS80" s="31" t="s">
        <v>75</v>
      </c>
      <c r="AT80" s="31" t="s">
        <v>75</v>
      </c>
      <c r="AU80" s="31" t="s">
        <v>75</v>
      </c>
      <c r="AV80" s="31" t="s">
        <v>75</v>
      </c>
      <c r="AW80" s="31" t="s">
        <v>75</v>
      </c>
      <c r="AX80" s="31" t="s">
        <v>75</v>
      </c>
      <c r="AY80" s="31" t="s">
        <v>75</v>
      </c>
      <c r="AZ80" s="31" t="s">
        <v>75</v>
      </c>
      <c r="BA80" s="31" t="s">
        <v>75</v>
      </c>
      <c r="BB80" s="31" t="s">
        <v>75</v>
      </c>
      <c r="BC80" s="31" t="s">
        <v>75</v>
      </c>
      <c r="BD80" s="31" t="s">
        <v>75</v>
      </c>
      <c r="BE80" s="113">
        <v>0</v>
      </c>
      <c r="BF80" s="113">
        <v>0</v>
      </c>
      <c r="BG80" s="113">
        <v>0</v>
      </c>
      <c r="BH80" s="113">
        <v>0</v>
      </c>
      <c r="BI80" s="113">
        <v>0</v>
      </c>
      <c r="BJ80" s="113">
        <v>0</v>
      </c>
      <c r="BK80" s="113">
        <v>0</v>
      </c>
      <c r="BL80" s="113">
        <v>0</v>
      </c>
      <c r="BM80" s="113">
        <v>0</v>
      </c>
      <c r="BN80" s="113">
        <v>0</v>
      </c>
      <c r="BO80" s="113">
        <v>0</v>
      </c>
      <c r="BP80" s="113">
        <v>0</v>
      </c>
      <c r="BQ80" s="113">
        <v>0</v>
      </c>
      <c r="BR80" s="113">
        <v>0</v>
      </c>
      <c r="BS80" s="113">
        <v>0</v>
      </c>
      <c r="BT80" s="113">
        <v>0</v>
      </c>
      <c r="BU80" s="113">
        <v>0</v>
      </c>
      <c r="BV80" s="113">
        <v>0</v>
      </c>
      <c r="BW80" s="113"/>
      <c r="BX80" s="113"/>
      <c r="BY80" s="113"/>
      <c r="BZ80" s="113">
        <v>0</v>
      </c>
      <c r="CA80" s="113">
        <v>0</v>
      </c>
      <c r="CB80" s="113">
        <v>0</v>
      </c>
      <c r="CC80" s="113"/>
      <c r="CD80" s="113"/>
      <c r="CE80" s="113"/>
      <c r="CF80" s="113">
        <v>0</v>
      </c>
      <c r="CG80" s="113">
        <v>0</v>
      </c>
      <c r="CH80" s="113">
        <v>0</v>
      </c>
      <c r="CI80" s="113">
        <v>0</v>
      </c>
      <c r="CJ80" s="113">
        <v>0</v>
      </c>
      <c r="CK80" s="113">
        <v>0</v>
      </c>
      <c r="CL80" s="113">
        <v>0</v>
      </c>
      <c r="CM80" s="113">
        <v>0</v>
      </c>
      <c r="CN80" s="113">
        <v>0</v>
      </c>
      <c r="CO80" s="113">
        <v>0</v>
      </c>
      <c r="CP80" s="113">
        <v>0</v>
      </c>
      <c r="CQ80" s="113">
        <v>0</v>
      </c>
      <c r="CR80" s="113">
        <v>0</v>
      </c>
      <c r="CS80" s="113">
        <v>0</v>
      </c>
      <c r="CT80" s="113">
        <v>0</v>
      </c>
      <c r="CU80" s="113">
        <v>0</v>
      </c>
      <c r="CV80" s="113">
        <v>0</v>
      </c>
      <c r="CW80" s="113">
        <v>0</v>
      </c>
      <c r="CX80" s="113">
        <v>0</v>
      </c>
      <c r="CY80" s="113">
        <v>0</v>
      </c>
      <c r="CZ80" s="113">
        <v>0</v>
      </c>
      <c r="DA80" s="113">
        <v>0</v>
      </c>
      <c r="DB80" s="113">
        <v>0</v>
      </c>
      <c r="DC80" s="113">
        <v>0</v>
      </c>
      <c r="DD80" s="113">
        <v>0</v>
      </c>
      <c r="DE80" s="113">
        <v>0</v>
      </c>
      <c r="DF80" s="113">
        <v>0</v>
      </c>
      <c r="DG80" s="113">
        <v>0</v>
      </c>
      <c r="DH80" s="113">
        <v>0</v>
      </c>
      <c r="DI80" s="113">
        <v>0</v>
      </c>
      <c r="DJ80" s="113">
        <v>0</v>
      </c>
      <c r="DK80" s="113">
        <v>0</v>
      </c>
      <c r="DL80" s="113">
        <v>0</v>
      </c>
      <c r="DM80" s="113">
        <v>0</v>
      </c>
      <c r="DN80" s="113">
        <v>0</v>
      </c>
      <c r="DO80" s="113">
        <v>0</v>
      </c>
      <c r="DP80" s="113">
        <v>0</v>
      </c>
      <c r="DQ80" s="113">
        <v>0</v>
      </c>
      <c r="DR80" s="113">
        <v>0</v>
      </c>
      <c r="DS80" s="113">
        <v>0</v>
      </c>
      <c r="DT80" s="113">
        <v>0</v>
      </c>
      <c r="DU80" s="113">
        <v>0</v>
      </c>
      <c r="DV80" s="113">
        <v>0</v>
      </c>
      <c r="DW80" s="113">
        <v>0</v>
      </c>
      <c r="DX80" s="113">
        <v>0</v>
      </c>
      <c r="DY80" s="113">
        <v>0</v>
      </c>
      <c r="DZ80" s="113">
        <v>0</v>
      </c>
      <c r="EA80" s="113">
        <v>0</v>
      </c>
      <c r="EB80" s="113">
        <v>0</v>
      </c>
      <c r="EC80" s="113">
        <v>0</v>
      </c>
      <c r="ED80" s="113">
        <v>0</v>
      </c>
      <c r="EE80" s="113">
        <v>0</v>
      </c>
      <c r="EF80" s="113">
        <v>0</v>
      </c>
      <c r="EG80" s="113">
        <v>0</v>
      </c>
      <c r="EH80" s="113">
        <v>0</v>
      </c>
      <c r="EI80" s="113">
        <v>0</v>
      </c>
      <c r="EJ80" s="113">
        <v>0</v>
      </c>
      <c r="EK80" s="113">
        <v>0</v>
      </c>
      <c r="EL80" s="113">
        <v>0</v>
      </c>
      <c r="EM80" s="113">
        <v>0</v>
      </c>
      <c r="EN80" s="113">
        <v>0</v>
      </c>
      <c r="EO80" s="113">
        <v>0</v>
      </c>
      <c r="EP80" s="113">
        <v>0</v>
      </c>
      <c r="EQ80" s="113">
        <v>0</v>
      </c>
      <c r="ER80" s="113">
        <v>0</v>
      </c>
      <c r="ES80" s="113">
        <v>0</v>
      </c>
      <c r="ET80" s="113">
        <v>0</v>
      </c>
      <c r="EU80" s="113">
        <v>0</v>
      </c>
      <c r="EV80" s="113">
        <v>0</v>
      </c>
      <c r="EW80" s="113">
        <v>0</v>
      </c>
      <c r="EX80" s="113">
        <v>0</v>
      </c>
      <c r="EY80" s="113">
        <v>0</v>
      </c>
      <c r="EZ80" s="113">
        <v>0</v>
      </c>
      <c r="FA80" s="113">
        <v>0</v>
      </c>
      <c r="FB80" s="113">
        <v>0</v>
      </c>
      <c r="FC80" s="113">
        <v>0</v>
      </c>
      <c r="FD80" s="113">
        <v>0</v>
      </c>
      <c r="FE80" s="113">
        <v>0</v>
      </c>
      <c r="FF80" s="113">
        <v>0</v>
      </c>
      <c r="FG80" s="113">
        <v>0</v>
      </c>
      <c r="FH80" s="113">
        <v>0</v>
      </c>
      <c r="FI80" s="113">
        <v>0</v>
      </c>
      <c r="FJ80" s="113">
        <v>0</v>
      </c>
      <c r="FK80" s="113">
        <v>0</v>
      </c>
      <c r="FL80" s="113">
        <v>0</v>
      </c>
      <c r="FM80" s="113">
        <v>0</v>
      </c>
      <c r="FN80" s="113">
        <v>0</v>
      </c>
      <c r="FO80" s="113">
        <v>0</v>
      </c>
      <c r="FP80" s="113">
        <v>0</v>
      </c>
      <c r="FQ80" s="113">
        <v>0</v>
      </c>
      <c r="FR80" s="113">
        <v>0</v>
      </c>
      <c r="FS80" s="113">
        <v>0</v>
      </c>
      <c r="FT80" s="113">
        <v>0</v>
      </c>
      <c r="FU80" s="113">
        <v>0</v>
      </c>
      <c r="FV80" s="113">
        <v>0</v>
      </c>
      <c r="FW80" s="113">
        <v>0</v>
      </c>
      <c r="FX80" s="32">
        <v>0</v>
      </c>
      <c r="FY80" s="30">
        <v>0</v>
      </c>
      <c r="FZ80" s="30">
        <v>0</v>
      </c>
    </row>
    <row r="81" spans="1:182" x14ac:dyDescent="0.2">
      <c r="A81" s="28">
        <v>34029</v>
      </c>
      <c r="B81" s="28"/>
      <c r="C81" s="29">
        <v>178387</v>
      </c>
      <c r="D81" s="29">
        <v>77239</v>
      </c>
      <c r="E81" s="29">
        <f t="shared" si="2"/>
        <v>255626</v>
      </c>
      <c r="F81" s="30">
        <v>7359241</v>
      </c>
      <c r="G81" s="30">
        <v>0</v>
      </c>
      <c r="H81" s="30">
        <f t="shared" si="3"/>
        <v>7359241</v>
      </c>
      <c r="I81" s="42" t="s">
        <v>75</v>
      </c>
      <c r="J81" s="42" t="s">
        <v>75</v>
      </c>
      <c r="K81" s="32">
        <v>4967097</v>
      </c>
      <c r="L81" s="31" t="s">
        <v>75</v>
      </c>
      <c r="M81" s="31" t="s">
        <v>75</v>
      </c>
      <c r="N81" s="30">
        <v>13495346</v>
      </c>
      <c r="O81" s="31" t="s">
        <v>75</v>
      </c>
      <c r="P81" s="31" t="s">
        <v>75</v>
      </c>
      <c r="Q81" s="30">
        <v>16674462</v>
      </c>
      <c r="R81" s="31" t="s">
        <v>75</v>
      </c>
      <c r="S81" s="31" t="s">
        <v>75</v>
      </c>
      <c r="T81" s="32">
        <v>231740</v>
      </c>
      <c r="U81" s="31" t="s">
        <v>75</v>
      </c>
      <c r="V81" s="31" t="s">
        <v>75</v>
      </c>
      <c r="W81" s="31" t="s">
        <v>75</v>
      </c>
      <c r="X81" s="31" t="s">
        <v>75</v>
      </c>
      <c r="Y81" s="31" t="s">
        <v>75</v>
      </c>
      <c r="Z81" s="30">
        <v>75770</v>
      </c>
      <c r="AA81" s="31" t="s">
        <v>75</v>
      </c>
      <c r="AB81" s="31" t="s">
        <v>75</v>
      </c>
      <c r="AC81" s="30">
        <v>353115</v>
      </c>
      <c r="AD81" s="31" t="s">
        <v>75</v>
      </c>
      <c r="AE81" s="31" t="s">
        <v>75</v>
      </c>
      <c r="AF81" s="30">
        <v>12222</v>
      </c>
      <c r="AG81" s="42" t="s">
        <v>75</v>
      </c>
      <c r="AH81" s="42" t="s">
        <v>75</v>
      </c>
      <c r="AI81" s="32">
        <v>82865</v>
      </c>
      <c r="AJ81" s="31" t="s">
        <v>75</v>
      </c>
      <c r="AK81" s="31" t="s">
        <v>75</v>
      </c>
      <c r="AL81" s="31" t="s">
        <v>75</v>
      </c>
      <c r="AM81" s="31"/>
      <c r="AN81" s="31"/>
      <c r="AO81" s="31"/>
      <c r="AP81" s="31"/>
      <c r="AQ81" s="31"/>
      <c r="AR81" s="31"/>
      <c r="AS81" s="31" t="s">
        <v>75</v>
      </c>
      <c r="AT81" s="31" t="s">
        <v>75</v>
      </c>
      <c r="AU81" s="31" t="s">
        <v>75</v>
      </c>
      <c r="AV81" s="31" t="s">
        <v>75</v>
      </c>
      <c r="AW81" s="31" t="s">
        <v>75</v>
      </c>
      <c r="AX81" s="31" t="s">
        <v>75</v>
      </c>
      <c r="AY81" s="31" t="s">
        <v>75</v>
      </c>
      <c r="AZ81" s="31" t="s">
        <v>75</v>
      </c>
      <c r="BA81" s="31" t="s">
        <v>75</v>
      </c>
      <c r="BB81" s="31" t="s">
        <v>75</v>
      </c>
      <c r="BC81" s="31" t="s">
        <v>75</v>
      </c>
      <c r="BD81" s="31" t="s">
        <v>75</v>
      </c>
      <c r="BE81" s="113">
        <v>0</v>
      </c>
      <c r="BF81" s="113">
        <v>0</v>
      </c>
      <c r="BG81" s="113">
        <v>0</v>
      </c>
      <c r="BH81" s="113">
        <v>0</v>
      </c>
      <c r="BI81" s="113">
        <v>0</v>
      </c>
      <c r="BJ81" s="113">
        <v>0</v>
      </c>
      <c r="BK81" s="113">
        <v>0</v>
      </c>
      <c r="BL81" s="113">
        <v>0</v>
      </c>
      <c r="BM81" s="113">
        <v>0</v>
      </c>
      <c r="BN81" s="113">
        <v>0</v>
      </c>
      <c r="BO81" s="113">
        <v>0</v>
      </c>
      <c r="BP81" s="113">
        <v>0</v>
      </c>
      <c r="BQ81" s="113">
        <v>0</v>
      </c>
      <c r="BR81" s="113">
        <v>0</v>
      </c>
      <c r="BS81" s="113">
        <v>0</v>
      </c>
      <c r="BT81" s="113">
        <v>0</v>
      </c>
      <c r="BU81" s="113">
        <v>0</v>
      </c>
      <c r="BV81" s="113">
        <v>0</v>
      </c>
      <c r="BW81" s="113"/>
      <c r="BX81" s="113"/>
      <c r="BY81" s="113"/>
      <c r="BZ81" s="113">
        <v>0</v>
      </c>
      <c r="CA81" s="113">
        <v>0</v>
      </c>
      <c r="CB81" s="113">
        <v>0</v>
      </c>
      <c r="CC81" s="113"/>
      <c r="CD81" s="113"/>
      <c r="CE81" s="113"/>
      <c r="CF81" s="113">
        <v>0</v>
      </c>
      <c r="CG81" s="113">
        <v>0</v>
      </c>
      <c r="CH81" s="113">
        <v>0</v>
      </c>
      <c r="CI81" s="113">
        <v>0</v>
      </c>
      <c r="CJ81" s="113">
        <v>0</v>
      </c>
      <c r="CK81" s="113">
        <v>0</v>
      </c>
      <c r="CL81" s="113">
        <v>0</v>
      </c>
      <c r="CM81" s="113">
        <v>0</v>
      </c>
      <c r="CN81" s="113">
        <v>0</v>
      </c>
      <c r="CO81" s="113">
        <v>0</v>
      </c>
      <c r="CP81" s="113">
        <v>0</v>
      </c>
      <c r="CQ81" s="113">
        <v>0</v>
      </c>
      <c r="CR81" s="113">
        <v>0</v>
      </c>
      <c r="CS81" s="113">
        <v>0</v>
      </c>
      <c r="CT81" s="113">
        <v>0</v>
      </c>
      <c r="CU81" s="113">
        <v>0</v>
      </c>
      <c r="CV81" s="113">
        <v>0</v>
      </c>
      <c r="CW81" s="113">
        <v>0</v>
      </c>
      <c r="CX81" s="113">
        <v>0</v>
      </c>
      <c r="CY81" s="113">
        <v>0</v>
      </c>
      <c r="CZ81" s="113">
        <v>0</v>
      </c>
      <c r="DA81" s="113">
        <v>0</v>
      </c>
      <c r="DB81" s="113">
        <v>0</v>
      </c>
      <c r="DC81" s="113">
        <v>0</v>
      </c>
      <c r="DD81" s="113">
        <v>0</v>
      </c>
      <c r="DE81" s="113">
        <v>0</v>
      </c>
      <c r="DF81" s="113">
        <v>0</v>
      </c>
      <c r="DG81" s="113">
        <v>0</v>
      </c>
      <c r="DH81" s="113">
        <v>0</v>
      </c>
      <c r="DI81" s="113">
        <v>0</v>
      </c>
      <c r="DJ81" s="113">
        <v>0</v>
      </c>
      <c r="DK81" s="113">
        <v>0</v>
      </c>
      <c r="DL81" s="113">
        <v>0</v>
      </c>
      <c r="DM81" s="113">
        <v>0</v>
      </c>
      <c r="DN81" s="113">
        <v>0</v>
      </c>
      <c r="DO81" s="113">
        <v>0</v>
      </c>
      <c r="DP81" s="113">
        <v>0</v>
      </c>
      <c r="DQ81" s="113">
        <v>0</v>
      </c>
      <c r="DR81" s="113">
        <v>0</v>
      </c>
      <c r="DS81" s="113">
        <v>0</v>
      </c>
      <c r="DT81" s="113">
        <v>0</v>
      </c>
      <c r="DU81" s="113">
        <v>0</v>
      </c>
      <c r="DV81" s="113">
        <v>0</v>
      </c>
      <c r="DW81" s="113">
        <v>0</v>
      </c>
      <c r="DX81" s="113">
        <v>0</v>
      </c>
      <c r="DY81" s="113">
        <v>0</v>
      </c>
      <c r="DZ81" s="113">
        <v>0</v>
      </c>
      <c r="EA81" s="113">
        <v>0</v>
      </c>
      <c r="EB81" s="113">
        <v>0</v>
      </c>
      <c r="EC81" s="113">
        <v>0</v>
      </c>
      <c r="ED81" s="113">
        <v>0</v>
      </c>
      <c r="EE81" s="113">
        <v>0</v>
      </c>
      <c r="EF81" s="113">
        <v>0</v>
      </c>
      <c r="EG81" s="113">
        <v>0</v>
      </c>
      <c r="EH81" s="113">
        <v>0</v>
      </c>
      <c r="EI81" s="113">
        <v>0</v>
      </c>
      <c r="EJ81" s="113">
        <v>0</v>
      </c>
      <c r="EK81" s="113">
        <v>0</v>
      </c>
      <c r="EL81" s="113">
        <v>0</v>
      </c>
      <c r="EM81" s="113">
        <v>0</v>
      </c>
      <c r="EN81" s="113">
        <v>0</v>
      </c>
      <c r="EO81" s="113">
        <v>0</v>
      </c>
      <c r="EP81" s="113">
        <v>0</v>
      </c>
      <c r="EQ81" s="113">
        <v>0</v>
      </c>
      <c r="ER81" s="113">
        <v>0</v>
      </c>
      <c r="ES81" s="113">
        <v>0</v>
      </c>
      <c r="ET81" s="113">
        <v>0</v>
      </c>
      <c r="EU81" s="113">
        <v>0</v>
      </c>
      <c r="EV81" s="113">
        <v>0</v>
      </c>
      <c r="EW81" s="113">
        <v>0</v>
      </c>
      <c r="EX81" s="113">
        <v>0</v>
      </c>
      <c r="EY81" s="113">
        <v>0</v>
      </c>
      <c r="EZ81" s="113">
        <v>0</v>
      </c>
      <c r="FA81" s="113">
        <v>0</v>
      </c>
      <c r="FB81" s="113">
        <v>0</v>
      </c>
      <c r="FC81" s="113">
        <v>0</v>
      </c>
      <c r="FD81" s="113">
        <v>0</v>
      </c>
      <c r="FE81" s="113">
        <v>0</v>
      </c>
      <c r="FF81" s="113">
        <v>0</v>
      </c>
      <c r="FG81" s="113">
        <v>0</v>
      </c>
      <c r="FH81" s="113">
        <v>0</v>
      </c>
      <c r="FI81" s="113">
        <v>0</v>
      </c>
      <c r="FJ81" s="113">
        <v>0</v>
      </c>
      <c r="FK81" s="113">
        <v>0</v>
      </c>
      <c r="FL81" s="113">
        <v>0</v>
      </c>
      <c r="FM81" s="113">
        <v>0</v>
      </c>
      <c r="FN81" s="113">
        <v>0</v>
      </c>
      <c r="FO81" s="113">
        <v>0</v>
      </c>
      <c r="FP81" s="113">
        <v>0</v>
      </c>
      <c r="FQ81" s="113">
        <v>0</v>
      </c>
      <c r="FR81" s="113">
        <v>0</v>
      </c>
      <c r="FS81" s="113">
        <v>0</v>
      </c>
      <c r="FT81" s="113">
        <v>0</v>
      </c>
      <c r="FU81" s="113">
        <v>0</v>
      </c>
      <c r="FV81" s="113">
        <v>0</v>
      </c>
      <c r="FW81" s="113">
        <v>0</v>
      </c>
      <c r="FX81" s="32">
        <v>0</v>
      </c>
      <c r="FY81" s="30">
        <v>0</v>
      </c>
      <c r="FZ81" s="30">
        <v>0</v>
      </c>
    </row>
    <row r="82" spans="1:182" x14ac:dyDescent="0.2">
      <c r="A82" s="28">
        <v>34060</v>
      </c>
      <c r="B82" s="28"/>
      <c r="C82" s="29">
        <v>281638</v>
      </c>
      <c r="D82" s="29">
        <v>98962</v>
      </c>
      <c r="E82" s="29">
        <f t="shared" si="2"/>
        <v>380600</v>
      </c>
      <c r="F82" s="30">
        <v>4852351</v>
      </c>
      <c r="G82" s="30">
        <v>0</v>
      </c>
      <c r="H82" s="30">
        <f t="shared" si="3"/>
        <v>4852351</v>
      </c>
      <c r="I82" s="42" t="s">
        <v>75</v>
      </c>
      <c r="J82" s="42" t="s">
        <v>75</v>
      </c>
      <c r="K82" s="32">
        <v>3605059</v>
      </c>
      <c r="L82" s="31" t="s">
        <v>75</v>
      </c>
      <c r="M82" s="31" t="s">
        <v>75</v>
      </c>
      <c r="N82" s="30">
        <v>12046877</v>
      </c>
      <c r="O82" s="31" t="s">
        <v>75</v>
      </c>
      <c r="P82" s="31" t="s">
        <v>75</v>
      </c>
      <c r="Q82" s="30">
        <v>12661724</v>
      </c>
      <c r="R82" s="31" t="s">
        <v>75</v>
      </c>
      <c r="S82" s="31" t="s">
        <v>75</v>
      </c>
      <c r="T82" s="32">
        <v>170139</v>
      </c>
      <c r="U82" s="31" t="s">
        <v>75</v>
      </c>
      <c r="V82" s="31" t="s">
        <v>75</v>
      </c>
      <c r="W82" s="31" t="s">
        <v>75</v>
      </c>
      <c r="X82" s="31" t="s">
        <v>75</v>
      </c>
      <c r="Y82" s="31" t="s">
        <v>75</v>
      </c>
      <c r="Z82" s="30">
        <v>129726</v>
      </c>
      <c r="AA82" s="31" t="s">
        <v>75</v>
      </c>
      <c r="AB82" s="31" t="s">
        <v>75</v>
      </c>
      <c r="AC82" s="30">
        <v>370368</v>
      </c>
      <c r="AD82" s="31" t="s">
        <v>75</v>
      </c>
      <c r="AE82" s="31" t="s">
        <v>75</v>
      </c>
      <c r="AF82" s="30">
        <v>7209</v>
      </c>
      <c r="AG82" s="42" t="s">
        <v>75</v>
      </c>
      <c r="AH82" s="42" t="s">
        <v>75</v>
      </c>
      <c r="AI82" s="32">
        <v>101101</v>
      </c>
      <c r="AJ82" s="31" t="s">
        <v>75</v>
      </c>
      <c r="AK82" s="31" t="s">
        <v>75</v>
      </c>
      <c r="AL82" s="31" t="s">
        <v>75</v>
      </c>
      <c r="AM82" s="31"/>
      <c r="AN82" s="31"/>
      <c r="AO82" s="31"/>
      <c r="AP82" s="31"/>
      <c r="AQ82" s="31"/>
      <c r="AR82" s="31"/>
      <c r="AS82" s="31" t="s">
        <v>75</v>
      </c>
      <c r="AT82" s="31" t="s">
        <v>75</v>
      </c>
      <c r="AU82" s="31" t="s">
        <v>75</v>
      </c>
      <c r="AV82" s="31" t="s">
        <v>75</v>
      </c>
      <c r="AW82" s="31" t="s">
        <v>75</v>
      </c>
      <c r="AX82" s="31" t="s">
        <v>75</v>
      </c>
      <c r="AY82" s="31" t="s">
        <v>75</v>
      </c>
      <c r="AZ82" s="31" t="s">
        <v>75</v>
      </c>
      <c r="BA82" s="31" t="s">
        <v>75</v>
      </c>
      <c r="BB82" s="31" t="s">
        <v>75</v>
      </c>
      <c r="BC82" s="31" t="s">
        <v>75</v>
      </c>
      <c r="BD82" s="31" t="s">
        <v>75</v>
      </c>
      <c r="BE82" s="113">
        <v>0</v>
      </c>
      <c r="BF82" s="113">
        <v>0</v>
      </c>
      <c r="BG82" s="113">
        <v>0</v>
      </c>
      <c r="BH82" s="113">
        <v>0</v>
      </c>
      <c r="BI82" s="113">
        <v>0</v>
      </c>
      <c r="BJ82" s="113">
        <v>0</v>
      </c>
      <c r="BK82" s="113">
        <v>0</v>
      </c>
      <c r="BL82" s="113">
        <v>0</v>
      </c>
      <c r="BM82" s="113">
        <v>0</v>
      </c>
      <c r="BN82" s="113">
        <v>0</v>
      </c>
      <c r="BO82" s="113">
        <v>0</v>
      </c>
      <c r="BP82" s="113">
        <v>0</v>
      </c>
      <c r="BQ82" s="113">
        <v>0</v>
      </c>
      <c r="BR82" s="113">
        <v>0</v>
      </c>
      <c r="BS82" s="113">
        <v>0</v>
      </c>
      <c r="BT82" s="113">
        <v>0</v>
      </c>
      <c r="BU82" s="113">
        <v>0</v>
      </c>
      <c r="BV82" s="113">
        <v>0</v>
      </c>
      <c r="BW82" s="113"/>
      <c r="BX82" s="113"/>
      <c r="BY82" s="113"/>
      <c r="BZ82" s="113">
        <v>0</v>
      </c>
      <c r="CA82" s="113">
        <v>0</v>
      </c>
      <c r="CB82" s="113">
        <v>0</v>
      </c>
      <c r="CC82" s="113"/>
      <c r="CD82" s="113"/>
      <c r="CE82" s="113"/>
      <c r="CF82" s="113">
        <v>0</v>
      </c>
      <c r="CG82" s="113">
        <v>0</v>
      </c>
      <c r="CH82" s="113">
        <v>0</v>
      </c>
      <c r="CI82" s="113">
        <v>0</v>
      </c>
      <c r="CJ82" s="113">
        <v>0</v>
      </c>
      <c r="CK82" s="113">
        <v>0</v>
      </c>
      <c r="CL82" s="113">
        <v>0</v>
      </c>
      <c r="CM82" s="113">
        <v>0</v>
      </c>
      <c r="CN82" s="113">
        <v>0</v>
      </c>
      <c r="CO82" s="113">
        <v>0</v>
      </c>
      <c r="CP82" s="113">
        <v>0</v>
      </c>
      <c r="CQ82" s="113">
        <v>0</v>
      </c>
      <c r="CR82" s="113">
        <v>0</v>
      </c>
      <c r="CS82" s="113">
        <v>0</v>
      </c>
      <c r="CT82" s="113">
        <v>0</v>
      </c>
      <c r="CU82" s="113">
        <v>0</v>
      </c>
      <c r="CV82" s="113">
        <v>0</v>
      </c>
      <c r="CW82" s="113">
        <v>0</v>
      </c>
      <c r="CX82" s="113">
        <v>0</v>
      </c>
      <c r="CY82" s="113">
        <v>0</v>
      </c>
      <c r="CZ82" s="113">
        <v>0</v>
      </c>
      <c r="DA82" s="113">
        <v>0</v>
      </c>
      <c r="DB82" s="113">
        <v>0</v>
      </c>
      <c r="DC82" s="113">
        <v>0</v>
      </c>
      <c r="DD82" s="113">
        <v>0</v>
      </c>
      <c r="DE82" s="113">
        <v>0</v>
      </c>
      <c r="DF82" s="113">
        <v>0</v>
      </c>
      <c r="DG82" s="113">
        <v>0</v>
      </c>
      <c r="DH82" s="113">
        <v>0</v>
      </c>
      <c r="DI82" s="113">
        <v>0</v>
      </c>
      <c r="DJ82" s="113">
        <v>0</v>
      </c>
      <c r="DK82" s="113">
        <v>0</v>
      </c>
      <c r="DL82" s="113">
        <v>0</v>
      </c>
      <c r="DM82" s="113">
        <v>0</v>
      </c>
      <c r="DN82" s="113">
        <v>0</v>
      </c>
      <c r="DO82" s="113">
        <v>0</v>
      </c>
      <c r="DP82" s="113">
        <v>0</v>
      </c>
      <c r="DQ82" s="113">
        <v>0</v>
      </c>
      <c r="DR82" s="113">
        <v>0</v>
      </c>
      <c r="DS82" s="113">
        <v>0</v>
      </c>
      <c r="DT82" s="113">
        <v>0</v>
      </c>
      <c r="DU82" s="113">
        <v>0</v>
      </c>
      <c r="DV82" s="113">
        <v>0</v>
      </c>
      <c r="DW82" s="113">
        <v>0</v>
      </c>
      <c r="DX82" s="113">
        <v>0</v>
      </c>
      <c r="DY82" s="113">
        <v>0</v>
      </c>
      <c r="DZ82" s="113">
        <v>0</v>
      </c>
      <c r="EA82" s="113">
        <v>0</v>
      </c>
      <c r="EB82" s="113">
        <v>0</v>
      </c>
      <c r="EC82" s="113">
        <v>0</v>
      </c>
      <c r="ED82" s="113">
        <v>0</v>
      </c>
      <c r="EE82" s="113">
        <v>0</v>
      </c>
      <c r="EF82" s="113">
        <v>0</v>
      </c>
      <c r="EG82" s="113">
        <v>0</v>
      </c>
      <c r="EH82" s="113">
        <v>0</v>
      </c>
      <c r="EI82" s="113">
        <v>0</v>
      </c>
      <c r="EJ82" s="113">
        <v>0</v>
      </c>
      <c r="EK82" s="113">
        <v>0</v>
      </c>
      <c r="EL82" s="113">
        <v>0</v>
      </c>
      <c r="EM82" s="113">
        <v>0</v>
      </c>
      <c r="EN82" s="113">
        <v>0</v>
      </c>
      <c r="EO82" s="113">
        <v>0</v>
      </c>
      <c r="EP82" s="113">
        <v>0</v>
      </c>
      <c r="EQ82" s="113">
        <v>0</v>
      </c>
      <c r="ER82" s="113">
        <v>0</v>
      </c>
      <c r="ES82" s="113">
        <v>0</v>
      </c>
      <c r="ET82" s="113">
        <v>0</v>
      </c>
      <c r="EU82" s="113">
        <v>0</v>
      </c>
      <c r="EV82" s="113">
        <v>0</v>
      </c>
      <c r="EW82" s="113">
        <v>0</v>
      </c>
      <c r="EX82" s="113">
        <v>0</v>
      </c>
      <c r="EY82" s="113">
        <v>0</v>
      </c>
      <c r="EZ82" s="113">
        <v>0</v>
      </c>
      <c r="FA82" s="113">
        <v>0</v>
      </c>
      <c r="FB82" s="113">
        <v>0</v>
      </c>
      <c r="FC82" s="113">
        <v>0</v>
      </c>
      <c r="FD82" s="113">
        <v>0</v>
      </c>
      <c r="FE82" s="113">
        <v>0</v>
      </c>
      <c r="FF82" s="113">
        <v>0</v>
      </c>
      <c r="FG82" s="113">
        <v>0</v>
      </c>
      <c r="FH82" s="113">
        <v>0</v>
      </c>
      <c r="FI82" s="113">
        <v>0</v>
      </c>
      <c r="FJ82" s="113">
        <v>0</v>
      </c>
      <c r="FK82" s="113">
        <v>0</v>
      </c>
      <c r="FL82" s="113">
        <v>0</v>
      </c>
      <c r="FM82" s="113">
        <v>0</v>
      </c>
      <c r="FN82" s="113">
        <v>0</v>
      </c>
      <c r="FO82" s="113">
        <v>0</v>
      </c>
      <c r="FP82" s="113">
        <v>0</v>
      </c>
      <c r="FQ82" s="113">
        <v>0</v>
      </c>
      <c r="FR82" s="113">
        <v>0</v>
      </c>
      <c r="FS82" s="113">
        <v>0</v>
      </c>
      <c r="FT82" s="113">
        <v>0</v>
      </c>
      <c r="FU82" s="113">
        <v>0</v>
      </c>
      <c r="FV82" s="113">
        <v>0</v>
      </c>
      <c r="FW82" s="113">
        <v>0</v>
      </c>
      <c r="FX82" s="32">
        <v>0</v>
      </c>
      <c r="FY82" s="30">
        <v>0</v>
      </c>
      <c r="FZ82" s="30">
        <v>0</v>
      </c>
    </row>
    <row r="83" spans="1:182" x14ac:dyDescent="0.2">
      <c r="A83" s="28">
        <v>34090</v>
      </c>
      <c r="B83" s="28"/>
      <c r="C83" s="29">
        <v>206219</v>
      </c>
      <c r="D83" s="29">
        <v>81708</v>
      </c>
      <c r="E83" s="29">
        <f t="shared" si="2"/>
        <v>287927</v>
      </c>
      <c r="F83" s="30">
        <v>3272999</v>
      </c>
      <c r="G83" s="30">
        <v>0</v>
      </c>
      <c r="H83" s="30">
        <f t="shared" si="3"/>
        <v>3272999</v>
      </c>
      <c r="I83" s="42" t="s">
        <v>75</v>
      </c>
      <c r="J83" s="42" t="s">
        <v>75</v>
      </c>
      <c r="K83" s="32">
        <v>2688439</v>
      </c>
      <c r="L83" s="31" t="s">
        <v>75</v>
      </c>
      <c r="M83" s="31" t="s">
        <v>75</v>
      </c>
      <c r="N83" s="30">
        <v>9907553</v>
      </c>
      <c r="O83" s="31" t="s">
        <v>75</v>
      </c>
      <c r="P83" s="31" t="s">
        <v>75</v>
      </c>
      <c r="Q83" s="30">
        <v>9514511</v>
      </c>
      <c r="R83" s="31" t="s">
        <v>75</v>
      </c>
      <c r="S83" s="31" t="s">
        <v>75</v>
      </c>
      <c r="T83" s="32">
        <v>206538</v>
      </c>
      <c r="U83" s="31" t="s">
        <v>75</v>
      </c>
      <c r="V83" s="31" t="s">
        <v>75</v>
      </c>
      <c r="W83" s="31" t="s">
        <v>75</v>
      </c>
      <c r="X83" s="31" t="s">
        <v>75</v>
      </c>
      <c r="Y83" s="31" t="s">
        <v>75</v>
      </c>
      <c r="Z83" s="30">
        <v>100065</v>
      </c>
      <c r="AA83" s="31" t="s">
        <v>75</v>
      </c>
      <c r="AB83" s="31" t="s">
        <v>75</v>
      </c>
      <c r="AC83" s="30">
        <v>335130</v>
      </c>
      <c r="AD83" s="31" t="s">
        <v>75</v>
      </c>
      <c r="AE83" s="31" t="s">
        <v>75</v>
      </c>
      <c r="AF83" s="30">
        <v>6276</v>
      </c>
      <c r="AG83" s="42" t="s">
        <v>75</v>
      </c>
      <c r="AH83" s="42" t="s">
        <v>75</v>
      </c>
      <c r="AI83" s="32">
        <v>73759</v>
      </c>
      <c r="AJ83" s="31" t="s">
        <v>75</v>
      </c>
      <c r="AK83" s="31" t="s">
        <v>75</v>
      </c>
      <c r="AL83" s="31" t="s">
        <v>75</v>
      </c>
      <c r="AM83" s="31"/>
      <c r="AN83" s="31"/>
      <c r="AO83" s="31"/>
      <c r="AP83" s="31"/>
      <c r="AQ83" s="31"/>
      <c r="AR83" s="31"/>
      <c r="AS83" s="31" t="s">
        <v>75</v>
      </c>
      <c r="AT83" s="31" t="s">
        <v>75</v>
      </c>
      <c r="AU83" s="31" t="s">
        <v>75</v>
      </c>
      <c r="AV83" s="31" t="s">
        <v>75</v>
      </c>
      <c r="AW83" s="31" t="s">
        <v>75</v>
      </c>
      <c r="AX83" s="31" t="s">
        <v>75</v>
      </c>
      <c r="AY83" s="31" t="s">
        <v>75</v>
      </c>
      <c r="AZ83" s="31" t="s">
        <v>75</v>
      </c>
      <c r="BA83" s="31" t="s">
        <v>75</v>
      </c>
      <c r="BB83" s="31" t="s">
        <v>75</v>
      </c>
      <c r="BC83" s="31" t="s">
        <v>75</v>
      </c>
      <c r="BD83" s="31" t="s">
        <v>75</v>
      </c>
      <c r="BE83" s="113">
        <v>0</v>
      </c>
      <c r="BF83" s="113">
        <v>0</v>
      </c>
      <c r="BG83" s="113">
        <v>0</v>
      </c>
      <c r="BH83" s="113">
        <v>0</v>
      </c>
      <c r="BI83" s="113">
        <v>0</v>
      </c>
      <c r="BJ83" s="113">
        <v>0</v>
      </c>
      <c r="BK83" s="113">
        <v>0</v>
      </c>
      <c r="BL83" s="113">
        <v>0</v>
      </c>
      <c r="BM83" s="113">
        <v>0</v>
      </c>
      <c r="BN83" s="113">
        <v>0</v>
      </c>
      <c r="BO83" s="113">
        <v>0</v>
      </c>
      <c r="BP83" s="113">
        <v>0</v>
      </c>
      <c r="BQ83" s="113">
        <v>0</v>
      </c>
      <c r="BR83" s="113">
        <v>0</v>
      </c>
      <c r="BS83" s="113">
        <v>0</v>
      </c>
      <c r="BT83" s="113">
        <v>0</v>
      </c>
      <c r="BU83" s="113">
        <v>0</v>
      </c>
      <c r="BV83" s="113">
        <v>0</v>
      </c>
      <c r="BW83" s="113"/>
      <c r="BX83" s="113"/>
      <c r="BY83" s="113"/>
      <c r="BZ83" s="113">
        <v>0</v>
      </c>
      <c r="CA83" s="113">
        <v>0</v>
      </c>
      <c r="CB83" s="113">
        <v>0</v>
      </c>
      <c r="CC83" s="113"/>
      <c r="CD83" s="113"/>
      <c r="CE83" s="113"/>
      <c r="CF83" s="113">
        <v>0</v>
      </c>
      <c r="CG83" s="113">
        <v>0</v>
      </c>
      <c r="CH83" s="113">
        <v>0</v>
      </c>
      <c r="CI83" s="113">
        <v>0</v>
      </c>
      <c r="CJ83" s="113">
        <v>0</v>
      </c>
      <c r="CK83" s="113">
        <v>0</v>
      </c>
      <c r="CL83" s="113">
        <v>0</v>
      </c>
      <c r="CM83" s="113">
        <v>0</v>
      </c>
      <c r="CN83" s="113">
        <v>0</v>
      </c>
      <c r="CO83" s="113">
        <v>0</v>
      </c>
      <c r="CP83" s="113">
        <v>0</v>
      </c>
      <c r="CQ83" s="113">
        <v>0</v>
      </c>
      <c r="CR83" s="113">
        <v>0</v>
      </c>
      <c r="CS83" s="113">
        <v>0</v>
      </c>
      <c r="CT83" s="113">
        <v>0</v>
      </c>
      <c r="CU83" s="113">
        <v>0</v>
      </c>
      <c r="CV83" s="113">
        <v>0</v>
      </c>
      <c r="CW83" s="113">
        <v>0</v>
      </c>
      <c r="CX83" s="113">
        <v>0</v>
      </c>
      <c r="CY83" s="113">
        <v>0</v>
      </c>
      <c r="CZ83" s="113">
        <v>0</v>
      </c>
      <c r="DA83" s="113">
        <v>0</v>
      </c>
      <c r="DB83" s="113">
        <v>0</v>
      </c>
      <c r="DC83" s="113">
        <v>0</v>
      </c>
      <c r="DD83" s="113">
        <v>0</v>
      </c>
      <c r="DE83" s="113">
        <v>0</v>
      </c>
      <c r="DF83" s="113">
        <v>0</v>
      </c>
      <c r="DG83" s="113">
        <v>0</v>
      </c>
      <c r="DH83" s="113">
        <v>0</v>
      </c>
      <c r="DI83" s="113">
        <v>0</v>
      </c>
      <c r="DJ83" s="113">
        <v>0</v>
      </c>
      <c r="DK83" s="113">
        <v>0</v>
      </c>
      <c r="DL83" s="113">
        <v>0</v>
      </c>
      <c r="DM83" s="113">
        <v>0</v>
      </c>
      <c r="DN83" s="113">
        <v>0</v>
      </c>
      <c r="DO83" s="113">
        <v>0</v>
      </c>
      <c r="DP83" s="113">
        <v>0</v>
      </c>
      <c r="DQ83" s="113">
        <v>0</v>
      </c>
      <c r="DR83" s="113">
        <v>0</v>
      </c>
      <c r="DS83" s="113">
        <v>0</v>
      </c>
      <c r="DT83" s="113">
        <v>0</v>
      </c>
      <c r="DU83" s="113">
        <v>0</v>
      </c>
      <c r="DV83" s="113">
        <v>0</v>
      </c>
      <c r="DW83" s="113">
        <v>0</v>
      </c>
      <c r="DX83" s="113">
        <v>0</v>
      </c>
      <c r="DY83" s="113">
        <v>0</v>
      </c>
      <c r="DZ83" s="113">
        <v>0</v>
      </c>
      <c r="EA83" s="113">
        <v>0</v>
      </c>
      <c r="EB83" s="113">
        <v>0</v>
      </c>
      <c r="EC83" s="113">
        <v>0</v>
      </c>
      <c r="ED83" s="113">
        <v>0</v>
      </c>
      <c r="EE83" s="113">
        <v>0</v>
      </c>
      <c r="EF83" s="113">
        <v>0</v>
      </c>
      <c r="EG83" s="113">
        <v>0</v>
      </c>
      <c r="EH83" s="113">
        <v>0</v>
      </c>
      <c r="EI83" s="113">
        <v>0</v>
      </c>
      <c r="EJ83" s="113">
        <v>0</v>
      </c>
      <c r="EK83" s="113">
        <v>0</v>
      </c>
      <c r="EL83" s="113">
        <v>0</v>
      </c>
      <c r="EM83" s="113">
        <v>0</v>
      </c>
      <c r="EN83" s="113">
        <v>0</v>
      </c>
      <c r="EO83" s="113">
        <v>0</v>
      </c>
      <c r="EP83" s="113">
        <v>0</v>
      </c>
      <c r="EQ83" s="113">
        <v>0</v>
      </c>
      <c r="ER83" s="113">
        <v>0</v>
      </c>
      <c r="ES83" s="113">
        <v>0</v>
      </c>
      <c r="ET83" s="113">
        <v>0</v>
      </c>
      <c r="EU83" s="113">
        <v>0</v>
      </c>
      <c r="EV83" s="113">
        <v>0</v>
      </c>
      <c r="EW83" s="113">
        <v>0</v>
      </c>
      <c r="EX83" s="113">
        <v>0</v>
      </c>
      <c r="EY83" s="113">
        <v>0</v>
      </c>
      <c r="EZ83" s="113">
        <v>0</v>
      </c>
      <c r="FA83" s="113">
        <v>0</v>
      </c>
      <c r="FB83" s="113">
        <v>0</v>
      </c>
      <c r="FC83" s="113">
        <v>0</v>
      </c>
      <c r="FD83" s="113">
        <v>0</v>
      </c>
      <c r="FE83" s="113">
        <v>0</v>
      </c>
      <c r="FF83" s="113">
        <v>0</v>
      </c>
      <c r="FG83" s="113">
        <v>0</v>
      </c>
      <c r="FH83" s="113">
        <v>0</v>
      </c>
      <c r="FI83" s="113">
        <v>0</v>
      </c>
      <c r="FJ83" s="113">
        <v>0</v>
      </c>
      <c r="FK83" s="113">
        <v>0</v>
      </c>
      <c r="FL83" s="113">
        <v>0</v>
      </c>
      <c r="FM83" s="113">
        <v>0</v>
      </c>
      <c r="FN83" s="113">
        <v>0</v>
      </c>
      <c r="FO83" s="113">
        <v>0</v>
      </c>
      <c r="FP83" s="113">
        <v>0</v>
      </c>
      <c r="FQ83" s="113">
        <v>0</v>
      </c>
      <c r="FR83" s="113">
        <v>0</v>
      </c>
      <c r="FS83" s="113">
        <v>0</v>
      </c>
      <c r="FT83" s="113">
        <v>0</v>
      </c>
      <c r="FU83" s="113">
        <v>0</v>
      </c>
      <c r="FV83" s="113">
        <v>0</v>
      </c>
      <c r="FW83" s="113">
        <v>0</v>
      </c>
      <c r="FX83" s="32">
        <v>0</v>
      </c>
      <c r="FY83" s="30">
        <v>0</v>
      </c>
      <c r="FZ83" s="30">
        <v>0</v>
      </c>
    </row>
    <row r="84" spans="1:182" x14ac:dyDescent="0.2">
      <c r="A84" s="28">
        <v>34121</v>
      </c>
      <c r="B84" s="28"/>
      <c r="C84" s="29">
        <v>372024</v>
      </c>
      <c r="D84" s="29">
        <v>97739</v>
      </c>
      <c r="E84" s="29">
        <f t="shared" si="2"/>
        <v>469763</v>
      </c>
      <c r="F84" s="30">
        <v>2770053</v>
      </c>
      <c r="G84" s="30">
        <v>0</v>
      </c>
      <c r="H84" s="30">
        <f t="shared" si="3"/>
        <v>2770053</v>
      </c>
      <c r="I84" s="42" t="s">
        <v>75</v>
      </c>
      <c r="J84" s="42" t="s">
        <v>75</v>
      </c>
      <c r="K84" s="32">
        <v>2479036</v>
      </c>
      <c r="L84" s="31" t="s">
        <v>75</v>
      </c>
      <c r="M84" s="31" t="s">
        <v>75</v>
      </c>
      <c r="N84" s="30">
        <v>8785228</v>
      </c>
      <c r="O84" s="31" t="s">
        <v>75</v>
      </c>
      <c r="P84" s="31" t="s">
        <v>75</v>
      </c>
      <c r="Q84" s="30">
        <v>9049392</v>
      </c>
      <c r="R84" s="31" t="s">
        <v>75</v>
      </c>
      <c r="S84" s="31" t="s">
        <v>75</v>
      </c>
      <c r="T84" s="32">
        <v>229687</v>
      </c>
      <c r="U84" s="31" t="s">
        <v>75</v>
      </c>
      <c r="V84" s="31" t="s">
        <v>75</v>
      </c>
      <c r="W84" s="31" t="s">
        <v>75</v>
      </c>
      <c r="X84" s="31" t="s">
        <v>75</v>
      </c>
      <c r="Y84" s="31" t="s">
        <v>75</v>
      </c>
      <c r="Z84" s="30">
        <v>125257</v>
      </c>
      <c r="AA84" s="31" t="s">
        <v>75</v>
      </c>
      <c r="AB84" s="31" t="s">
        <v>75</v>
      </c>
      <c r="AC84" s="30">
        <v>426915</v>
      </c>
      <c r="AD84" s="31" t="s">
        <v>75</v>
      </c>
      <c r="AE84" s="31" t="s">
        <v>75</v>
      </c>
      <c r="AF84" s="30">
        <v>12791</v>
      </c>
      <c r="AG84" s="42" t="s">
        <v>75</v>
      </c>
      <c r="AH84" s="42" t="s">
        <v>75</v>
      </c>
      <c r="AI84" s="32">
        <v>120007</v>
      </c>
      <c r="AJ84" s="31" t="s">
        <v>75</v>
      </c>
      <c r="AK84" s="31" t="s">
        <v>75</v>
      </c>
      <c r="AL84" s="31" t="s">
        <v>75</v>
      </c>
      <c r="AM84" s="31"/>
      <c r="AN84" s="31"/>
      <c r="AO84" s="31"/>
      <c r="AP84" s="31"/>
      <c r="AQ84" s="31"/>
      <c r="AR84" s="31"/>
      <c r="AS84" s="31" t="s">
        <v>75</v>
      </c>
      <c r="AT84" s="31" t="s">
        <v>75</v>
      </c>
      <c r="AU84" s="31" t="s">
        <v>75</v>
      </c>
      <c r="AV84" s="31" t="s">
        <v>75</v>
      </c>
      <c r="AW84" s="31" t="s">
        <v>75</v>
      </c>
      <c r="AX84" s="31" t="s">
        <v>75</v>
      </c>
      <c r="AY84" s="31" t="s">
        <v>75</v>
      </c>
      <c r="AZ84" s="31" t="s">
        <v>75</v>
      </c>
      <c r="BA84" s="31" t="s">
        <v>75</v>
      </c>
      <c r="BB84" s="31" t="s">
        <v>75</v>
      </c>
      <c r="BC84" s="31" t="s">
        <v>75</v>
      </c>
      <c r="BD84" s="31" t="s">
        <v>75</v>
      </c>
      <c r="BE84" s="113">
        <v>0</v>
      </c>
      <c r="BF84" s="113">
        <v>0</v>
      </c>
      <c r="BG84" s="113">
        <v>0</v>
      </c>
      <c r="BH84" s="113">
        <v>0</v>
      </c>
      <c r="BI84" s="113">
        <v>0</v>
      </c>
      <c r="BJ84" s="113">
        <v>0</v>
      </c>
      <c r="BK84" s="113">
        <v>0</v>
      </c>
      <c r="BL84" s="113">
        <v>0</v>
      </c>
      <c r="BM84" s="113">
        <v>0</v>
      </c>
      <c r="BN84" s="113">
        <v>0</v>
      </c>
      <c r="BO84" s="113">
        <v>0</v>
      </c>
      <c r="BP84" s="113">
        <v>0</v>
      </c>
      <c r="BQ84" s="113">
        <v>0</v>
      </c>
      <c r="BR84" s="113">
        <v>0</v>
      </c>
      <c r="BS84" s="113">
        <v>0</v>
      </c>
      <c r="BT84" s="113">
        <v>0</v>
      </c>
      <c r="BU84" s="113">
        <v>0</v>
      </c>
      <c r="BV84" s="113">
        <v>0</v>
      </c>
      <c r="BW84" s="113"/>
      <c r="BX84" s="113"/>
      <c r="BY84" s="113"/>
      <c r="BZ84" s="113">
        <v>0</v>
      </c>
      <c r="CA84" s="113">
        <v>0</v>
      </c>
      <c r="CB84" s="113">
        <v>0</v>
      </c>
      <c r="CC84" s="113"/>
      <c r="CD84" s="113"/>
      <c r="CE84" s="113"/>
      <c r="CF84" s="113">
        <v>0</v>
      </c>
      <c r="CG84" s="113">
        <v>0</v>
      </c>
      <c r="CH84" s="113">
        <v>0</v>
      </c>
      <c r="CI84" s="113">
        <v>0</v>
      </c>
      <c r="CJ84" s="113">
        <v>0</v>
      </c>
      <c r="CK84" s="113">
        <v>0</v>
      </c>
      <c r="CL84" s="113">
        <v>0</v>
      </c>
      <c r="CM84" s="113">
        <v>0</v>
      </c>
      <c r="CN84" s="113">
        <v>0</v>
      </c>
      <c r="CO84" s="113">
        <v>0</v>
      </c>
      <c r="CP84" s="113">
        <v>0</v>
      </c>
      <c r="CQ84" s="113">
        <v>0</v>
      </c>
      <c r="CR84" s="113">
        <v>0</v>
      </c>
      <c r="CS84" s="113">
        <v>0</v>
      </c>
      <c r="CT84" s="113">
        <v>0</v>
      </c>
      <c r="CU84" s="113">
        <v>0</v>
      </c>
      <c r="CV84" s="113">
        <v>0</v>
      </c>
      <c r="CW84" s="113">
        <v>0</v>
      </c>
      <c r="CX84" s="113">
        <v>0</v>
      </c>
      <c r="CY84" s="113">
        <v>0</v>
      </c>
      <c r="CZ84" s="113">
        <v>0</v>
      </c>
      <c r="DA84" s="113">
        <v>0</v>
      </c>
      <c r="DB84" s="113">
        <v>0</v>
      </c>
      <c r="DC84" s="113">
        <v>0</v>
      </c>
      <c r="DD84" s="113">
        <v>0</v>
      </c>
      <c r="DE84" s="113">
        <v>0</v>
      </c>
      <c r="DF84" s="113">
        <v>0</v>
      </c>
      <c r="DG84" s="113">
        <v>0</v>
      </c>
      <c r="DH84" s="113">
        <v>0</v>
      </c>
      <c r="DI84" s="113">
        <v>0</v>
      </c>
      <c r="DJ84" s="113">
        <v>0</v>
      </c>
      <c r="DK84" s="113">
        <v>0</v>
      </c>
      <c r="DL84" s="113">
        <v>0</v>
      </c>
      <c r="DM84" s="113">
        <v>0</v>
      </c>
      <c r="DN84" s="113">
        <v>0</v>
      </c>
      <c r="DO84" s="113">
        <v>0</v>
      </c>
      <c r="DP84" s="113">
        <v>0</v>
      </c>
      <c r="DQ84" s="113">
        <v>0</v>
      </c>
      <c r="DR84" s="113">
        <v>0</v>
      </c>
      <c r="DS84" s="113">
        <v>0</v>
      </c>
      <c r="DT84" s="113">
        <v>0</v>
      </c>
      <c r="DU84" s="113">
        <v>0</v>
      </c>
      <c r="DV84" s="113">
        <v>0</v>
      </c>
      <c r="DW84" s="113">
        <v>0</v>
      </c>
      <c r="DX84" s="113">
        <v>0</v>
      </c>
      <c r="DY84" s="113">
        <v>0</v>
      </c>
      <c r="DZ84" s="113">
        <v>0</v>
      </c>
      <c r="EA84" s="113">
        <v>0</v>
      </c>
      <c r="EB84" s="113">
        <v>0</v>
      </c>
      <c r="EC84" s="113">
        <v>0</v>
      </c>
      <c r="ED84" s="113">
        <v>0</v>
      </c>
      <c r="EE84" s="113">
        <v>0</v>
      </c>
      <c r="EF84" s="113">
        <v>0</v>
      </c>
      <c r="EG84" s="113">
        <v>0</v>
      </c>
      <c r="EH84" s="113">
        <v>0</v>
      </c>
      <c r="EI84" s="113">
        <v>0</v>
      </c>
      <c r="EJ84" s="113">
        <v>0</v>
      </c>
      <c r="EK84" s="113">
        <v>0</v>
      </c>
      <c r="EL84" s="113">
        <v>0</v>
      </c>
      <c r="EM84" s="113">
        <v>0</v>
      </c>
      <c r="EN84" s="113">
        <v>0</v>
      </c>
      <c r="EO84" s="113">
        <v>0</v>
      </c>
      <c r="EP84" s="113">
        <v>0</v>
      </c>
      <c r="EQ84" s="113">
        <v>0</v>
      </c>
      <c r="ER84" s="113">
        <v>0</v>
      </c>
      <c r="ES84" s="113">
        <v>0</v>
      </c>
      <c r="ET84" s="113">
        <v>0</v>
      </c>
      <c r="EU84" s="113">
        <v>0</v>
      </c>
      <c r="EV84" s="113">
        <v>0</v>
      </c>
      <c r="EW84" s="113">
        <v>0</v>
      </c>
      <c r="EX84" s="113">
        <v>0</v>
      </c>
      <c r="EY84" s="113">
        <v>0</v>
      </c>
      <c r="EZ84" s="113">
        <v>0</v>
      </c>
      <c r="FA84" s="113">
        <v>0</v>
      </c>
      <c r="FB84" s="113">
        <v>0</v>
      </c>
      <c r="FC84" s="113">
        <v>0</v>
      </c>
      <c r="FD84" s="113">
        <v>0</v>
      </c>
      <c r="FE84" s="113">
        <v>0</v>
      </c>
      <c r="FF84" s="113">
        <v>0</v>
      </c>
      <c r="FG84" s="113">
        <v>0</v>
      </c>
      <c r="FH84" s="113">
        <v>0</v>
      </c>
      <c r="FI84" s="113">
        <v>0</v>
      </c>
      <c r="FJ84" s="113">
        <v>0</v>
      </c>
      <c r="FK84" s="113">
        <v>0</v>
      </c>
      <c r="FL84" s="113">
        <v>0</v>
      </c>
      <c r="FM84" s="113">
        <v>0</v>
      </c>
      <c r="FN84" s="113">
        <v>0</v>
      </c>
      <c r="FO84" s="113">
        <v>0</v>
      </c>
      <c r="FP84" s="113">
        <v>0</v>
      </c>
      <c r="FQ84" s="113">
        <v>0</v>
      </c>
      <c r="FR84" s="113">
        <v>0</v>
      </c>
      <c r="FS84" s="113">
        <v>0</v>
      </c>
      <c r="FT84" s="113">
        <v>0</v>
      </c>
      <c r="FU84" s="113">
        <v>0</v>
      </c>
      <c r="FV84" s="113">
        <v>0</v>
      </c>
      <c r="FW84" s="113">
        <v>0</v>
      </c>
      <c r="FX84" s="32">
        <v>0</v>
      </c>
      <c r="FY84" s="30">
        <v>0</v>
      </c>
      <c r="FZ84" s="30">
        <v>0</v>
      </c>
    </row>
    <row r="85" spans="1:182" x14ac:dyDescent="0.2">
      <c r="A85" s="28">
        <v>34151</v>
      </c>
      <c r="B85" s="28"/>
      <c r="C85" s="29">
        <v>170735</v>
      </c>
      <c r="D85" s="29">
        <v>58450</v>
      </c>
      <c r="E85" s="29">
        <f t="shared" si="2"/>
        <v>229185</v>
      </c>
      <c r="F85" s="30">
        <v>2767275</v>
      </c>
      <c r="G85" s="30">
        <v>0</v>
      </c>
      <c r="H85" s="30">
        <f t="shared" si="3"/>
        <v>2767275</v>
      </c>
      <c r="I85" s="42" t="s">
        <v>75</v>
      </c>
      <c r="J85" s="42" t="s">
        <v>75</v>
      </c>
      <c r="K85" s="32">
        <v>2665608</v>
      </c>
      <c r="L85" s="31" t="s">
        <v>75</v>
      </c>
      <c r="M85" s="31" t="s">
        <v>75</v>
      </c>
      <c r="N85" s="30">
        <v>9434549</v>
      </c>
      <c r="O85" s="31" t="s">
        <v>75</v>
      </c>
      <c r="P85" s="31" t="s">
        <v>75</v>
      </c>
      <c r="Q85" s="30">
        <v>8334350</v>
      </c>
      <c r="R85" s="31" t="s">
        <v>75</v>
      </c>
      <c r="S85" s="31" t="s">
        <v>75</v>
      </c>
      <c r="T85" s="32">
        <v>270583</v>
      </c>
      <c r="U85" s="31" t="s">
        <v>75</v>
      </c>
      <c r="V85" s="31" t="s">
        <v>75</v>
      </c>
      <c r="W85" s="31" t="s">
        <v>75</v>
      </c>
      <c r="X85" s="31" t="s">
        <v>75</v>
      </c>
      <c r="Y85" s="31" t="s">
        <v>75</v>
      </c>
      <c r="Z85" s="30">
        <v>105383</v>
      </c>
      <c r="AA85" s="31" t="s">
        <v>75</v>
      </c>
      <c r="AB85" s="31" t="s">
        <v>75</v>
      </c>
      <c r="AC85" s="30">
        <v>355468</v>
      </c>
      <c r="AD85" s="31" t="s">
        <v>75</v>
      </c>
      <c r="AE85" s="31" t="s">
        <v>75</v>
      </c>
      <c r="AF85" s="30">
        <v>8847</v>
      </c>
      <c r="AG85" s="42" t="s">
        <v>75</v>
      </c>
      <c r="AH85" s="42" t="s">
        <v>75</v>
      </c>
      <c r="AI85" s="32">
        <v>93368</v>
      </c>
      <c r="AJ85" s="31" t="s">
        <v>75</v>
      </c>
      <c r="AK85" s="31" t="s">
        <v>75</v>
      </c>
      <c r="AL85" s="31" t="s">
        <v>75</v>
      </c>
      <c r="AM85" s="31"/>
      <c r="AN85" s="31"/>
      <c r="AO85" s="31"/>
      <c r="AP85" s="31"/>
      <c r="AQ85" s="31"/>
      <c r="AR85" s="31"/>
      <c r="AS85" s="31" t="s">
        <v>75</v>
      </c>
      <c r="AT85" s="31" t="s">
        <v>75</v>
      </c>
      <c r="AU85" s="31" t="s">
        <v>75</v>
      </c>
      <c r="AV85" s="31" t="s">
        <v>75</v>
      </c>
      <c r="AW85" s="31" t="s">
        <v>75</v>
      </c>
      <c r="AX85" s="31" t="s">
        <v>75</v>
      </c>
      <c r="AY85" s="31" t="s">
        <v>75</v>
      </c>
      <c r="AZ85" s="31" t="s">
        <v>75</v>
      </c>
      <c r="BA85" s="31" t="s">
        <v>75</v>
      </c>
      <c r="BB85" s="31" t="s">
        <v>75</v>
      </c>
      <c r="BC85" s="31" t="s">
        <v>75</v>
      </c>
      <c r="BD85" s="31" t="s">
        <v>75</v>
      </c>
      <c r="BE85" s="113">
        <v>0</v>
      </c>
      <c r="BF85" s="113">
        <v>0</v>
      </c>
      <c r="BG85" s="113">
        <v>0</v>
      </c>
      <c r="BH85" s="113">
        <v>0</v>
      </c>
      <c r="BI85" s="113">
        <v>0</v>
      </c>
      <c r="BJ85" s="113">
        <v>0</v>
      </c>
      <c r="BK85" s="113">
        <v>0</v>
      </c>
      <c r="BL85" s="113">
        <v>0</v>
      </c>
      <c r="BM85" s="113">
        <v>0</v>
      </c>
      <c r="BN85" s="113">
        <v>0</v>
      </c>
      <c r="BO85" s="113">
        <v>0</v>
      </c>
      <c r="BP85" s="113">
        <v>0</v>
      </c>
      <c r="BQ85" s="113">
        <v>0</v>
      </c>
      <c r="BR85" s="113">
        <v>0</v>
      </c>
      <c r="BS85" s="113">
        <v>0</v>
      </c>
      <c r="BT85" s="113">
        <v>0</v>
      </c>
      <c r="BU85" s="113">
        <v>0</v>
      </c>
      <c r="BV85" s="113">
        <v>0</v>
      </c>
      <c r="BW85" s="113"/>
      <c r="BX85" s="113"/>
      <c r="BY85" s="113"/>
      <c r="BZ85" s="113">
        <v>0</v>
      </c>
      <c r="CA85" s="113">
        <v>0</v>
      </c>
      <c r="CB85" s="113">
        <v>0</v>
      </c>
      <c r="CC85" s="113"/>
      <c r="CD85" s="113"/>
      <c r="CE85" s="113"/>
      <c r="CF85" s="113">
        <v>0</v>
      </c>
      <c r="CG85" s="113">
        <v>0</v>
      </c>
      <c r="CH85" s="113">
        <v>0</v>
      </c>
      <c r="CI85" s="113">
        <v>0</v>
      </c>
      <c r="CJ85" s="113">
        <v>0</v>
      </c>
      <c r="CK85" s="113">
        <v>0</v>
      </c>
      <c r="CL85" s="113">
        <v>0</v>
      </c>
      <c r="CM85" s="113">
        <v>0</v>
      </c>
      <c r="CN85" s="113">
        <v>0</v>
      </c>
      <c r="CO85" s="113">
        <v>0</v>
      </c>
      <c r="CP85" s="113">
        <v>0</v>
      </c>
      <c r="CQ85" s="113">
        <v>0</v>
      </c>
      <c r="CR85" s="113">
        <v>0</v>
      </c>
      <c r="CS85" s="113">
        <v>0</v>
      </c>
      <c r="CT85" s="113">
        <v>0</v>
      </c>
      <c r="CU85" s="113">
        <v>0</v>
      </c>
      <c r="CV85" s="113">
        <v>0</v>
      </c>
      <c r="CW85" s="113">
        <v>0</v>
      </c>
      <c r="CX85" s="113">
        <v>0</v>
      </c>
      <c r="CY85" s="113">
        <v>0</v>
      </c>
      <c r="CZ85" s="113">
        <v>0</v>
      </c>
      <c r="DA85" s="113">
        <v>0</v>
      </c>
      <c r="DB85" s="113">
        <v>0</v>
      </c>
      <c r="DC85" s="113">
        <v>0</v>
      </c>
      <c r="DD85" s="113">
        <v>0</v>
      </c>
      <c r="DE85" s="113">
        <v>0</v>
      </c>
      <c r="DF85" s="113">
        <v>0</v>
      </c>
      <c r="DG85" s="113">
        <v>0</v>
      </c>
      <c r="DH85" s="113">
        <v>0</v>
      </c>
      <c r="DI85" s="113">
        <v>0</v>
      </c>
      <c r="DJ85" s="113">
        <v>0</v>
      </c>
      <c r="DK85" s="113">
        <v>0</v>
      </c>
      <c r="DL85" s="113">
        <v>0</v>
      </c>
      <c r="DM85" s="113">
        <v>0</v>
      </c>
      <c r="DN85" s="113">
        <v>0</v>
      </c>
      <c r="DO85" s="113">
        <v>0</v>
      </c>
      <c r="DP85" s="113">
        <v>0</v>
      </c>
      <c r="DQ85" s="113">
        <v>0</v>
      </c>
      <c r="DR85" s="113">
        <v>0</v>
      </c>
      <c r="DS85" s="113">
        <v>0</v>
      </c>
      <c r="DT85" s="113">
        <v>0</v>
      </c>
      <c r="DU85" s="113">
        <v>0</v>
      </c>
      <c r="DV85" s="113">
        <v>0</v>
      </c>
      <c r="DW85" s="113">
        <v>0</v>
      </c>
      <c r="DX85" s="113">
        <v>0</v>
      </c>
      <c r="DY85" s="113">
        <v>0</v>
      </c>
      <c r="DZ85" s="113">
        <v>0</v>
      </c>
      <c r="EA85" s="113">
        <v>0</v>
      </c>
      <c r="EB85" s="113">
        <v>0</v>
      </c>
      <c r="EC85" s="113">
        <v>0</v>
      </c>
      <c r="ED85" s="113">
        <v>0</v>
      </c>
      <c r="EE85" s="113">
        <v>0</v>
      </c>
      <c r="EF85" s="113">
        <v>0</v>
      </c>
      <c r="EG85" s="113">
        <v>0</v>
      </c>
      <c r="EH85" s="113">
        <v>0</v>
      </c>
      <c r="EI85" s="113">
        <v>0</v>
      </c>
      <c r="EJ85" s="113">
        <v>0</v>
      </c>
      <c r="EK85" s="113">
        <v>0</v>
      </c>
      <c r="EL85" s="113">
        <v>0</v>
      </c>
      <c r="EM85" s="113">
        <v>0</v>
      </c>
      <c r="EN85" s="113">
        <v>0</v>
      </c>
      <c r="EO85" s="113">
        <v>0</v>
      </c>
      <c r="EP85" s="113">
        <v>0</v>
      </c>
      <c r="EQ85" s="113">
        <v>0</v>
      </c>
      <c r="ER85" s="113">
        <v>0</v>
      </c>
      <c r="ES85" s="113">
        <v>0</v>
      </c>
      <c r="ET85" s="113">
        <v>0</v>
      </c>
      <c r="EU85" s="113">
        <v>0</v>
      </c>
      <c r="EV85" s="113">
        <v>0</v>
      </c>
      <c r="EW85" s="113">
        <v>0</v>
      </c>
      <c r="EX85" s="113">
        <v>0</v>
      </c>
      <c r="EY85" s="113">
        <v>0</v>
      </c>
      <c r="EZ85" s="113">
        <v>0</v>
      </c>
      <c r="FA85" s="113">
        <v>0</v>
      </c>
      <c r="FB85" s="113">
        <v>0</v>
      </c>
      <c r="FC85" s="113">
        <v>0</v>
      </c>
      <c r="FD85" s="113">
        <v>0</v>
      </c>
      <c r="FE85" s="113">
        <v>0</v>
      </c>
      <c r="FF85" s="113">
        <v>0</v>
      </c>
      <c r="FG85" s="113">
        <v>0</v>
      </c>
      <c r="FH85" s="113">
        <v>0</v>
      </c>
      <c r="FI85" s="113">
        <v>0</v>
      </c>
      <c r="FJ85" s="113">
        <v>0</v>
      </c>
      <c r="FK85" s="113">
        <v>0</v>
      </c>
      <c r="FL85" s="113">
        <v>0</v>
      </c>
      <c r="FM85" s="113">
        <v>0</v>
      </c>
      <c r="FN85" s="113">
        <v>0</v>
      </c>
      <c r="FO85" s="113">
        <v>0</v>
      </c>
      <c r="FP85" s="113">
        <v>0</v>
      </c>
      <c r="FQ85" s="113">
        <v>0</v>
      </c>
      <c r="FR85" s="113">
        <v>0</v>
      </c>
      <c r="FS85" s="113">
        <v>0</v>
      </c>
      <c r="FT85" s="113">
        <v>0</v>
      </c>
      <c r="FU85" s="113">
        <v>0</v>
      </c>
      <c r="FV85" s="113">
        <v>0</v>
      </c>
      <c r="FW85" s="113">
        <v>0</v>
      </c>
      <c r="FX85" s="32">
        <v>0</v>
      </c>
      <c r="FY85" s="30">
        <v>0</v>
      </c>
      <c r="FZ85" s="30">
        <v>0</v>
      </c>
    </row>
    <row r="86" spans="1:182" x14ac:dyDescent="0.2">
      <c r="A86" s="28">
        <v>34182</v>
      </c>
      <c r="B86" s="28"/>
      <c r="C86" s="29">
        <v>366206</v>
      </c>
      <c r="D86" s="29">
        <v>132636</v>
      </c>
      <c r="E86" s="29">
        <f t="shared" si="2"/>
        <v>498842</v>
      </c>
      <c r="F86" s="30">
        <v>4184354</v>
      </c>
      <c r="G86" s="30">
        <v>0</v>
      </c>
      <c r="H86" s="30">
        <f t="shared" si="3"/>
        <v>4184354</v>
      </c>
      <c r="I86" s="42" t="s">
        <v>75</v>
      </c>
      <c r="J86" s="42" t="s">
        <v>75</v>
      </c>
      <c r="K86" s="32">
        <v>3105215</v>
      </c>
      <c r="L86" s="31" t="s">
        <v>75</v>
      </c>
      <c r="M86" s="31" t="s">
        <v>75</v>
      </c>
      <c r="N86" s="30">
        <v>10331362</v>
      </c>
      <c r="O86" s="31" t="s">
        <v>75</v>
      </c>
      <c r="P86" s="31" t="s">
        <v>75</v>
      </c>
      <c r="Q86" s="30">
        <v>10173715</v>
      </c>
      <c r="R86" s="31" t="s">
        <v>75</v>
      </c>
      <c r="S86" s="31" t="s">
        <v>75</v>
      </c>
      <c r="T86" s="32">
        <v>232887</v>
      </c>
      <c r="U86" s="31" t="s">
        <v>75</v>
      </c>
      <c r="V86" s="31" t="s">
        <v>75</v>
      </c>
      <c r="W86" s="31" t="s">
        <v>75</v>
      </c>
      <c r="X86" s="31" t="s">
        <v>75</v>
      </c>
      <c r="Y86" s="31" t="s">
        <v>75</v>
      </c>
      <c r="Z86" s="30">
        <v>185116</v>
      </c>
      <c r="AA86" s="31" t="s">
        <v>75</v>
      </c>
      <c r="AB86" s="31" t="s">
        <v>75</v>
      </c>
      <c r="AC86" s="30">
        <v>406038</v>
      </c>
      <c r="AD86" s="31" t="s">
        <v>75</v>
      </c>
      <c r="AE86" s="31" t="s">
        <v>75</v>
      </c>
      <c r="AF86" s="30">
        <v>12157</v>
      </c>
      <c r="AG86" s="42" t="s">
        <v>75</v>
      </c>
      <c r="AH86" s="42" t="s">
        <v>75</v>
      </c>
      <c r="AI86" s="32">
        <v>107922</v>
      </c>
      <c r="AJ86" s="31" t="s">
        <v>75</v>
      </c>
      <c r="AK86" s="31" t="s">
        <v>75</v>
      </c>
      <c r="AL86" s="31" t="s">
        <v>75</v>
      </c>
      <c r="AM86" s="31"/>
      <c r="AN86" s="31"/>
      <c r="AO86" s="31"/>
      <c r="AP86" s="31"/>
      <c r="AQ86" s="31"/>
      <c r="AR86" s="31"/>
      <c r="AS86" s="31" t="s">
        <v>75</v>
      </c>
      <c r="AT86" s="31" t="s">
        <v>75</v>
      </c>
      <c r="AU86" s="31" t="s">
        <v>75</v>
      </c>
      <c r="AV86" s="31" t="s">
        <v>75</v>
      </c>
      <c r="AW86" s="31" t="s">
        <v>75</v>
      </c>
      <c r="AX86" s="31" t="s">
        <v>75</v>
      </c>
      <c r="AY86" s="31" t="s">
        <v>75</v>
      </c>
      <c r="AZ86" s="31" t="s">
        <v>75</v>
      </c>
      <c r="BA86" s="31" t="s">
        <v>75</v>
      </c>
      <c r="BB86" s="31" t="s">
        <v>75</v>
      </c>
      <c r="BC86" s="31" t="s">
        <v>75</v>
      </c>
      <c r="BD86" s="31" t="s">
        <v>75</v>
      </c>
      <c r="BE86" s="113">
        <v>0</v>
      </c>
      <c r="BF86" s="113">
        <v>0</v>
      </c>
      <c r="BG86" s="113">
        <v>0</v>
      </c>
      <c r="BH86" s="113">
        <v>0</v>
      </c>
      <c r="BI86" s="113">
        <v>0</v>
      </c>
      <c r="BJ86" s="113">
        <v>0</v>
      </c>
      <c r="BK86" s="113">
        <v>0</v>
      </c>
      <c r="BL86" s="113">
        <v>0</v>
      </c>
      <c r="BM86" s="113">
        <v>0</v>
      </c>
      <c r="BN86" s="113">
        <v>0</v>
      </c>
      <c r="BO86" s="113">
        <v>0</v>
      </c>
      <c r="BP86" s="113">
        <v>0</v>
      </c>
      <c r="BQ86" s="113">
        <v>0</v>
      </c>
      <c r="BR86" s="113">
        <v>0</v>
      </c>
      <c r="BS86" s="113">
        <v>0</v>
      </c>
      <c r="BT86" s="113">
        <v>0</v>
      </c>
      <c r="BU86" s="113">
        <v>0</v>
      </c>
      <c r="BV86" s="113">
        <v>0</v>
      </c>
      <c r="BW86" s="113"/>
      <c r="BX86" s="113"/>
      <c r="BY86" s="113"/>
      <c r="BZ86" s="113">
        <v>0</v>
      </c>
      <c r="CA86" s="113">
        <v>0</v>
      </c>
      <c r="CB86" s="113">
        <v>0</v>
      </c>
      <c r="CC86" s="113"/>
      <c r="CD86" s="113"/>
      <c r="CE86" s="113"/>
      <c r="CF86" s="113">
        <v>0</v>
      </c>
      <c r="CG86" s="113">
        <v>0</v>
      </c>
      <c r="CH86" s="113">
        <v>0</v>
      </c>
      <c r="CI86" s="113">
        <v>0</v>
      </c>
      <c r="CJ86" s="113">
        <v>0</v>
      </c>
      <c r="CK86" s="113">
        <v>0</v>
      </c>
      <c r="CL86" s="113">
        <v>0</v>
      </c>
      <c r="CM86" s="113">
        <v>0</v>
      </c>
      <c r="CN86" s="113">
        <v>0</v>
      </c>
      <c r="CO86" s="113">
        <v>0</v>
      </c>
      <c r="CP86" s="113">
        <v>0</v>
      </c>
      <c r="CQ86" s="113">
        <v>0</v>
      </c>
      <c r="CR86" s="113">
        <v>0</v>
      </c>
      <c r="CS86" s="113">
        <v>0</v>
      </c>
      <c r="CT86" s="113">
        <v>0</v>
      </c>
      <c r="CU86" s="113">
        <v>0</v>
      </c>
      <c r="CV86" s="113">
        <v>0</v>
      </c>
      <c r="CW86" s="113">
        <v>0</v>
      </c>
      <c r="CX86" s="113">
        <v>0</v>
      </c>
      <c r="CY86" s="113">
        <v>0</v>
      </c>
      <c r="CZ86" s="113">
        <v>0</v>
      </c>
      <c r="DA86" s="113">
        <v>0</v>
      </c>
      <c r="DB86" s="113">
        <v>0</v>
      </c>
      <c r="DC86" s="113">
        <v>0</v>
      </c>
      <c r="DD86" s="113">
        <v>0</v>
      </c>
      <c r="DE86" s="113">
        <v>0</v>
      </c>
      <c r="DF86" s="113">
        <v>0</v>
      </c>
      <c r="DG86" s="113">
        <v>0</v>
      </c>
      <c r="DH86" s="113">
        <v>0</v>
      </c>
      <c r="DI86" s="113">
        <v>0</v>
      </c>
      <c r="DJ86" s="113">
        <v>0</v>
      </c>
      <c r="DK86" s="113">
        <v>0</v>
      </c>
      <c r="DL86" s="113">
        <v>0</v>
      </c>
      <c r="DM86" s="113">
        <v>0</v>
      </c>
      <c r="DN86" s="113">
        <v>0</v>
      </c>
      <c r="DO86" s="113">
        <v>0</v>
      </c>
      <c r="DP86" s="113">
        <v>0</v>
      </c>
      <c r="DQ86" s="113">
        <v>0</v>
      </c>
      <c r="DR86" s="113">
        <v>0</v>
      </c>
      <c r="DS86" s="113">
        <v>0</v>
      </c>
      <c r="DT86" s="113">
        <v>0</v>
      </c>
      <c r="DU86" s="113">
        <v>0</v>
      </c>
      <c r="DV86" s="113">
        <v>0</v>
      </c>
      <c r="DW86" s="113">
        <v>0</v>
      </c>
      <c r="DX86" s="113">
        <v>0</v>
      </c>
      <c r="DY86" s="113">
        <v>0</v>
      </c>
      <c r="DZ86" s="113">
        <v>0</v>
      </c>
      <c r="EA86" s="113">
        <v>0</v>
      </c>
      <c r="EB86" s="113">
        <v>0</v>
      </c>
      <c r="EC86" s="113">
        <v>0</v>
      </c>
      <c r="ED86" s="113">
        <v>0</v>
      </c>
      <c r="EE86" s="113">
        <v>0</v>
      </c>
      <c r="EF86" s="113">
        <v>0</v>
      </c>
      <c r="EG86" s="113">
        <v>0</v>
      </c>
      <c r="EH86" s="113">
        <v>0</v>
      </c>
      <c r="EI86" s="113">
        <v>0</v>
      </c>
      <c r="EJ86" s="113">
        <v>0</v>
      </c>
      <c r="EK86" s="113">
        <v>0</v>
      </c>
      <c r="EL86" s="113">
        <v>0</v>
      </c>
      <c r="EM86" s="113">
        <v>0</v>
      </c>
      <c r="EN86" s="113">
        <v>0</v>
      </c>
      <c r="EO86" s="113">
        <v>0</v>
      </c>
      <c r="EP86" s="113">
        <v>0</v>
      </c>
      <c r="EQ86" s="113">
        <v>0</v>
      </c>
      <c r="ER86" s="113">
        <v>0</v>
      </c>
      <c r="ES86" s="113">
        <v>0</v>
      </c>
      <c r="ET86" s="113">
        <v>0</v>
      </c>
      <c r="EU86" s="113">
        <v>0</v>
      </c>
      <c r="EV86" s="113">
        <v>0</v>
      </c>
      <c r="EW86" s="113">
        <v>0</v>
      </c>
      <c r="EX86" s="113">
        <v>0</v>
      </c>
      <c r="EY86" s="113">
        <v>0</v>
      </c>
      <c r="EZ86" s="113">
        <v>0</v>
      </c>
      <c r="FA86" s="113">
        <v>0</v>
      </c>
      <c r="FB86" s="113">
        <v>0</v>
      </c>
      <c r="FC86" s="113">
        <v>0</v>
      </c>
      <c r="FD86" s="113">
        <v>0</v>
      </c>
      <c r="FE86" s="113">
        <v>0</v>
      </c>
      <c r="FF86" s="113">
        <v>0</v>
      </c>
      <c r="FG86" s="113">
        <v>0</v>
      </c>
      <c r="FH86" s="113">
        <v>0</v>
      </c>
      <c r="FI86" s="113">
        <v>0</v>
      </c>
      <c r="FJ86" s="113">
        <v>0</v>
      </c>
      <c r="FK86" s="113">
        <v>0</v>
      </c>
      <c r="FL86" s="113">
        <v>0</v>
      </c>
      <c r="FM86" s="113">
        <v>0</v>
      </c>
      <c r="FN86" s="113">
        <v>0</v>
      </c>
      <c r="FO86" s="113">
        <v>0</v>
      </c>
      <c r="FP86" s="113">
        <v>0</v>
      </c>
      <c r="FQ86" s="113">
        <v>0</v>
      </c>
      <c r="FR86" s="113">
        <v>0</v>
      </c>
      <c r="FS86" s="113">
        <v>0</v>
      </c>
      <c r="FT86" s="113">
        <v>0</v>
      </c>
      <c r="FU86" s="113">
        <v>0</v>
      </c>
      <c r="FV86" s="113">
        <v>0</v>
      </c>
      <c r="FW86" s="113">
        <v>0</v>
      </c>
      <c r="FX86" s="32">
        <v>0</v>
      </c>
      <c r="FY86" s="30">
        <v>0</v>
      </c>
      <c r="FZ86" s="30">
        <v>0</v>
      </c>
    </row>
    <row r="87" spans="1:182" x14ac:dyDescent="0.2">
      <c r="A87" s="28">
        <v>34213</v>
      </c>
      <c r="B87" s="28"/>
      <c r="C87" s="29">
        <v>174239</v>
      </c>
      <c r="D87" s="29">
        <v>76615</v>
      </c>
      <c r="E87" s="29">
        <f t="shared" si="2"/>
        <v>250854</v>
      </c>
      <c r="F87" s="30">
        <v>7180478</v>
      </c>
      <c r="G87" s="30">
        <v>0</v>
      </c>
      <c r="H87" s="30">
        <f t="shared" si="3"/>
        <v>7180478</v>
      </c>
      <c r="I87" s="42" t="s">
        <v>75</v>
      </c>
      <c r="J87" s="42" t="s">
        <v>75</v>
      </c>
      <c r="K87" s="32">
        <v>3206083</v>
      </c>
      <c r="L87" s="31" t="s">
        <v>75</v>
      </c>
      <c r="M87" s="31" t="s">
        <v>75</v>
      </c>
      <c r="N87" s="30">
        <v>9061401</v>
      </c>
      <c r="O87" s="31" t="s">
        <v>75</v>
      </c>
      <c r="P87" s="31" t="s">
        <v>75</v>
      </c>
      <c r="Q87" s="30">
        <v>10928144</v>
      </c>
      <c r="R87" s="31" t="s">
        <v>75</v>
      </c>
      <c r="S87" s="31" t="s">
        <v>75</v>
      </c>
      <c r="T87" s="32">
        <v>223141</v>
      </c>
      <c r="U87" s="31" t="s">
        <v>75</v>
      </c>
      <c r="V87" s="31" t="s">
        <v>75</v>
      </c>
      <c r="W87" s="31" t="s">
        <v>75</v>
      </c>
      <c r="X87" s="31" t="s">
        <v>75</v>
      </c>
      <c r="Y87" s="31" t="s">
        <v>75</v>
      </c>
      <c r="Z87" s="30">
        <v>119895</v>
      </c>
      <c r="AA87" s="31" t="s">
        <v>75</v>
      </c>
      <c r="AB87" s="31" t="s">
        <v>75</v>
      </c>
      <c r="AC87" s="30">
        <v>264137</v>
      </c>
      <c r="AD87" s="31" t="s">
        <v>75</v>
      </c>
      <c r="AE87" s="31" t="s">
        <v>75</v>
      </c>
      <c r="AF87" s="30">
        <v>9140</v>
      </c>
      <c r="AG87" s="42" t="s">
        <v>75</v>
      </c>
      <c r="AH87" s="42" t="s">
        <v>75</v>
      </c>
      <c r="AI87" s="32">
        <v>65221</v>
      </c>
      <c r="AJ87" s="31" t="s">
        <v>75</v>
      </c>
      <c r="AK87" s="31" t="s">
        <v>75</v>
      </c>
      <c r="AL87" s="31" t="s">
        <v>75</v>
      </c>
      <c r="AM87" s="31"/>
      <c r="AN87" s="31"/>
      <c r="AO87" s="31"/>
      <c r="AP87" s="31"/>
      <c r="AQ87" s="31"/>
      <c r="AR87" s="31"/>
      <c r="AS87" s="31" t="s">
        <v>75</v>
      </c>
      <c r="AT87" s="31" t="s">
        <v>75</v>
      </c>
      <c r="AU87" s="31" t="s">
        <v>75</v>
      </c>
      <c r="AV87" s="31" t="s">
        <v>75</v>
      </c>
      <c r="AW87" s="31" t="s">
        <v>75</v>
      </c>
      <c r="AX87" s="31" t="s">
        <v>75</v>
      </c>
      <c r="AY87" s="31" t="s">
        <v>75</v>
      </c>
      <c r="AZ87" s="31" t="s">
        <v>75</v>
      </c>
      <c r="BA87" s="31" t="s">
        <v>75</v>
      </c>
      <c r="BB87" s="31" t="s">
        <v>75</v>
      </c>
      <c r="BC87" s="31" t="s">
        <v>75</v>
      </c>
      <c r="BD87" s="31" t="s">
        <v>75</v>
      </c>
      <c r="BE87" s="113">
        <v>0</v>
      </c>
      <c r="BF87" s="113">
        <v>0</v>
      </c>
      <c r="BG87" s="113">
        <v>0</v>
      </c>
      <c r="BH87" s="113">
        <v>0</v>
      </c>
      <c r="BI87" s="113">
        <v>0</v>
      </c>
      <c r="BJ87" s="113">
        <v>0</v>
      </c>
      <c r="BK87" s="113">
        <v>0</v>
      </c>
      <c r="BL87" s="113">
        <v>0</v>
      </c>
      <c r="BM87" s="113">
        <v>0</v>
      </c>
      <c r="BN87" s="113">
        <v>0</v>
      </c>
      <c r="BO87" s="113">
        <v>0</v>
      </c>
      <c r="BP87" s="113">
        <v>0</v>
      </c>
      <c r="BQ87" s="113">
        <v>0</v>
      </c>
      <c r="BR87" s="113">
        <v>0</v>
      </c>
      <c r="BS87" s="113">
        <v>0</v>
      </c>
      <c r="BT87" s="113">
        <v>0</v>
      </c>
      <c r="BU87" s="113">
        <v>0</v>
      </c>
      <c r="BV87" s="113">
        <v>0</v>
      </c>
      <c r="BW87" s="113"/>
      <c r="BX87" s="113"/>
      <c r="BY87" s="113"/>
      <c r="BZ87" s="113">
        <v>0</v>
      </c>
      <c r="CA87" s="113">
        <v>0</v>
      </c>
      <c r="CB87" s="113">
        <v>0</v>
      </c>
      <c r="CC87" s="113"/>
      <c r="CD87" s="113"/>
      <c r="CE87" s="113"/>
      <c r="CF87" s="113">
        <v>0</v>
      </c>
      <c r="CG87" s="113">
        <v>0</v>
      </c>
      <c r="CH87" s="113">
        <v>0</v>
      </c>
      <c r="CI87" s="113">
        <v>0</v>
      </c>
      <c r="CJ87" s="113">
        <v>0</v>
      </c>
      <c r="CK87" s="113">
        <v>0</v>
      </c>
      <c r="CL87" s="113">
        <v>0</v>
      </c>
      <c r="CM87" s="113">
        <v>0</v>
      </c>
      <c r="CN87" s="113">
        <v>0</v>
      </c>
      <c r="CO87" s="113">
        <v>0</v>
      </c>
      <c r="CP87" s="113">
        <v>0</v>
      </c>
      <c r="CQ87" s="113">
        <v>0</v>
      </c>
      <c r="CR87" s="113">
        <v>0</v>
      </c>
      <c r="CS87" s="113">
        <v>0</v>
      </c>
      <c r="CT87" s="113">
        <v>0</v>
      </c>
      <c r="CU87" s="113">
        <v>0</v>
      </c>
      <c r="CV87" s="113">
        <v>0</v>
      </c>
      <c r="CW87" s="113">
        <v>0</v>
      </c>
      <c r="CX87" s="113">
        <v>0</v>
      </c>
      <c r="CY87" s="113">
        <v>0</v>
      </c>
      <c r="CZ87" s="113">
        <v>0</v>
      </c>
      <c r="DA87" s="113">
        <v>0</v>
      </c>
      <c r="DB87" s="113">
        <v>0</v>
      </c>
      <c r="DC87" s="113">
        <v>0</v>
      </c>
      <c r="DD87" s="113">
        <v>0</v>
      </c>
      <c r="DE87" s="113">
        <v>0</v>
      </c>
      <c r="DF87" s="113">
        <v>0</v>
      </c>
      <c r="DG87" s="113">
        <v>0</v>
      </c>
      <c r="DH87" s="113">
        <v>0</v>
      </c>
      <c r="DI87" s="113">
        <v>0</v>
      </c>
      <c r="DJ87" s="113">
        <v>0</v>
      </c>
      <c r="DK87" s="113">
        <v>0</v>
      </c>
      <c r="DL87" s="113">
        <v>0</v>
      </c>
      <c r="DM87" s="113">
        <v>0</v>
      </c>
      <c r="DN87" s="113">
        <v>0</v>
      </c>
      <c r="DO87" s="113">
        <v>0</v>
      </c>
      <c r="DP87" s="113">
        <v>0</v>
      </c>
      <c r="DQ87" s="113">
        <v>0</v>
      </c>
      <c r="DR87" s="113">
        <v>0</v>
      </c>
      <c r="DS87" s="113">
        <v>0</v>
      </c>
      <c r="DT87" s="113">
        <v>0</v>
      </c>
      <c r="DU87" s="113">
        <v>0</v>
      </c>
      <c r="DV87" s="113">
        <v>0</v>
      </c>
      <c r="DW87" s="113">
        <v>0</v>
      </c>
      <c r="DX87" s="113">
        <v>0</v>
      </c>
      <c r="DY87" s="113">
        <v>0</v>
      </c>
      <c r="DZ87" s="113">
        <v>0</v>
      </c>
      <c r="EA87" s="113">
        <v>0</v>
      </c>
      <c r="EB87" s="113">
        <v>0</v>
      </c>
      <c r="EC87" s="113">
        <v>0</v>
      </c>
      <c r="ED87" s="113">
        <v>0</v>
      </c>
      <c r="EE87" s="113">
        <v>0</v>
      </c>
      <c r="EF87" s="113">
        <v>0</v>
      </c>
      <c r="EG87" s="113">
        <v>0</v>
      </c>
      <c r="EH87" s="113">
        <v>0</v>
      </c>
      <c r="EI87" s="113">
        <v>0</v>
      </c>
      <c r="EJ87" s="113">
        <v>0</v>
      </c>
      <c r="EK87" s="113">
        <v>0</v>
      </c>
      <c r="EL87" s="113">
        <v>0</v>
      </c>
      <c r="EM87" s="113">
        <v>0</v>
      </c>
      <c r="EN87" s="113">
        <v>0</v>
      </c>
      <c r="EO87" s="113">
        <v>0</v>
      </c>
      <c r="EP87" s="113">
        <v>0</v>
      </c>
      <c r="EQ87" s="113">
        <v>0</v>
      </c>
      <c r="ER87" s="113">
        <v>0</v>
      </c>
      <c r="ES87" s="113">
        <v>0</v>
      </c>
      <c r="ET87" s="113">
        <v>0</v>
      </c>
      <c r="EU87" s="113">
        <v>0</v>
      </c>
      <c r="EV87" s="113">
        <v>0</v>
      </c>
      <c r="EW87" s="113">
        <v>0</v>
      </c>
      <c r="EX87" s="113">
        <v>0</v>
      </c>
      <c r="EY87" s="113">
        <v>0</v>
      </c>
      <c r="EZ87" s="113">
        <v>0</v>
      </c>
      <c r="FA87" s="113">
        <v>0</v>
      </c>
      <c r="FB87" s="113">
        <v>0</v>
      </c>
      <c r="FC87" s="113">
        <v>0</v>
      </c>
      <c r="FD87" s="113">
        <v>0</v>
      </c>
      <c r="FE87" s="113">
        <v>0</v>
      </c>
      <c r="FF87" s="113">
        <v>0</v>
      </c>
      <c r="FG87" s="113">
        <v>0</v>
      </c>
      <c r="FH87" s="113">
        <v>0</v>
      </c>
      <c r="FI87" s="113">
        <v>0</v>
      </c>
      <c r="FJ87" s="113">
        <v>0</v>
      </c>
      <c r="FK87" s="113">
        <v>0</v>
      </c>
      <c r="FL87" s="113">
        <v>0</v>
      </c>
      <c r="FM87" s="113">
        <v>0</v>
      </c>
      <c r="FN87" s="113">
        <v>0</v>
      </c>
      <c r="FO87" s="113">
        <v>0</v>
      </c>
      <c r="FP87" s="113">
        <v>0</v>
      </c>
      <c r="FQ87" s="113">
        <v>0</v>
      </c>
      <c r="FR87" s="113">
        <v>0</v>
      </c>
      <c r="FS87" s="113">
        <v>0</v>
      </c>
      <c r="FT87" s="113">
        <v>0</v>
      </c>
      <c r="FU87" s="113">
        <v>0</v>
      </c>
      <c r="FV87" s="113">
        <v>0</v>
      </c>
      <c r="FW87" s="113">
        <v>0</v>
      </c>
      <c r="FX87" s="32">
        <v>0</v>
      </c>
      <c r="FY87" s="30">
        <v>0</v>
      </c>
      <c r="FZ87" s="30">
        <v>0</v>
      </c>
    </row>
    <row r="88" spans="1:182" x14ac:dyDescent="0.2">
      <c r="A88" s="28">
        <v>34243</v>
      </c>
      <c r="B88" s="28"/>
      <c r="C88" s="29">
        <v>378122</v>
      </c>
      <c r="D88" s="29">
        <v>180332</v>
      </c>
      <c r="E88" s="29">
        <f t="shared" si="2"/>
        <v>558454</v>
      </c>
      <c r="F88" s="30">
        <v>8196644</v>
      </c>
      <c r="G88" s="30">
        <v>0</v>
      </c>
      <c r="H88" s="30">
        <f t="shared" si="3"/>
        <v>8196644</v>
      </c>
      <c r="I88" s="42" t="s">
        <v>75</v>
      </c>
      <c r="J88" s="42" t="s">
        <v>75</v>
      </c>
      <c r="K88" s="32">
        <v>4499519</v>
      </c>
      <c r="L88" s="31" t="s">
        <v>75</v>
      </c>
      <c r="M88" s="31" t="s">
        <v>75</v>
      </c>
      <c r="N88" s="30">
        <v>12569929</v>
      </c>
      <c r="O88" s="31" t="s">
        <v>75</v>
      </c>
      <c r="P88" s="31" t="s">
        <v>75</v>
      </c>
      <c r="Q88" s="30">
        <v>12726828</v>
      </c>
      <c r="R88" s="31" t="s">
        <v>75</v>
      </c>
      <c r="S88" s="31" t="s">
        <v>75</v>
      </c>
      <c r="T88" s="32">
        <v>247844</v>
      </c>
      <c r="U88" s="31" t="s">
        <v>75</v>
      </c>
      <c r="V88" s="31" t="s">
        <v>75</v>
      </c>
      <c r="W88" s="31" t="s">
        <v>75</v>
      </c>
      <c r="X88" s="31" t="s">
        <v>75</v>
      </c>
      <c r="Y88" s="31" t="s">
        <v>75</v>
      </c>
      <c r="Z88" s="30">
        <v>227221</v>
      </c>
      <c r="AA88" s="31" t="s">
        <v>75</v>
      </c>
      <c r="AB88" s="31" t="s">
        <v>75</v>
      </c>
      <c r="AC88" s="30">
        <v>355044</v>
      </c>
      <c r="AD88" s="31" t="s">
        <v>75</v>
      </c>
      <c r="AE88" s="31" t="s">
        <v>75</v>
      </c>
      <c r="AF88" s="30">
        <v>14304</v>
      </c>
      <c r="AG88" s="42" t="s">
        <v>75</v>
      </c>
      <c r="AH88" s="42" t="s">
        <v>75</v>
      </c>
      <c r="AI88" s="32">
        <v>88315</v>
      </c>
      <c r="AJ88" s="31" t="s">
        <v>75</v>
      </c>
      <c r="AK88" s="31" t="s">
        <v>75</v>
      </c>
      <c r="AL88" s="31" t="s">
        <v>75</v>
      </c>
      <c r="AM88" s="31"/>
      <c r="AN88" s="31"/>
      <c r="AO88" s="31"/>
      <c r="AP88" s="31"/>
      <c r="AQ88" s="31"/>
      <c r="AR88" s="31"/>
      <c r="AS88" s="31" t="s">
        <v>75</v>
      </c>
      <c r="AT88" s="31" t="s">
        <v>75</v>
      </c>
      <c r="AU88" s="31" t="s">
        <v>75</v>
      </c>
      <c r="AV88" s="31" t="s">
        <v>75</v>
      </c>
      <c r="AW88" s="31" t="s">
        <v>75</v>
      </c>
      <c r="AX88" s="31" t="s">
        <v>75</v>
      </c>
      <c r="AY88" s="31" t="s">
        <v>75</v>
      </c>
      <c r="AZ88" s="31" t="s">
        <v>75</v>
      </c>
      <c r="BA88" s="31" t="s">
        <v>75</v>
      </c>
      <c r="BB88" s="31" t="s">
        <v>75</v>
      </c>
      <c r="BC88" s="31" t="s">
        <v>75</v>
      </c>
      <c r="BD88" s="31" t="s">
        <v>75</v>
      </c>
      <c r="BE88" s="113">
        <v>0</v>
      </c>
      <c r="BF88" s="113">
        <v>0</v>
      </c>
      <c r="BG88" s="113">
        <v>0</v>
      </c>
      <c r="BH88" s="113">
        <v>0</v>
      </c>
      <c r="BI88" s="113">
        <v>0</v>
      </c>
      <c r="BJ88" s="113">
        <v>0</v>
      </c>
      <c r="BK88" s="113">
        <v>0</v>
      </c>
      <c r="BL88" s="113">
        <v>0</v>
      </c>
      <c r="BM88" s="113">
        <v>0</v>
      </c>
      <c r="BN88" s="113">
        <v>0</v>
      </c>
      <c r="BO88" s="113">
        <v>0</v>
      </c>
      <c r="BP88" s="113">
        <v>0</v>
      </c>
      <c r="BQ88" s="113">
        <v>0</v>
      </c>
      <c r="BR88" s="113">
        <v>0</v>
      </c>
      <c r="BS88" s="113">
        <v>0</v>
      </c>
      <c r="BT88" s="113">
        <v>0</v>
      </c>
      <c r="BU88" s="113">
        <v>0</v>
      </c>
      <c r="BV88" s="113">
        <v>0</v>
      </c>
      <c r="BW88" s="113"/>
      <c r="BX88" s="113"/>
      <c r="BY88" s="113"/>
      <c r="BZ88" s="113">
        <v>0</v>
      </c>
      <c r="CA88" s="113">
        <v>0</v>
      </c>
      <c r="CB88" s="113">
        <v>0</v>
      </c>
      <c r="CC88" s="113"/>
      <c r="CD88" s="113"/>
      <c r="CE88" s="113"/>
      <c r="CF88" s="113">
        <v>0</v>
      </c>
      <c r="CG88" s="113">
        <v>0</v>
      </c>
      <c r="CH88" s="113">
        <v>0</v>
      </c>
      <c r="CI88" s="113">
        <v>0</v>
      </c>
      <c r="CJ88" s="113">
        <v>0</v>
      </c>
      <c r="CK88" s="113">
        <v>0</v>
      </c>
      <c r="CL88" s="113">
        <v>0</v>
      </c>
      <c r="CM88" s="113">
        <v>0</v>
      </c>
      <c r="CN88" s="113">
        <v>0</v>
      </c>
      <c r="CO88" s="113">
        <v>0</v>
      </c>
      <c r="CP88" s="113">
        <v>0</v>
      </c>
      <c r="CQ88" s="113">
        <v>0</v>
      </c>
      <c r="CR88" s="113">
        <v>0</v>
      </c>
      <c r="CS88" s="113">
        <v>0</v>
      </c>
      <c r="CT88" s="113">
        <v>0</v>
      </c>
      <c r="CU88" s="113">
        <v>0</v>
      </c>
      <c r="CV88" s="113">
        <v>0</v>
      </c>
      <c r="CW88" s="113">
        <v>0</v>
      </c>
      <c r="CX88" s="113">
        <v>0</v>
      </c>
      <c r="CY88" s="113">
        <v>0</v>
      </c>
      <c r="CZ88" s="113">
        <v>0</v>
      </c>
      <c r="DA88" s="113">
        <v>0</v>
      </c>
      <c r="DB88" s="113">
        <v>0</v>
      </c>
      <c r="DC88" s="113">
        <v>0</v>
      </c>
      <c r="DD88" s="113">
        <v>0</v>
      </c>
      <c r="DE88" s="113">
        <v>0</v>
      </c>
      <c r="DF88" s="113">
        <v>0</v>
      </c>
      <c r="DG88" s="113">
        <v>0</v>
      </c>
      <c r="DH88" s="113">
        <v>0</v>
      </c>
      <c r="DI88" s="113">
        <v>0</v>
      </c>
      <c r="DJ88" s="113">
        <v>0</v>
      </c>
      <c r="DK88" s="113">
        <v>0</v>
      </c>
      <c r="DL88" s="113">
        <v>0</v>
      </c>
      <c r="DM88" s="113">
        <v>0</v>
      </c>
      <c r="DN88" s="113">
        <v>0</v>
      </c>
      <c r="DO88" s="113">
        <v>0</v>
      </c>
      <c r="DP88" s="113">
        <v>0</v>
      </c>
      <c r="DQ88" s="113">
        <v>0</v>
      </c>
      <c r="DR88" s="113">
        <v>0</v>
      </c>
      <c r="DS88" s="113">
        <v>0</v>
      </c>
      <c r="DT88" s="113">
        <v>0</v>
      </c>
      <c r="DU88" s="113">
        <v>0</v>
      </c>
      <c r="DV88" s="113">
        <v>0</v>
      </c>
      <c r="DW88" s="113">
        <v>0</v>
      </c>
      <c r="DX88" s="113">
        <v>0</v>
      </c>
      <c r="DY88" s="113">
        <v>0</v>
      </c>
      <c r="DZ88" s="113">
        <v>0</v>
      </c>
      <c r="EA88" s="113">
        <v>0</v>
      </c>
      <c r="EB88" s="113">
        <v>0</v>
      </c>
      <c r="EC88" s="113">
        <v>0</v>
      </c>
      <c r="ED88" s="113">
        <v>0</v>
      </c>
      <c r="EE88" s="113">
        <v>0</v>
      </c>
      <c r="EF88" s="113">
        <v>0</v>
      </c>
      <c r="EG88" s="113">
        <v>0</v>
      </c>
      <c r="EH88" s="113">
        <v>0</v>
      </c>
      <c r="EI88" s="113">
        <v>0</v>
      </c>
      <c r="EJ88" s="113">
        <v>0</v>
      </c>
      <c r="EK88" s="113">
        <v>0</v>
      </c>
      <c r="EL88" s="113">
        <v>0</v>
      </c>
      <c r="EM88" s="113">
        <v>0</v>
      </c>
      <c r="EN88" s="113">
        <v>0</v>
      </c>
      <c r="EO88" s="113">
        <v>0</v>
      </c>
      <c r="EP88" s="113">
        <v>0</v>
      </c>
      <c r="EQ88" s="113">
        <v>0</v>
      </c>
      <c r="ER88" s="113">
        <v>0</v>
      </c>
      <c r="ES88" s="113">
        <v>0</v>
      </c>
      <c r="ET88" s="113">
        <v>0</v>
      </c>
      <c r="EU88" s="113">
        <v>0</v>
      </c>
      <c r="EV88" s="113">
        <v>0</v>
      </c>
      <c r="EW88" s="113">
        <v>0</v>
      </c>
      <c r="EX88" s="113">
        <v>0</v>
      </c>
      <c r="EY88" s="113">
        <v>0</v>
      </c>
      <c r="EZ88" s="113">
        <v>0</v>
      </c>
      <c r="FA88" s="113">
        <v>0</v>
      </c>
      <c r="FB88" s="113">
        <v>0</v>
      </c>
      <c r="FC88" s="113">
        <v>0</v>
      </c>
      <c r="FD88" s="113">
        <v>0</v>
      </c>
      <c r="FE88" s="113">
        <v>0</v>
      </c>
      <c r="FF88" s="113">
        <v>0</v>
      </c>
      <c r="FG88" s="113">
        <v>0</v>
      </c>
      <c r="FH88" s="113">
        <v>0</v>
      </c>
      <c r="FI88" s="113">
        <v>0</v>
      </c>
      <c r="FJ88" s="113">
        <v>0</v>
      </c>
      <c r="FK88" s="113">
        <v>0</v>
      </c>
      <c r="FL88" s="113">
        <v>0</v>
      </c>
      <c r="FM88" s="113">
        <v>0</v>
      </c>
      <c r="FN88" s="113">
        <v>0</v>
      </c>
      <c r="FO88" s="113">
        <v>0</v>
      </c>
      <c r="FP88" s="113">
        <v>0</v>
      </c>
      <c r="FQ88" s="113">
        <v>0</v>
      </c>
      <c r="FR88" s="113">
        <v>0</v>
      </c>
      <c r="FS88" s="113">
        <v>0</v>
      </c>
      <c r="FT88" s="113">
        <v>0</v>
      </c>
      <c r="FU88" s="113">
        <v>0</v>
      </c>
      <c r="FV88" s="113">
        <v>0</v>
      </c>
      <c r="FW88" s="113">
        <v>0</v>
      </c>
      <c r="FX88" s="32">
        <v>0</v>
      </c>
      <c r="FY88" s="30">
        <v>0</v>
      </c>
      <c r="FZ88" s="30">
        <v>0</v>
      </c>
    </row>
    <row r="89" spans="1:182" x14ac:dyDescent="0.2">
      <c r="A89" s="28">
        <v>34274</v>
      </c>
      <c r="B89" s="28"/>
      <c r="C89" s="29">
        <v>263476</v>
      </c>
      <c r="D89" s="29">
        <v>75698</v>
      </c>
      <c r="E89" s="29">
        <f t="shared" si="2"/>
        <v>339174</v>
      </c>
      <c r="F89" s="30">
        <v>9126369</v>
      </c>
      <c r="G89" s="30">
        <v>0</v>
      </c>
      <c r="H89" s="30">
        <f t="shared" si="3"/>
        <v>9126369</v>
      </c>
      <c r="I89" s="42" t="s">
        <v>75</v>
      </c>
      <c r="J89" s="42" t="s">
        <v>75</v>
      </c>
      <c r="K89" s="32">
        <v>3865230</v>
      </c>
      <c r="L89" s="31" t="s">
        <v>75</v>
      </c>
      <c r="M89" s="31" t="s">
        <v>75</v>
      </c>
      <c r="N89" s="30">
        <v>10752595</v>
      </c>
      <c r="O89" s="31" t="s">
        <v>75</v>
      </c>
      <c r="P89" s="31" t="s">
        <v>75</v>
      </c>
      <c r="Q89" s="30">
        <v>14590562</v>
      </c>
      <c r="R89" s="31" t="s">
        <v>75</v>
      </c>
      <c r="S89" s="31" t="s">
        <v>75</v>
      </c>
      <c r="T89" s="32">
        <v>84769</v>
      </c>
      <c r="U89" s="31" t="s">
        <v>75</v>
      </c>
      <c r="V89" s="31" t="s">
        <v>75</v>
      </c>
      <c r="W89" s="31" t="s">
        <v>75</v>
      </c>
      <c r="X89" s="31" t="s">
        <v>75</v>
      </c>
      <c r="Y89" s="31" t="s">
        <v>75</v>
      </c>
      <c r="Z89" s="30">
        <v>254361</v>
      </c>
      <c r="AA89" s="31" t="s">
        <v>75</v>
      </c>
      <c r="AB89" s="31" t="s">
        <v>75</v>
      </c>
      <c r="AC89" s="30">
        <v>242605</v>
      </c>
      <c r="AD89" s="31" t="s">
        <v>75</v>
      </c>
      <c r="AE89" s="31" t="s">
        <v>75</v>
      </c>
      <c r="AF89" s="30">
        <v>32417</v>
      </c>
      <c r="AG89" s="42" t="s">
        <v>75</v>
      </c>
      <c r="AH89" s="42" t="s">
        <v>75</v>
      </c>
      <c r="AI89" s="32">
        <v>76548</v>
      </c>
      <c r="AJ89" s="31" t="s">
        <v>75</v>
      </c>
      <c r="AK89" s="31" t="s">
        <v>75</v>
      </c>
      <c r="AL89" s="31" t="s">
        <v>75</v>
      </c>
      <c r="AM89" s="31"/>
      <c r="AN89" s="31"/>
      <c r="AO89" s="31"/>
      <c r="AP89" s="31"/>
      <c r="AQ89" s="31"/>
      <c r="AR89" s="31"/>
      <c r="AS89" s="31" t="s">
        <v>75</v>
      </c>
      <c r="AT89" s="31" t="s">
        <v>75</v>
      </c>
      <c r="AU89" s="31" t="s">
        <v>75</v>
      </c>
      <c r="AV89" s="31" t="s">
        <v>75</v>
      </c>
      <c r="AW89" s="31" t="s">
        <v>75</v>
      </c>
      <c r="AX89" s="31" t="s">
        <v>75</v>
      </c>
      <c r="AY89" s="31" t="s">
        <v>75</v>
      </c>
      <c r="AZ89" s="31" t="s">
        <v>75</v>
      </c>
      <c r="BA89" s="31" t="s">
        <v>75</v>
      </c>
      <c r="BB89" s="31" t="s">
        <v>75</v>
      </c>
      <c r="BC89" s="31" t="s">
        <v>75</v>
      </c>
      <c r="BD89" s="31" t="s">
        <v>75</v>
      </c>
      <c r="BE89" s="113">
        <v>0</v>
      </c>
      <c r="BF89" s="113">
        <v>0</v>
      </c>
      <c r="BG89" s="113">
        <v>0</v>
      </c>
      <c r="BH89" s="113">
        <v>0</v>
      </c>
      <c r="BI89" s="113">
        <v>0</v>
      </c>
      <c r="BJ89" s="113">
        <v>0</v>
      </c>
      <c r="BK89" s="113">
        <v>0</v>
      </c>
      <c r="BL89" s="113">
        <v>0</v>
      </c>
      <c r="BM89" s="113">
        <v>0</v>
      </c>
      <c r="BN89" s="113">
        <v>0</v>
      </c>
      <c r="BO89" s="113">
        <v>0</v>
      </c>
      <c r="BP89" s="113">
        <v>0</v>
      </c>
      <c r="BQ89" s="113">
        <v>0</v>
      </c>
      <c r="BR89" s="113">
        <v>0</v>
      </c>
      <c r="BS89" s="113">
        <v>0</v>
      </c>
      <c r="BT89" s="113">
        <v>0</v>
      </c>
      <c r="BU89" s="113">
        <v>0</v>
      </c>
      <c r="BV89" s="113">
        <v>0</v>
      </c>
      <c r="BW89" s="113"/>
      <c r="BX89" s="113"/>
      <c r="BY89" s="113"/>
      <c r="BZ89" s="113">
        <v>0</v>
      </c>
      <c r="CA89" s="113">
        <v>0</v>
      </c>
      <c r="CB89" s="113">
        <v>0</v>
      </c>
      <c r="CC89" s="113"/>
      <c r="CD89" s="113"/>
      <c r="CE89" s="113"/>
      <c r="CF89" s="113">
        <v>0</v>
      </c>
      <c r="CG89" s="113">
        <v>0</v>
      </c>
      <c r="CH89" s="113">
        <v>0</v>
      </c>
      <c r="CI89" s="113">
        <v>0</v>
      </c>
      <c r="CJ89" s="113">
        <v>0</v>
      </c>
      <c r="CK89" s="113">
        <v>0</v>
      </c>
      <c r="CL89" s="113">
        <v>0</v>
      </c>
      <c r="CM89" s="113">
        <v>0</v>
      </c>
      <c r="CN89" s="113">
        <v>0</v>
      </c>
      <c r="CO89" s="113">
        <v>0</v>
      </c>
      <c r="CP89" s="113">
        <v>0</v>
      </c>
      <c r="CQ89" s="113">
        <v>0</v>
      </c>
      <c r="CR89" s="113">
        <v>0</v>
      </c>
      <c r="CS89" s="113">
        <v>0</v>
      </c>
      <c r="CT89" s="113">
        <v>0</v>
      </c>
      <c r="CU89" s="113">
        <v>0</v>
      </c>
      <c r="CV89" s="113">
        <v>0</v>
      </c>
      <c r="CW89" s="113">
        <v>0</v>
      </c>
      <c r="CX89" s="113">
        <v>0</v>
      </c>
      <c r="CY89" s="113">
        <v>0</v>
      </c>
      <c r="CZ89" s="113">
        <v>0</v>
      </c>
      <c r="DA89" s="113">
        <v>0</v>
      </c>
      <c r="DB89" s="113">
        <v>0</v>
      </c>
      <c r="DC89" s="113">
        <v>0</v>
      </c>
      <c r="DD89" s="113">
        <v>0</v>
      </c>
      <c r="DE89" s="113">
        <v>0</v>
      </c>
      <c r="DF89" s="113">
        <v>0</v>
      </c>
      <c r="DG89" s="113">
        <v>0</v>
      </c>
      <c r="DH89" s="113">
        <v>0</v>
      </c>
      <c r="DI89" s="113">
        <v>0</v>
      </c>
      <c r="DJ89" s="113">
        <v>0</v>
      </c>
      <c r="DK89" s="113">
        <v>0</v>
      </c>
      <c r="DL89" s="113">
        <v>0</v>
      </c>
      <c r="DM89" s="113">
        <v>0</v>
      </c>
      <c r="DN89" s="113">
        <v>0</v>
      </c>
      <c r="DO89" s="113">
        <v>0</v>
      </c>
      <c r="DP89" s="113">
        <v>0</v>
      </c>
      <c r="DQ89" s="113">
        <v>0</v>
      </c>
      <c r="DR89" s="113">
        <v>0</v>
      </c>
      <c r="DS89" s="113">
        <v>0</v>
      </c>
      <c r="DT89" s="113">
        <v>0</v>
      </c>
      <c r="DU89" s="113">
        <v>0</v>
      </c>
      <c r="DV89" s="113">
        <v>0</v>
      </c>
      <c r="DW89" s="113">
        <v>0</v>
      </c>
      <c r="DX89" s="113">
        <v>0</v>
      </c>
      <c r="DY89" s="113">
        <v>0</v>
      </c>
      <c r="DZ89" s="113">
        <v>0</v>
      </c>
      <c r="EA89" s="113">
        <v>0</v>
      </c>
      <c r="EB89" s="113">
        <v>0</v>
      </c>
      <c r="EC89" s="113">
        <v>0</v>
      </c>
      <c r="ED89" s="113">
        <v>0</v>
      </c>
      <c r="EE89" s="113">
        <v>0</v>
      </c>
      <c r="EF89" s="113">
        <v>0</v>
      </c>
      <c r="EG89" s="113">
        <v>0</v>
      </c>
      <c r="EH89" s="113">
        <v>0</v>
      </c>
      <c r="EI89" s="113">
        <v>0</v>
      </c>
      <c r="EJ89" s="113">
        <v>0</v>
      </c>
      <c r="EK89" s="113">
        <v>0</v>
      </c>
      <c r="EL89" s="113">
        <v>0</v>
      </c>
      <c r="EM89" s="113">
        <v>0</v>
      </c>
      <c r="EN89" s="113">
        <v>0</v>
      </c>
      <c r="EO89" s="113">
        <v>0</v>
      </c>
      <c r="EP89" s="113">
        <v>0</v>
      </c>
      <c r="EQ89" s="113">
        <v>0</v>
      </c>
      <c r="ER89" s="113">
        <v>0</v>
      </c>
      <c r="ES89" s="113">
        <v>0</v>
      </c>
      <c r="ET89" s="113">
        <v>0</v>
      </c>
      <c r="EU89" s="113">
        <v>0</v>
      </c>
      <c r="EV89" s="113">
        <v>0</v>
      </c>
      <c r="EW89" s="113">
        <v>0</v>
      </c>
      <c r="EX89" s="113">
        <v>0</v>
      </c>
      <c r="EY89" s="113">
        <v>0</v>
      </c>
      <c r="EZ89" s="113">
        <v>0</v>
      </c>
      <c r="FA89" s="113">
        <v>0</v>
      </c>
      <c r="FB89" s="113">
        <v>0</v>
      </c>
      <c r="FC89" s="113">
        <v>0</v>
      </c>
      <c r="FD89" s="113">
        <v>0</v>
      </c>
      <c r="FE89" s="113">
        <v>0</v>
      </c>
      <c r="FF89" s="113">
        <v>0</v>
      </c>
      <c r="FG89" s="113">
        <v>0</v>
      </c>
      <c r="FH89" s="113">
        <v>0</v>
      </c>
      <c r="FI89" s="113">
        <v>0</v>
      </c>
      <c r="FJ89" s="113">
        <v>0</v>
      </c>
      <c r="FK89" s="113">
        <v>0</v>
      </c>
      <c r="FL89" s="113">
        <v>0</v>
      </c>
      <c r="FM89" s="113">
        <v>0</v>
      </c>
      <c r="FN89" s="113">
        <v>0</v>
      </c>
      <c r="FO89" s="113">
        <v>0</v>
      </c>
      <c r="FP89" s="113">
        <v>0</v>
      </c>
      <c r="FQ89" s="113">
        <v>0</v>
      </c>
      <c r="FR89" s="113">
        <v>0</v>
      </c>
      <c r="FS89" s="113">
        <v>0</v>
      </c>
      <c r="FT89" s="113">
        <v>0</v>
      </c>
      <c r="FU89" s="113">
        <v>0</v>
      </c>
      <c r="FV89" s="113">
        <v>0</v>
      </c>
      <c r="FW89" s="113">
        <v>0</v>
      </c>
      <c r="FX89" s="32">
        <v>0</v>
      </c>
      <c r="FY89" s="30">
        <v>0</v>
      </c>
      <c r="FZ89" s="30">
        <v>0</v>
      </c>
    </row>
    <row r="90" spans="1:182" x14ac:dyDescent="0.2">
      <c r="A90" s="28">
        <v>34304</v>
      </c>
      <c r="B90" s="28"/>
      <c r="C90" s="29">
        <v>403161</v>
      </c>
      <c r="D90" s="29">
        <v>195001</v>
      </c>
      <c r="E90" s="29">
        <f t="shared" si="2"/>
        <v>598162</v>
      </c>
      <c r="F90" s="30">
        <v>11690784</v>
      </c>
      <c r="G90" s="30">
        <v>0</v>
      </c>
      <c r="H90" s="30">
        <f t="shared" si="3"/>
        <v>11690784</v>
      </c>
      <c r="I90" s="42" t="s">
        <v>75</v>
      </c>
      <c r="J90" s="42" t="s">
        <v>75</v>
      </c>
      <c r="K90" s="32">
        <v>6430860</v>
      </c>
      <c r="L90" s="31" t="s">
        <v>75</v>
      </c>
      <c r="M90" s="31" t="s">
        <v>75</v>
      </c>
      <c r="N90" s="30">
        <v>18693054</v>
      </c>
      <c r="O90" s="31" t="s">
        <v>75</v>
      </c>
      <c r="P90" s="31" t="s">
        <v>75</v>
      </c>
      <c r="Q90" s="30">
        <v>18938512</v>
      </c>
      <c r="R90" s="31" t="s">
        <v>75</v>
      </c>
      <c r="S90" s="31" t="s">
        <v>75</v>
      </c>
      <c r="T90" s="32">
        <v>39410</v>
      </c>
      <c r="U90" s="31" t="s">
        <v>75</v>
      </c>
      <c r="V90" s="31" t="s">
        <v>75</v>
      </c>
      <c r="W90" s="31" t="s">
        <v>75</v>
      </c>
      <c r="X90" s="31" t="s">
        <v>75</v>
      </c>
      <c r="Y90" s="31" t="s">
        <v>75</v>
      </c>
      <c r="Z90" s="30">
        <v>215990</v>
      </c>
      <c r="AA90" s="31" t="s">
        <v>75</v>
      </c>
      <c r="AB90" s="31" t="s">
        <v>75</v>
      </c>
      <c r="AC90" s="30">
        <v>396119</v>
      </c>
      <c r="AD90" s="31" t="s">
        <v>75</v>
      </c>
      <c r="AE90" s="31" t="s">
        <v>75</v>
      </c>
      <c r="AF90" s="30">
        <v>53665</v>
      </c>
      <c r="AG90" s="42" t="s">
        <v>75</v>
      </c>
      <c r="AH90" s="42" t="s">
        <v>75</v>
      </c>
      <c r="AI90" s="32">
        <v>109202</v>
      </c>
      <c r="AJ90" s="31" t="s">
        <v>75</v>
      </c>
      <c r="AK90" s="31" t="s">
        <v>75</v>
      </c>
      <c r="AL90" s="31" t="s">
        <v>75</v>
      </c>
      <c r="AM90" s="31"/>
      <c r="AN90" s="31"/>
      <c r="AO90" s="31"/>
      <c r="AP90" s="31"/>
      <c r="AQ90" s="31"/>
      <c r="AR90" s="31"/>
      <c r="AS90" s="31" t="s">
        <v>75</v>
      </c>
      <c r="AT90" s="31" t="s">
        <v>75</v>
      </c>
      <c r="AU90" s="31" t="s">
        <v>75</v>
      </c>
      <c r="AV90" s="31" t="s">
        <v>75</v>
      </c>
      <c r="AW90" s="31" t="s">
        <v>75</v>
      </c>
      <c r="AX90" s="31" t="s">
        <v>75</v>
      </c>
      <c r="AY90" s="31" t="s">
        <v>75</v>
      </c>
      <c r="AZ90" s="31" t="s">
        <v>75</v>
      </c>
      <c r="BA90" s="31" t="s">
        <v>75</v>
      </c>
      <c r="BB90" s="31" t="s">
        <v>75</v>
      </c>
      <c r="BC90" s="31" t="s">
        <v>75</v>
      </c>
      <c r="BD90" s="31" t="s">
        <v>75</v>
      </c>
      <c r="BE90" s="113">
        <v>0</v>
      </c>
      <c r="BF90" s="113">
        <v>0</v>
      </c>
      <c r="BG90" s="113">
        <v>0</v>
      </c>
      <c r="BH90" s="113">
        <v>0</v>
      </c>
      <c r="BI90" s="113">
        <v>0</v>
      </c>
      <c r="BJ90" s="113">
        <v>0</v>
      </c>
      <c r="BK90" s="113">
        <v>0</v>
      </c>
      <c r="BL90" s="113">
        <v>0</v>
      </c>
      <c r="BM90" s="113">
        <v>0</v>
      </c>
      <c r="BN90" s="113">
        <v>0</v>
      </c>
      <c r="BO90" s="113">
        <v>0</v>
      </c>
      <c r="BP90" s="113">
        <v>0</v>
      </c>
      <c r="BQ90" s="113">
        <v>0</v>
      </c>
      <c r="BR90" s="113">
        <v>0</v>
      </c>
      <c r="BS90" s="113">
        <v>0</v>
      </c>
      <c r="BT90" s="113">
        <v>0</v>
      </c>
      <c r="BU90" s="113">
        <v>0</v>
      </c>
      <c r="BV90" s="113">
        <v>0</v>
      </c>
      <c r="BW90" s="113"/>
      <c r="BX90" s="113"/>
      <c r="BY90" s="113"/>
      <c r="BZ90" s="113">
        <v>0</v>
      </c>
      <c r="CA90" s="113">
        <v>0</v>
      </c>
      <c r="CB90" s="113">
        <v>0</v>
      </c>
      <c r="CC90" s="113"/>
      <c r="CD90" s="113"/>
      <c r="CE90" s="113"/>
      <c r="CF90" s="113">
        <v>0</v>
      </c>
      <c r="CG90" s="113">
        <v>0</v>
      </c>
      <c r="CH90" s="113">
        <v>0</v>
      </c>
      <c r="CI90" s="113">
        <v>0</v>
      </c>
      <c r="CJ90" s="113">
        <v>0</v>
      </c>
      <c r="CK90" s="113">
        <v>0</v>
      </c>
      <c r="CL90" s="113">
        <v>0</v>
      </c>
      <c r="CM90" s="113">
        <v>0</v>
      </c>
      <c r="CN90" s="113">
        <v>0</v>
      </c>
      <c r="CO90" s="113">
        <v>0</v>
      </c>
      <c r="CP90" s="113">
        <v>0</v>
      </c>
      <c r="CQ90" s="113">
        <v>0</v>
      </c>
      <c r="CR90" s="113">
        <v>0</v>
      </c>
      <c r="CS90" s="113">
        <v>0</v>
      </c>
      <c r="CT90" s="113">
        <v>0</v>
      </c>
      <c r="CU90" s="113">
        <v>0</v>
      </c>
      <c r="CV90" s="113">
        <v>0</v>
      </c>
      <c r="CW90" s="113">
        <v>0</v>
      </c>
      <c r="CX90" s="113">
        <v>0</v>
      </c>
      <c r="CY90" s="113">
        <v>0</v>
      </c>
      <c r="CZ90" s="113">
        <v>0</v>
      </c>
      <c r="DA90" s="113">
        <v>0</v>
      </c>
      <c r="DB90" s="113">
        <v>0</v>
      </c>
      <c r="DC90" s="113">
        <v>0</v>
      </c>
      <c r="DD90" s="113">
        <v>0</v>
      </c>
      <c r="DE90" s="113">
        <v>0</v>
      </c>
      <c r="DF90" s="113">
        <v>0</v>
      </c>
      <c r="DG90" s="113">
        <v>0</v>
      </c>
      <c r="DH90" s="113">
        <v>0</v>
      </c>
      <c r="DI90" s="113">
        <v>0</v>
      </c>
      <c r="DJ90" s="113">
        <v>0</v>
      </c>
      <c r="DK90" s="113">
        <v>0</v>
      </c>
      <c r="DL90" s="113">
        <v>0</v>
      </c>
      <c r="DM90" s="113">
        <v>0</v>
      </c>
      <c r="DN90" s="113">
        <v>0</v>
      </c>
      <c r="DO90" s="113">
        <v>0</v>
      </c>
      <c r="DP90" s="113">
        <v>0</v>
      </c>
      <c r="DQ90" s="113">
        <v>0</v>
      </c>
      <c r="DR90" s="113">
        <v>0</v>
      </c>
      <c r="DS90" s="113">
        <v>0</v>
      </c>
      <c r="DT90" s="113">
        <v>0</v>
      </c>
      <c r="DU90" s="113">
        <v>0</v>
      </c>
      <c r="DV90" s="113">
        <v>0</v>
      </c>
      <c r="DW90" s="113">
        <v>0</v>
      </c>
      <c r="DX90" s="113">
        <v>0</v>
      </c>
      <c r="DY90" s="113">
        <v>0</v>
      </c>
      <c r="DZ90" s="113">
        <v>0</v>
      </c>
      <c r="EA90" s="113">
        <v>0</v>
      </c>
      <c r="EB90" s="113">
        <v>0</v>
      </c>
      <c r="EC90" s="113">
        <v>0</v>
      </c>
      <c r="ED90" s="113">
        <v>0</v>
      </c>
      <c r="EE90" s="113">
        <v>0</v>
      </c>
      <c r="EF90" s="113">
        <v>0</v>
      </c>
      <c r="EG90" s="113">
        <v>0</v>
      </c>
      <c r="EH90" s="113">
        <v>0</v>
      </c>
      <c r="EI90" s="113">
        <v>0</v>
      </c>
      <c r="EJ90" s="113">
        <v>0</v>
      </c>
      <c r="EK90" s="113">
        <v>0</v>
      </c>
      <c r="EL90" s="113">
        <v>0</v>
      </c>
      <c r="EM90" s="113">
        <v>0</v>
      </c>
      <c r="EN90" s="113">
        <v>0</v>
      </c>
      <c r="EO90" s="113">
        <v>0</v>
      </c>
      <c r="EP90" s="113">
        <v>0</v>
      </c>
      <c r="EQ90" s="113">
        <v>0</v>
      </c>
      <c r="ER90" s="113">
        <v>0</v>
      </c>
      <c r="ES90" s="113">
        <v>0</v>
      </c>
      <c r="ET90" s="113">
        <v>0</v>
      </c>
      <c r="EU90" s="113">
        <v>0</v>
      </c>
      <c r="EV90" s="113">
        <v>0</v>
      </c>
      <c r="EW90" s="113">
        <v>0</v>
      </c>
      <c r="EX90" s="113">
        <v>0</v>
      </c>
      <c r="EY90" s="113">
        <v>0</v>
      </c>
      <c r="EZ90" s="113">
        <v>0</v>
      </c>
      <c r="FA90" s="113">
        <v>0</v>
      </c>
      <c r="FB90" s="113">
        <v>0</v>
      </c>
      <c r="FC90" s="113">
        <v>0</v>
      </c>
      <c r="FD90" s="113">
        <v>0</v>
      </c>
      <c r="FE90" s="113">
        <v>0</v>
      </c>
      <c r="FF90" s="113">
        <v>0</v>
      </c>
      <c r="FG90" s="113">
        <v>0</v>
      </c>
      <c r="FH90" s="113">
        <v>0</v>
      </c>
      <c r="FI90" s="113">
        <v>0</v>
      </c>
      <c r="FJ90" s="113">
        <v>0</v>
      </c>
      <c r="FK90" s="113">
        <v>0</v>
      </c>
      <c r="FL90" s="113">
        <v>0</v>
      </c>
      <c r="FM90" s="113">
        <v>0</v>
      </c>
      <c r="FN90" s="113">
        <v>0</v>
      </c>
      <c r="FO90" s="113">
        <v>0</v>
      </c>
      <c r="FP90" s="113">
        <v>0</v>
      </c>
      <c r="FQ90" s="113">
        <v>0</v>
      </c>
      <c r="FR90" s="113">
        <v>0</v>
      </c>
      <c r="FS90" s="113">
        <v>0</v>
      </c>
      <c r="FT90" s="113">
        <v>0</v>
      </c>
      <c r="FU90" s="113">
        <v>0</v>
      </c>
      <c r="FV90" s="113">
        <v>0</v>
      </c>
      <c r="FW90" s="113">
        <v>0</v>
      </c>
      <c r="FX90" s="32">
        <v>0</v>
      </c>
      <c r="FY90" s="30">
        <v>0</v>
      </c>
      <c r="FZ90" s="30">
        <v>0</v>
      </c>
    </row>
    <row r="91" spans="1:182" x14ac:dyDescent="0.2">
      <c r="A91" s="28">
        <v>34335</v>
      </c>
      <c r="B91" s="28"/>
      <c r="C91" s="29">
        <v>107710</v>
      </c>
      <c r="D91" s="29">
        <v>51587</v>
      </c>
      <c r="E91" s="29">
        <f t="shared" si="2"/>
        <v>159297</v>
      </c>
      <c r="F91" s="30">
        <v>8154585</v>
      </c>
      <c r="G91" s="30">
        <v>0</v>
      </c>
      <c r="H91" s="30">
        <f t="shared" si="3"/>
        <v>8154585</v>
      </c>
      <c r="I91" s="42" t="s">
        <v>75</v>
      </c>
      <c r="J91" s="42" t="s">
        <v>75</v>
      </c>
      <c r="K91" s="32">
        <v>4860062</v>
      </c>
      <c r="L91" s="31" t="s">
        <v>75</v>
      </c>
      <c r="M91" s="31" t="s">
        <v>75</v>
      </c>
      <c r="N91" s="30">
        <v>12156434</v>
      </c>
      <c r="O91" s="31" t="s">
        <v>75</v>
      </c>
      <c r="P91" s="31" t="s">
        <v>75</v>
      </c>
      <c r="Q91" s="30">
        <v>14618453</v>
      </c>
      <c r="R91" s="31" t="s">
        <v>75</v>
      </c>
      <c r="S91" s="31" t="s">
        <v>75</v>
      </c>
      <c r="T91" s="32">
        <v>49018</v>
      </c>
      <c r="U91" s="31" t="s">
        <v>75</v>
      </c>
      <c r="V91" s="31" t="s">
        <v>75</v>
      </c>
      <c r="W91" s="31" t="s">
        <v>75</v>
      </c>
      <c r="X91" s="31" t="s">
        <v>75</v>
      </c>
      <c r="Y91" s="31" t="s">
        <v>75</v>
      </c>
      <c r="Z91" s="30">
        <v>58025</v>
      </c>
      <c r="AA91" s="31" t="s">
        <v>75</v>
      </c>
      <c r="AB91" s="31" t="s">
        <v>75</v>
      </c>
      <c r="AC91" s="30">
        <v>188467</v>
      </c>
      <c r="AD91" s="31" t="s">
        <v>75</v>
      </c>
      <c r="AE91" s="31" t="s">
        <v>75</v>
      </c>
      <c r="AF91" s="30">
        <v>14088</v>
      </c>
      <c r="AG91" s="42" t="s">
        <v>75</v>
      </c>
      <c r="AH91" s="42" t="s">
        <v>75</v>
      </c>
      <c r="AI91" s="32">
        <v>59395</v>
      </c>
      <c r="AJ91" s="31" t="s">
        <v>75</v>
      </c>
      <c r="AK91" s="31" t="s">
        <v>75</v>
      </c>
      <c r="AL91" s="31" t="s">
        <v>75</v>
      </c>
      <c r="AM91" s="31"/>
      <c r="AN91" s="31"/>
      <c r="AO91" s="31"/>
      <c r="AP91" s="31"/>
      <c r="AQ91" s="31"/>
      <c r="AR91" s="31"/>
      <c r="AS91" s="31" t="s">
        <v>75</v>
      </c>
      <c r="AT91" s="31" t="s">
        <v>75</v>
      </c>
      <c r="AU91" s="31" t="s">
        <v>75</v>
      </c>
      <c r="AV91" s="31" t="s">
        <v>75</v>
      </c>
      <c r="AW91" s="31" t="s">
        <v>75</v>
      </c>
      <c r="AX91" s="31" t="s">
        <v>75</v>
      </c>
      <c r="AY91" s="31" t="s">
        <v>75</v>
      </c>
      <c r="AZ91" s="31" t="s">
        <v>75</v>
      </c>
      <c r="BA91" s="31" t="s">
        <v>75</v>
      </c>
      <c r="BB91" s="31" t="s">
        <v>75</v>
      </c>
      <c r="BC91" s="31" t="s">
        <v>75</v>
      </c>
      <c r="BD91" s="31" t="s">
        <v>75</v>
      </c>
      <c r="BE91" s="113">
        <v>0</v>
      </c>
      <c r="BF91" s="113">
        <v>0</v>
      </c>
      <c r="BG91" s="113">
        <v>0</v>
      </c>
      <c r="BH91" s="113">
        <v>0</v>
      </c>
      <c r="BI91" s="113">
        <v>0</v>
      </c>
      <c r="BJ91" s="113">
        <v>0</v>
      </c>
      <c r="BK91" s="113">
        <v>0</v>
      </c>
      <c r="BL91" s="113">
        <v>0</v>
      </c>
      <c r="BM91" s="113">
        <v>0</v>
      </c>
      <c r="BN91" s="113">
        <v>0</v>
      </c>
      <c r="BO91" s="113">
        <v>0</v>
      </c>
      <c r="BP91" s="113">
        <v>0</v>
      </c>
      <c r="BQ91" s="113">
        <v>0</v>
      </c>
      <c r="BR91" s="113">
        <v>0</v>
      </c>
      <c r="BS91" s="113">
        <v>0</v>
      </c>
      <c r="BT91" s="113">
        <v>0</v>
      </c>
      <c r="BU91" s="113">
        <v>0</v>
      </c>
      <c r="BV91" s="113">
        <v>0</v>
      </c>
      <c r="BW91" s="113"/>
      <c r="BX91" s="113"/>
      <c r="BY91" s="113"/>
      <c r="BZ91" s="113">
        <v>0</v>
      </c>
      <c r="CA91" s="113">
        <v>0</v>
      </c>
      <c r="CB91" s="113">
        <v>0</v>
      </c>
      <c r="CC91" s="113"/>
      <c r="CD91" s="113"/>
      <c r="CE91" s="113"/>
      <c r="CF91" s="113">
        <v>0</v>
      </c>
      <c r="CG91" s="113">
        <v>0</v>
      </c>
      <c r="CH91" s="113">
        <v>0</v>
      </c>
      <c r="CI91" s="113">
        <v>0</v>
      </c>
      <c r="CJ91" s="113">
        <v>0</v>
      </c>
      <c r="CK91" s="113">
        <v>0</v>
      </c>
      <c r="CL91" s="113">
        <v>0</v>
      </c>
      <c r="CM91" s="113">
        <v>0</v>
      </c>
      <c r="CN91" s="113">
        <v>0</v>
      </c>
      <c r="CO91" s="113">
        <v>0</v>
      </c>
      <c r="CP91" s="113">
        <v>0</v>
      </c>
      <c r="CQ91" s="113">
        <v>0</v>
      </c>
      <c r="CR91" s="113">
        <v>0</v>
      </c>
      <c r="CS91" s="113">
        <v>0</v>
      </c>
      <c r="CT91" s="113">
        <v>0</v>
      </c>
      <c r="CU91" s="113">
        <v>0</v>
      </c>
      <c r="CV91" s="113">
        <v>0</v>
      </c>
      <c r="CW91" s="113">
        <v>0</v>
      </c>
      <c r="CX91" s="113">
        <v>0</v>
      </c>
      <c r="CY91" s="113">
        <v>0</v>
      </c>
      <c r="CZ91" s="113">
        <v>0</v>
      </c>
      <c r="DA91" s="113">
        <v>0</v>
      </c>
      <c r="DB91" s="113">
        <v>0</v>
      </c>
      <c r="DC91" s="113">
        <v>0</v>
      </c>
      <c r="DD91" s="113">
        <v>0</v>
      </c>
      <c r="DE91" s="113">
        <v>0</v>
      </c>
      <c r="DF91" s="113">
        <v>0</v>
      </c>
      <c r="DG91" s="113">
        <v>0</v>
      </c>
      <c r="DH91" s="113">
        <v>0</v>
      </c>
      <c r="DI91" s="113">
        <v>0</v>
      </c>
      <c r="DJ91" s="113">
        <v>0</v>
      </c>
      <c r="DK91" s="113">
        <v>0</v>
      </c>
      <c r="DL91" s="113">
        <v>0</v>
      </c>
      <c r="DM91" s="113">
        <v>0</v>
      </c>
      <c r="DN91" s="113">
        <v>0</v>
      </c>
      <c r="DO91" s="113">
        <v>0</v>
      </c>
      <c r="DP91" s="113">
        <v>0</v>
      </c>
      <c r="DQ91" s="113">
        <v>0</v>
      </c>
      <c r="DR91" s="113">
        <v>0</v>
      </c>
      <c r="DS91" s="113">
        <v>0</v>
      </c>
      <c r="DT91" s="113">
        <v>0</v>
      </c>
      <c r="DU91" s="113">
        <v>0</v>
      </c>
      <c r="DV91" s="113">
        <v>0</v>
      </c>
      <c r="DW91" s="113">
        <v>0</v>
      </c>
      <c r="DX91" s="113">
        <v>0</v>
      </c>
      <c r="DY91" s="113">
        <v>0</v>
      </c>
      <c r="DZ91" s="113">
        <v>0</v>
      </c>
      <c r="EA91" s="113">
        <v>0</v>
      </c>
      <c r="EB91" s="113">
        <v>0</v>
      </c>
      <c r="EC91" s="113">
        <v>0</v>
      </c>
      <c r="ED91" s="113">
        <v>0</v>
      </c>
      <c r="EE91" s="113">
        <v>0</v>
      </c>
      <c r="EF91" s="113">
        <v>0</v>
      </c>
      <c r="EG91" s="113">
        <v>0</v>
      </c>
      <c r="EH91" s="113">
        <v>0</v>
      </c>
      <c r="EI91" s="113">
        <v>0</v>
      </c>
      <c r="EJ91" s="113">
        <v>0</v>
      </c>
      <c r="EK91" s="113">
        <v>0</v>
      </c>
      <c r="EL91" s="113">
        <v>0</v>
      </c>
      <c r="EM91" s="113">
        <v>0</v>
      </c>
      <c r="EN91" s="113">
        <v>0</v>
      </c>
      <c r="EO91" s="113">
        <v>0</v>
      </c>
      <c r="EP91" s="113">
        <v>0</v>
      </c>
      <c r="EQ91" s="113">
        <v>0</v>
      </c>
      <c r="ER91" s="113">
        <v>0</v>
      </c>
      <c r="ES91" s="113">
        <v>0</v>
      </c>
      <c r="ET91" s="113">
        <v>0</v>
      </c>
      <c r="EU91" s="113">
        <v>0</v>
      </c>
      <c r="EV91" s="113">
        <v>0</v>
      </c>
      <c r="EW91" s="113">
        <v>0</v>
      </c>
      <c r="EX91" s="113">
        <v>0</v>
      </c>
      <c r="EY91" s="113">
        <v>0</v>
      </c>
      <c r="EZ91" s="113">
        <v>0</v>
      </c>
      <c r="FA91" s="113">
        <v>0</v>
      </c>
      <c r="FB91" s="113">
        <v>0</v>
      </c>
      <c r="FC91" s="113">
        <v>0</v>
      </c>
      <c r="FD91" s="113">
        <v>0</v>
      </c>
      <c r="FE91" s="113">
        <v>0</v>
      </c>
      <c r="FF91" s="113">
        <v>0</v>
      </c>
      <c r="FG91" s="113">
        <v>0</v>
      </c>
      <c r="FH91" s="113">
        <v>0</v>
      </c>
      <c r="FI91" s="113">
        <v>0</v>
      </c>
      <c r="FJ91" s="113">
        <v>0</v>
      </c>
      <c r="FK91" s="113">
        <v>0</v>
      </c>
      <c r="FL91" s="113">
        <v>0</v>
      </c>
      <c r="FM91" s="113">
        <v>0</v>
      </c>
      <c r="FN91" s="113">
        <v>0</v>
      </c>
      <c r="FO91" s="113">
        <v>0</v>
      </c>
      <c r="FP91" s="113">
        <v>0</v>
      </c>
      <c r="FQ91" s="113">
        <v>0</v>
      </c>
      <c r="FR91" s="113">
        <v>0</v>
      </c>
      <c r="FS91" s="113">
        <v>0</v>
      </c>
      <c r="FT91" s="113">
        <v>0</v>
      </c>
      <c r="FU91" s="113">
        <v>0</v>
      </c>
      <c r="FV91" s="113">
        <v>0</v>
      </c>
      <c r="FW91" s="113">
        <v>0</v>
      </c>
      <c r="FX91" s="32">
        <v>0</v>
      </c>
      <c r="FY91" s="30">
        <v>0</v>
      </c>
      <c r="FZ91" s="30">
        <v>0</v>
      </c>
    </row>
    <row r="92" spans="1:182" x14ac:dyDescent="0.2">
      <c r="A92" s="28">
        <v>34366</v>
      </c>
      <c r="B92" s="28"/>
      <c r="C92" s="29">
        <v>233564</v>
      </c>
      <c r="D92" s="29">
        <v>65931</v>
      </c>
      <c r="E92" s="29">
        <f t="shared" si="2"/>
        <v>299495</v>
      </c>
      <c r="F92" s="30">
        <v>7381438</v>
      </c>
      <c r="G92" s="30">
        <v>0</v>
      </c>
      <c r="H92" s="30">
        <f t="shared" si="3"/>
        <v>7381438</v>
      </c>
      <c r="I92" s="42" t="s">
        <v>75</v>
      </c>
      <c r="J92" s="42" t="s">
        <v>75</v>
      </c>
      <c r="K92" s="32">
        <v>4693750</v>
      </c>
      <c r="L92" s="31" t="s">
        <v>75</v>
      </c>
      <c r="M92" s="31" t="s">
        <v>75</v>
      </c>
      <c r="N92" s="30">
        <v>12464789</v>
      </c>
      <c r="O92" s="31" t="s">
        <v>75</v>
      </c>
      <c r="P92" s="31" t="s">
        <v>75</v>
      </c>
      <c r="Q92" s="30">
        <v>14109499</v>
      </c>
      <c r="R92" s="31" t="s">
        <v>75</v>
      </c>
      <c r="S92" s="31" t="s">
        <v>75</v>
      </c>
      <c r="T92" s="32">
        <v>202300</v>
      </c>
      <c r="U92" s="31" t="s">
        <v>75</v>
      </c>
      <c r="V92" s="31" t="s">
        <v>75</v>
      </c>
      <c r="W92" s="31" t="s">
        <v>75</v>
      </c>
      <c r="X92" s="31" t="s">
        <v>75</v>
      </c>
      <c r="Y92" s="31" t="s">
        <v>75</v>
      </c>
      <c r="Z92" s="30">
        <v>88823</v>
      </c>
      <c r="AA92" s="31" t="s">
        <v>75</v>
      </c>
      <c r="AB92" s="31" t="s">
        <v>75</v>
      </c>
      <c r="AC92" s="30">
        <v>306539</v>
      </c>
      <c r="AD92" s="31" t="s">
        <v>75</v>
      </c>
      <c r="AE92" s="31" t="s">
        <v>75</v>
      </c>
      <c r="AF92" s="30">
        <v>12970</v>
      </c>
      <c r="AG92" s="42" t="s">
        <v>75</v>
      </c>
      <c r="AH92" s="42" t="s">
        <v>75</v>
      </c>
      <c r="AI92" s="32">
        <v>83796</v>
      </c>
      <c r="AJ92" s="31" t="s">
        <v>75</v>
      </c>
      <c r="AK92" s="31" t="s">
        <v>75</v>
      </c>
      <c r="AL92" s="31" t="s">
        <v>75</v>
      </c>
      <c r="AM92" s="31"/>
      <c r="AN92" s="31"/>
      <c r="AO92" s="31"/>
      <c r="AP92" s="31"/>
      <c r="AQ92" s="31"/>
      <c r="AR92" s="31"/>
      <c r="AS92" s="31" t="s">
        <v>75</v>
      </c>
      <c r="AT92" s="31" t="s">
        <v>75</v>
      </c>
      <c r="AU92" s="31" t="s">
        <v>75</v>
      </c>
      <c r="AV92" s="31" t="s">
        <v>75</v>
      </c>
      <c r="AW92" s="31" t="s">
        <v>75</v>
      </c>
      <c r="AX92" s="31" t="s">
        <v>75</v>
      </c>
      <c r="AY92" s="31" t="s">
        <v>75</v>
      </c>
      <c r="AZ92" s="31" t="s">
        <v>75</v>
      </c>
      <c r="BA92" s="31" t="s">
        <v>75</v>
      </c>
      <c r="BB92" s="31" t="s">
        <v>75</v>
      </c>
      <c r="BC92" s="31" t="s">
        <v>75</v>
      </c>
      <c r="BD92" s="31" t="s">
        <v>75</v>
      </c>
      <c r="BE92" s="113">
        <v>0</v>
      </c>
      <c r="BF92" s="113">
        <v>0</v>
      </c>
      <c r="BG92" s="113">
        <v>0</v>
      </c>
      <c r="BH92" s="113">
        <v>0</v>
      </c>
      <c r="BI92" s="113">
        <v>0</v>
      </c>
      <c r="BJ92" s="113">
        <v>0</v>
      </c>
      <c r="BK92" s="113">
        <v>0</v>
      </c>
      <c r="BL92" s="113">
        <v>0</v>
      </c>
      <c r="BM92" s="113">
        <v>0</v>
      </c>
      <c r="BN92" s="113">
        <v>0</v>
      </c>
      <c r="BO92" s="113">
        <v>0</v>
      </c>
      <c r="BP92" s="113">
        <v>0</v>
      </c>
      <c r="BQ92" s="113">
        <v>0</v>
      </c>
      <c r="BR92" s="113">
        <v>0</v>
      </c>
      <c r="BS92" s="113">
        <v>0</v>
      </c>
      <c r="BT92" s="113">
        <v>0</v>
      </c>
      <c r="BU92" s="113">
        <v>0</v>
      </c>
      <c r="BV92" s="113">
        <v>0</v>
      </c>
      <c r="BW92" s="113"/>
      <c r="BX92" s="113"/>
      <c r="BY92" s="113"/>
      <c r="BZ92" s="113">
        <v>0</v>
      </c>
      <c r="CA92" s="113">
        <v>0</v>
      </c>
      <c r="CB92" s="113">
        <v>0</v>
      </c>
      <c r="CC92" s="113"/>
      <c r="CD92" s="113"/>
      <c r="CE92" s="113"/>
      <c r="CF92" s="113">
        <v>0</v>
      </c>
      <c r="CG92" s="113">
        <v>0</v>
      </c>
      <c r="CH92" s="113">
        <v>0</v>
      </c>
      <c r="CI92" s="113">
        <v>0</v>
      </c>
      <c r="CJ92" s="113">
        <v>0</v>
      </c>
      <c r="CK92" s="113">
        <v>0</v>
      </c>
      <c r="CL92" s="113">
        <v>0</v>
      </c>
      <c r="CM92" s="113">
        <v>0</v>
      </c>
      <c r="CN92" s="113">
        <v>0</v>
      </c>
      <c r="CO92" s="113">
        <v>0</v>
      </c>
      <c r="CP92" s="113">
        <v>0</v>
      </c>
      <c r="CQ92" s="113">
        <v>0</v>
      </c>
      <c r="CR92" s="113">
        <v>0</v>
      </c>
      <c r="CS92" s="113">
        <v>0</v>
      </c>
      <c r="CT92" s="113">
        <v>0</v>
      </c>
      <c r="CU92" s="113">
        <v>0</v>
      </c>
      <c r="CV92" s="113">
        <v>0</v>
      </c>
      <c r="CW92" s="113">
        <v>0</v>
      </c>
      <c r="CX92" s="113">
        <v>0</v>
      </c>
      <c r="CY92" s="113">
        <v>0</v>
      </c>
      <c r="CZ92" s="113">
        <v>0</v>
      </c>
      <c r="DA92" s="113">
        <v>0</v>
      </c>
      <c r="DB92" s="113">
        <v>0</v>
      </c>
      <c r="DC92" s="113">
        <v>0</v>
      </c>
      <c r="DD92" s="113">
        <v>0</v>
      </c>
      <c r="DE92" s="113">
        <v>0</v>
      </c>
      <c r="DF92" s="113">
        <v>0</v>
      </c>
      <c r="DG92" s="113">
        <v>0</v>
      </c>
      <c r="DH92" s="113">
        <v>0</v>
      </c>
      <c r="DI92" s="113">
        <v>0</v>
      </c>
      <c r="DJ92" s="113">
        <v>0</v>
      </c>
      <c r="DK92" s="113">
        <v>0</v>
      </c>
      <c r="DL92" s="113">
        <v>0</v>
      </c>
      <c r="DM92" s="113">
        <v>0</v>
      </c>
      <c r="DN92" s="113">
        <v>0</v>
      </c>
      <c r="DO92" s="113">
        <v>0</v>
      </c>
      <c r="DP92" s="113">
        <v>0</v>
      </c>
      <c r="DQ92" s="113">
        <v>0</v>
      </c>
      <c r="DR92" s="113">
        <v>0</v>
      </c>
      <c r="DS92" s="113">
        <v>0</v>
      </c>
      <c r="DT92" s="113">
        <v>0</v>
      </c>
      <c r="DU92" s="113">
        <v>0</v>
      </c>
      <c r="DV92" s="113">
        <v>0</v>
      </c>
      <c r="DW92" s="113">
        <v>0</v>
      </c>
      <c r="DX92" s="113">
        <v>0</v>
      </c>
      <c r="DY92" s="113">
        <v>0</v>
      </c>
      <c r="DZ92" s="113">
        <v>0</v>
      </c>
      <c r="EA92" s="113">
        <v>0</v>
      </c>
      <c r="EB92" s="113">
        <v>0</v>
      </c>
      <c r="EC92" s="113">
        <v>0</v>
      </c>
      <c r="ED92" s="113">
        <v>0</v>
      </c>
      <c r="EE92" s="113">
        <v>0</v>
      </c>
      <c r="EF92" s="113">
        <v>0</v>
      </c>
      <c r="EG92" s="113">
        <v>0</v>
      </c>
      <c r="EH92" s="113">
        <v>0</v>
      </c>
      <c r="EI92" s="113">
        <v>0</v>
      </c>
      <c r="EJ92" s="113">
        <v>0</v>
      </c>
      <c r="EK92" s="113">
        <v>0</v>
      </c>
      <c r="EL92" s="113">
        <v>0</v>
      </c>
      <c r="EM92" s="113">
        <v>0</v>
      </c>
      <c r="EN92" s="113">
        <v>0</v>
      </c>
      <c r="EO92" s="113">
        <v>0</v>
      </c>
      <c r="EP92" s="113">
        <v>0</v>
      </c>
      <c r="EQ92" s="113">
        <v>0</v>
      </c>
      <c r="ER92" s="113">
        <v>0</v>
      </c>
      <c r="ES92" s="113">
        <v>0</v>
      </c>
      <c r="ET92" s="113">
        <v>0</v>
      </c>
      <c r="EU92" s="113">
        <v>0</v>
      </c>
      <c r="EV92" s="113">
        <v>0</v>
      </c>
      <c r="EW92" s="113">
        <v>0</v>
      </c>
      <c r="EX92" s="113">
        <v>0</v>
      </c>
      <c r="EY92" s="113">
        <v>0</v>
      </c>
      <c r="EZ92" s="113">
        <v>0</v>
      </c>
      <c r="FA92" s="113">
        <v>0</v>
      </c>
      <c r="FB92" s="113">
        <v>0</v>
      </c>
      <c r="FC92" s="113">
        <v>0</v>
      </c>
      <c r="FD92" s="113">
        <v>0</v>
      </c>
      <c r="FE92" s="113">
        <v>0</v>
      </c>
      <c r="FF92" s="113">
        <v>0</v>
      </c>
      <c r="FG92" s="113">
        <v>0</v>
      </c>
      <c r="FH92" s="113">
        <v>0</v>
      </c>
      <c r="FI92" s="113">
        <v>0</v>
      </c>
      <c r="FJ92" s="113">
        <v>0</v>
      </c>
      <c r="FK92" s="113">
        <v>0</v>
      </c>
      <c r="FL92" s="113">
        <v>0</v>
      </c>
      <c r="FM92" s="113">
        <v>0</v>
      </c>
      <c r="FN92" s="113">
        <v>0</v>
      </c>
      <c r="FO92" s="113">
        <v>0</v>
      </c>
      <c r="FP92" s="113">
        <v>0</v>
      </c>
      <c r="FQ92" s="113">
        <v>0</v>
      </c>
      <c r="FR92" s="113">
        <v>0</v>
      </c>
      <c r="FS92" s="113">
        <v>0</v>
      </c>
      <c r="FT92" s="113">
        <v>0</v>
      </c>
      <c r="FU92" s="113">
        <v>0</v>
      </c>
      <c r="FV92" s="113">
        <v>0</v>
      </c>
      <c r="FW92" s="113">
        <v>0</v>
      </c>
      <c r="FX92" s="32">
        <v>0</v>
      </c>
      <c r="FY92" s="30">
        <v>0</v>
      </c>
      <c r="FZ92" s="30">
        <v>0</v>
      </c>
    </row>
    <row r="93" spans="1:182" x14ac:dyDescent="0.2">
      <c r="A93" s="28">
        <v>34394</v>
      </c>
      <c r="B93" s="28"/>
      <c r="C93" s="29">
        <v>199395</v>
      </c>
      <c r="D93" s="29">
        <v>70150</v>
      </c>
      <c r="E93" s="29">
        <f t="shared" si="2"/>
        <v>269545</v>
      </c>
      <c r="F93" s="30">
        <v>7007720</v>
      </c>
      <c r="G93" s="30">
        <v>0</v>
      </c>
      <c r="H93" s="30">
        <f t="shared" si="3"/>
        <v>7007720</v>
      </c>
      <c r="I93" s="42" t="s">
        <v>75</v>
      </c>
      <c r="J93" s="42" t="s">
        <v>75</v>
      </c>
      <c r="K93" s="32">
        <v>2505007</v>
      </c>
      <c r="L93" s="31" t="s">
        <v>75</v>
      </c>
      <c r="M93" s="31" t="s">
        <v>75</v>
      </c>
      <c r="N93" s="30">
        <v>14019906</v>
      </c>
      <c r="O93" s="31" t="s">
        <v>75</v>
      </c>
      <c r="P93" s="31" t="s">
        <v>75</v>
      </c>
      <c r="Q93" s="30">
        <v>16468127</v>
      </c>
      <c r="R93" s="31" t="s">
        <v>75</v>
      </c>
      <c r="S93" s="31" t="s">
        <v>75</v>
      </c>
      <c r="T93" s="32">
        <v>210255</v>
      </c>
      <c r="U93" s="31" t="s">
        <v>75</v>
      </c>
      <c r="V93" s="31" t="s">
        <v>75</v>
      </c>
      <c r="W93" s="31" t="s">
        <v>75</v>
      </c>
      <c r="X93" s="31" t="s">
        <v>75</v>
      </c>
      <c r="Y93" s="31" t="s">
        <v>75</v>
      </c>
      <c r="Z93" s="30">
        <v>69165</v>
      </c>
      <c r="AA93" s="31" t="s">
        <v>75</v>
      </c>
      <c r="AB93" s="31" t="s">
        <v>75</v>
      </c>
      <c r="AC93" s="30">
        <v>277554</v>
      </c>
      <c r="AD93" s="31" t="s">
        <v>75</v>
      </c>
      <c r="AE93" s="31" t="s">
        <v>75</v>
      </c>
      <c r="AF93" s="30">
        <v>3888</v>
      </c>
      <c r="AG93" s="42" t="s">
        <v>75</v>
      </c>
      <c r="AH93" s="42" t="s">
        <v>75</v>
      </c>
      <c r="AI93" s="32">
        <v>69981</v>
      </c>
      <c r="AJ93" s="31" t="s">
        <v>75</v>
      </c>
      <c r="AK93" s="31" t="s">
        <v>75</v>
      </c>
      <c r="AL93" s="31" t="s">
        <v>75</v>
      </c>
      <c r="AM93" s="31"/>
      <c r="AN93" s="31"/>
      <c r="AO93" s="31"/>
      <c r="AP93" s="31"/>
      <c r="AQ93" s="31"/>
      <c r="AR93" s="31"/>
      <c r="AS93" s="31" t="s">
        <v>75</v>
      </c>
      <c r="AT93" s="31" t="s">
        <v>75</v>
      </c>
      <c r="AU93" s="31" t="s">
        <v>75</v>
      </c>
      <c r="AV93" s="31" t="s">
        <v>75</v>
      </c>
      <c r="AW93" s="31" t="s">
        <v>75</v>
      </c>
      <c r="AX93" s="31" t="s">
        <v>75</v>
      </c>
      <c r="AY93" s="31" t="s">
        <v>75</v>
      </c>
      <c r="AZ93" s="31" t="s">
        <v>75</v>
      </c>
      <c r="BA93" s="31" t="s">
        <v>75</v>
      </c>
      <c r="BB93" s="31" t="s">
        <v>75</v>
      </c>
      <c r="BC93" s="31" t="s">
        <v>75</v>
      </c>
      <c r="BD93" s="31" t="s">
        <v>75</v>
      </c>
      <c r="BE93" s="113">
        <v>0</v>
      </c>
      <c r="BF93" s="113">
        <v>0</v>
      </c>
      <c r="BG93" s="113">
        <v>0</v>
      </c>
      <c r="BH93" s="113">
        <v>0</v>
      </c>
      <c r="BI93" s="113">
        <v>0</v>
      </c>
      <c r="BJ93" s="113">
        <v>0</v>
      </c>
      <c r="BK93" s="113">
        <v>0</v>
      </c>
      <c r="BL93" s="113">
        <v>0</v>
      </c>
      <c r="BM93" s="113">
        <v>0</v>
      </c>
      <c r="BN93" s="113">
        <v>0</v>
      </c>
      <c r="BO93" s="113">
        <v>0</v>
      </c>
      <c r="BP93" s="113">
        <v>0</v>
      </c>
      <c r="BQ93" s="113">
        <v>0</v>
      </c>
      <c r="BR93" s="113">
        <v>0</v>
      </c>
      <c r="BS93" s="113">
        <v>0</v>
      </c>
      <c r="BT93" s="113">
        <v>0</v>
      </c>
      <c r="BU93" s="113">
        <v>0</v>
      </c>
      <c r="BV93" s="113">
        <v>0</v>
      </c>
      <c r="BW93" s="113"/>
      <c r="BX93" s="113"/>
      <c r="BY93" s="113"/>
      <c r="BZ93" s="113">
        <v>0</v>
      </c>
      <c r="CA93" s="113">
        <v>0</v>
      </c>
      <c r="CB93" s="113">
        <v>0</v>
      </c>
      <c r="CC93" s="113"/>
      <c r="CD93" s="113"/>
      <c r="CE93" s="113"/>
      <c r="CF93" s="113">
        <v>0</v>
      </c>
      <c r="CG93" s="113">
        <v>0</v>
      </c>
      <c r="CH93" s="113">
        <v>0</v>
      </c>
      <c r="CI93" s="113">
        <v>0</v>
      </c>
      <c r="CJ93" s="113">
        <v>0</v>
      </c>
      <c r="CK93" s="113">
        <v>0</v>
      </c>
      <c r="CL93" s="113">
        <v>0</v>
      </c>
      <c r="CM93" s="113">
        <v>0</v>
      </c>
      <c r="CN93" s="113">
        <v>0</v>
      </c>
      <c r="CO93" s="113">
        <v>0</v>
      </c>
      <c r="CP93" s="113">
        <v>0</v>
      </c>
      <c r="CQ93" s="113">
        <v>0</v>
      </c>
      <c r="CR93" s="113">
        <v>0</v>
      </c>
      <c r="CS93" s="113">
        <v>0</v>
      </c>
      <c r="CT93" s="113">
        <v>0</v>
      </c>
      <c r="CU93" s="113">
        <v>0</v>
      </c>
      <c r="CV93" s="113">
        <v>0</v>
      </c>
      <c r="CW93" s="113">
        <v>0</v>
      </c>
      <c r="CX93" s="113">
        <v>0</v>
      </c>
      <c r="CY93" s="113">
        <v>0</v>
      </c>
      <c r="CZ93" s="113">
        <v>0</v>
      </c>
      <c r="DA93" s="113">
        <v>0</v>
      </c>
      <c r="DB93" s="113">
        <v>0</v>
      </c>
      <c r="DC93" s="113">
        <v>0</v>
      </c>
      <c r="DD93" s="113">
        <v>0</v>
      </c>
      <c r="DE93" s="113">
        <v>0</v>
      </c>
      <c r="DF93" s="113">
        <v>0</v>
      </c>
      <c r="DG93" s="113">
        <v>0</v>
      </c>
      <c r="DH93" s="113">
        <v>0</v>
      </c>
      <c r="DI93" s="113">
        <v>0</v>
      </c>
      <c r="DJ93" s="113">
        <v>0</v>
      </c>
      <c r="DK93" s="113">
        <v>0</v>
      </c>
      <c r="DL93" s="113">
        <v>0</v>
      </c>
      <c r="DM93" s="113">
        <v>0</v>
      </c>
      <c r="DN93" s="113">
        <v>0</v>
      </c>
      <c r="DO93" s="113">
        <v>0</v>
      </c>
      <c r="DP93" s="113">
        <v>0</v>
      </c>
      <c r="DQ93" s="113">
        <v>0</v>
      </c>
      <c r="DR93" s="113">
        <v>0</v>
      </c>
      <c r="DS93" s="113">
        <v>0</v>
      </c>
      <c r="DT93" s="113">
        <v>0</v>
      </c>
      <c r="DU93" s="113">
        <v>0</v>
      </c>
      <c r="DV93" s="113">
        <v>0</v>
      </c>
      <c r="DW93" s="113">
        <v>0</v>
      </c>
      <c r="DX93" s="113">
        <v>0</v>
      </c>
      <c r="DY93" s="113">
        <v>0</v>
      </c>
      <c r="DZ93" s="113">
        <v>0</v>
      </c>
      <c r="EA93" s="113">
        <v>0</v>
      </c>
      <c r="EB93" s="113">
        <v>0</v>
      </c>
      <c r="EC93" s="113">
        <v>0</v>
      </c>
      <c r="ED93" s="113">
        <v>0</v>
      </c>
      <c r="EE93" s="113">
        <v>0</v>
      </c>
      <c r="EF93" s="113">
        <v>0</v>
      </c>
      <c r="EG93" s="113">
        <v>0</v>
      </c>
      <c r="EH93" s="113">
        <v>0</v>
      </c>
      <c r="EI93" s="113">
        <v>0</v>
      </c>
      <c r="EJ93" s="113">
        <v>0</v>
      </c>
      <c r="EK93" s="113">
        <v>0</v>
      </c>
      <c r="EL93" s="113">
        <v>0</v>
      </c>
      <c r="EM93" s="113">
        <v>0</v>
      </c>
      <c r="EN93" s="113">
        <v>0</v>
      </c>
      <c r="EO93" s="113">
        <v>0</v>
      </c>
      <c r="EP93" s="113">
        <v>0</v>
      </c>
      <c r="EQ93" s="113">
        <v>0</v>
      </c>
      <c r="ER93" s="113">
        <v>0</v>
      </c>
      <c r="ES93" s="113">
        <v>0</v>
      </c>
      <c r="ET93" s="113">
        <v>0</v>
      </c>
      <c r="EU93" s="113">
        <v>0</v>
      </c>
      <c r="EV93" s="113">
        <v>0</v>
      </c>
      <c r="EW93" s="113">
        <v>0</v>
      </c>
      <c r="EX93" s="113">
        <v>0</v>
      </c>
      <c r="EY93" s="113">
        <v>0</v>
      </c>
      <c r="EZ93" s="113">
        <v>0</v>
      </c>
      <c r="FA93" s="113">
        <v>0</v>
      </c>
      <c r="FB93" s="113">
        <v>0</v>
      </c>
      <c r="FC93" s="113">
        <v>0</v>
      </c>
      <c r="FD93" s="113">
        <v>0</v>
      </c>
      <c r="FE93" s="113">
        <v>0</v>
      </c>
      <c r="FF93" s="113">
        <v>0</v>
      </c>
      <c r="FG93" s="113">
        <v>0</v>
      </c>
      <c r="FH93" s="113">
        <v>0</v>
      </c>
      <c r="FI93" s="113">
        <v>0</v>
      </c>
      <c r="FJ93" s="113">
        <v>0</v>
      </c>
      <c r="FK93" s="113">
        <v>0</v>
      </c>
      <c r="FL93" s="113">
        <v>0</v>
      </c>
      <c r="FM93" s="113">
        <v>0</v>
      </c>
      <c r="FN93" s="113">
        <v>0</v>
      </c>
      <c r="FO93" s="113">
        <v>0</v>
      </c>
      <c r="FP93" s="113">
        <v>0</v>
      </c>
      <c r="FQ93" s="113">
        <v>0</v>
      </c>
      <c r="FR93" s="113">
        <v>0</v>
      </c>
      <c r="FS93" s="113">
        <v>0</v>
      </c>
      <c r="FT93" s="113">
        <v>0</v>
      </c>
      <c r="FU93" s="113">
        <v>0</v>
      </c>
      <c r="FV93" s="113">
        <v>0</v>
      </c>
      <c r="FW93" s="113">
        <v>0</v>
      </c>
      <c r="FX93" s="32">
        <v>0</v>
      </c>
      <c r="FY93" s="30">
        <v>0</v>
      </c>
      <c r="FZ93" s="30">
        <v>0</v>
      </c>
    </row>
    <row r="94" spans="1:182" x14ac:dyDescent="0.2">
      <c r="A94" s="28">
        <v>34425</v>
      </c>
      <c r="B94" s="28"/>
      <c r="C94" s="29">
        <v>370934</v>
      </c>
      <c r="D94" s="29">
        <v>107334</v>
      </c>
      <c r="E94" s="29">
        <f t="shared" si="2"/>
        <v>478268</v>
      </c>
      <c r="F94" s="30">
        <v>3986018</v>
      </c>
      <c r="G94" s="30">
        <v>0</v>
      </c>
      <c r="H94" s="30">
        <f t="shared" si="3"/>
        <v>3986018</v>
      </c>
      <c r="I94" s="42" t="s">
        <v>75</v>
      </c>
      <c r="J94" s="42" t="s">
        <v>75</v>
      </c>
      <c r="K94" s="32">
        <v>2918835</v>
      </c>
      <c r="L94" s="31" t="s">
        <v>75</v>
      </c>
      <c r="M94" s="31" t="s">
        <v>75</v>
      </c>
      <c r="N94" s="30">
        <v>10075868</v>
      </c>
      <c r="O94" s="31" t="s">
        <v>75</v>
      </c>
      <c r="P94" s="31" t="s">
        <v>75</v>
      </c>
      <c r="Q94" s="30">
        <v>10643704</v>
      </c>
      <c r="R94" s="31" t="s">
        <v>75</v>
      </c>
      <c r="S94" s="31" t="s">
        <v>75</v>
      </c>
      <c r="T94" s="32">
        <v>300105</v>
      </c>
      <c r="U94" s="31" t="s">
        <v>75</v>
      </c>
      <c r="V94" s="31" t="s">
        <v>75</v>
      </c>
      <c r="W94" s="31" t="s">
        <v>75</v>
      </c>
      <c r="X94" s="31" t="s">
        <v>75</v>
      </c>
      <c r="Y94" s="31" t="s">
        <v>75</v>
      </c>
      <c r="Z94" s="30">
        <v>126767</v>
      </c>
      <c r="AA94" s="31" t="s">
        <v>75</v>
      </c>
      <c r="AB94" s="31" t="s">
        <v>75</v>
      </c>
      <c r="AC94" s="30">
        <v>371849</v>
      </c>
      <c r="AD94" s="31" t="s">
        <v>75</v>
      </c>
      <c r="AE94" s="31" t="s">
        <v>75</v>
      </c>
      <c r="AF94" s="30">
        <v>3720</v>
      </c>
      <c r="AG94" s="42" t="s">
        <v>75</v>
      </c>
      <c r="AH94" s="42" t="s">
        <v>75</v>
      </c>
      <c r="AI94" s="32">
        <v>96863</v>
      </c>
      <c r="AJ94" s="31" t="s">
        <v>75</v>
      </c>
      <c r="AK94" s="31" t="s">
        <v>75</v>
      </c>
      <c r="AL94" s="31" t="s">
        <v>75</v>
      </c>
      <c r="AM94" s="31"/>
      <c r="AN94" s="31"/>
      <c r="AO94" s="31"/>
      <c r="AP94" s="31"/>
      <c r="AQ94" s="31"/>
      <c r="AR94" s="31"/>
      <c r="AS94" s="31" t="s">
        <v>75</v>
      </c>
      <c r="AT94" s="31" t="s">
        <v>75</v>
      </c>
      <c r="AU94" s="31" t="s">
        <v>75</v>
      </c>
      <c r="AV94" s="31" t="s">
        <v>75</v>
      </c>
      <c r="AW94" s="31" t="s">
        <v>75</v>
      </c>
      <c r="AX94" s="31" t="s">
        <v>75</v>
      </c>
      <c r="AY94" s="31" t="s">
        <v>75</v>
      </c>
      <c r="AZ94" s="31" t="s">
        <v>75</v>
      </c>
      <c r="BA94" s="31" t="s">
        <v>75</v>
      </c>
      <c r="BB94" s="31" t="s">
        <v>75</v>
      </c>
      <c r="BC94" s="31" t="s">
        <v>75</v>
      </c>
      <c r="BD94" s="31" t="s">
        <v>75</v>
      </c>
      <c r="BE94" s="113">
        <v>0</v>
      </c>
      <c r="BF94" s="113">
        <v>0</v>
      </c>
      <c r="BG94" s="113">
        <v>0</v>
      </c>
      <c r="BH94" s="113">
        <v>0</v>
      </c>
      <c r="BI94" s="113">
        <v>0</v>
      </c>
      <c r="BJ94" s="113">
        <v>0</v>
      </c>
      <c r="BK94" s="113">
        <v>0</v>
      </c>
      <c r="BL94" s="113">
        <v>0</v>
      </c>
      <c r="BM94" s="113">
        <v>0</v>
      </c>
      <c r="BN94" s="113">
        <v>0</v>
      </c>
      <c r="BO94" s="113">
        <v>0</v>
      </c>
      <c r="BP94" s="113">
        <v>0</v>
      </c>
      <c r="BQ94" s="113">
        <v>0</v>
      </c>
      <c r="BR94" s="113">
        <v>0</v>
      </c>
      <c r="BS94" s="113">
        <v>0</v>
      </c>
      <c r="BT94" s="113">
        <v>0</v>
      </c>
      <c r="BU94" s="113">
        <v>0</v>
      </c>
      <c r="BV94" s="113">
        <v>0</v>
      </c>
      <c r="BW94" s="113"/>
      <c r="BX94" s="113"/>
      <c r="BY94" s="113"/>
      <c r="BZ94" s="113">
        <v>0</v>
      </c>
      <c r="CA94" s="113">
        <v>0</v>
      </c>
      <c r="CB94" s="113">
        <v>0</v>
      </c>
      <c r="CC94" s="113"/>
      <c r="CD94" s="113"/>
      <c r="CE94" s="113"/>
      <c r="CF94" s="113">
        <v>0</v>
      </c>
      <c r="CG94" s="113">
        <v>0</v>
      </c>
      <c r="CH94" s="113">
        <v>0</v>
      </c>
      <c r="CI94" s="113">
        <v>0</v>
      </c>
      <c r="CJ94" s="113">
        <v>0</v>
      </c>
      <c r="CK94" s="113">
        <v>0</v>
      </c>
      <c r="CL94" s="113">
        <v>0</v>
      </c>
      <c r="CM94" s="113">
        <v>0</v>
      </c>
      <c r="CN94" s="113">
        <v>0</v>
      </c>
      <c r="CO94" s="113">
        <v>0</v>
      </c>
      <c r="CP94" s="113">
        <v>0</v>
      </c>
      <c r="CQ94" s="113">
        <v>0</v>
      </c>
      <c r="CR94" s="113">
        <v>0</v>
      </c>
      <c r="CS94" s="113">
        <v>0</v>
      </c>
      <c r="CT94" s="113">
        <v>0</v>
      </c>
      <c r="CU94" s="113">
        <v>0</v>
      </c>
      <c r="CV94" s="113">
        <v>0</v>
      </c>
      <c r="CW94" s="113">
        <v>0</v>
      </c>
      <c r="CX94" s="113">
        <v>0</v>
      </c>
      <c r="CY94" s="113">
        <v>0</v>
      </c>
      <c r="CZ94" s="113">
        <v>0</v>
      </c>
      <c r="DA94" s="113">
        <v>0</v>
      </c>
      <c r="DB94" s="113">
        <v>0</v>
      </c>
      <c r="DC94" s="113">
        <v>0</v>
      </c>
      <c r="DD94" s="113">
        <v>0</v>
      </c>
      <c r="DE94" s="113">
        <v>0</v>
      </c>
      <c r="DF94" s="113">
        <v>0</v>
      </c>
      <c r="DG94" s="113">
        <v>0</v>
      </c>
      <c r="DH94" s="113">
        <v>0</v>
      </c>
      <c r="DI94" s="113">
        <v>0</v>
      </c>
      <c r="DJ94" s="113">
        <v>0</v>
      </c>
      <c r="DK94" s="113">
        <v>0</v>
      </c>
      <c r="DL94" s="113">
        <v>0</v>
      </c>
      <c r="DM94" s="113">
        <v>0</v>
      </c>
      <c r="DN94" s="113">
        <v>0</v>
      </c>
      <c r="DO94" s="113">
        <v>0</v>
      </c>
      <c r="DP94" s="113">
        <v>0</v>
      </c>
      <c r="DQ94" s="113">
        <v>0</v>
      </c>
      <c r="DR94" s="113">
        <v>0</v>
      </c>
      <c r="DS94" s="113">
        <v>0</v>
      </c>
      <c r="DT94" s="113">
        <v>0</v>
      </c>
      <c r="DU94" s="113">
        <v>0</v>
      </c>
      <c r="DV94" s="113">
        <v>0</v>
      </c>
      <c r="DW94" s="113">
        <v>0</v>
      </c>
      <c r="DX94" s="113">
        <v>0</v>
      </c>
      <c r="DY94" s="113">
        <v>0</v>
      </c>
      <c r="DZ94" s="113">
        <v>0</v>
      </c>
      <c r="EA94" s="113">
        <v>0</v>
      </c>
      <c r="EB94" s="113">
        <v>0</v>
      </c>
      <c r="EC94" s="113">
        <v>0</v>
      </c>
      <c r="ED94" s="113">
        <v>0</v>
      </c>
      <c r="EE94" s="113">
        <v>0</v>
      </c>
      <c r="EF94" s="113">
        <v>0</v>
      </c>
      <c r="EG94" s="113">
        <v>0</v>
      </c>
      <c r="EH94" s="113">
        <v>0</v>
      </c>
      <c r="EI94" s="113">
        <v>0</v>
      </c>
      <c r="EJ94" s="113">
        <v>0</v>
      </c>
      <c r="EK94" s="113">
        <v>0</v>
      </c>
      <c r="EL94" s="113">
        <v>0</v>
      </c>
      <c r="EM94" s="113">
        <v>0</v>
      </c>
      <c r="EN94" s="113">
        <v>0</v>
      </c>
      <c r="EO94" s="113">
        <v>0</v>
      </c>
      <c r="EP94" s="113">
        <v>0</v>
      </c>
      <c r="EQ94" s="113">
        <v>0</v>
      </c>
      <c r="ER94" s="113">
        <v>0</v>
      </c>
      <c r="ES94" s="113">
        <v>0</v>
      </c>
      <c r="ET94" s="113">
        <v>0</v>
      </c>
      <c r="EU94" s="113">
        <v>0</v>
      </c>
      <c r="EV94" s="113">
        <v>0</v>
      </c>
      <c r="EW94" s="113">
        <v>0</v>
      </c>
      <c r="EX94" s="113">
        <v>0</v>
      </c>
      <c r="EY94" s="113">
        <v>0</v>
      </c>
      <c r="EZ94" s="113">
        <v>0</v>
      </c>
      <c r="FA94" s="113">
        <v>0</v>
      </c>
      <c r="FB94" s="113">
        <v>0</v>
      </c>
      <c r="FC94" s="113">
        <v>0</v>
      </c>
      <c r="FD94" s="113">
        <v>0</v>
      </c>
      <c r="FE94" s="113">
        <v>0</v>
      </c>
      <c r="FF94" s="113">
        <v>0</v>
      </c>
      <c r="FG94" s="113">
        <v>0</v>
      </c>
      <c r="FH94" s="113">
        <v>0</v>
      </c>
      <c r="FI94" s="113">
        <v>0</v>
      </c>
      <c r="FJ94" s="113">
        <v>0</v>
      </c>
      <c r="FK94" s="113">
        <v>0</v>
      </c>
      <c r="FL94" s="113">
        <v>0</v>
      </c>
      <c r="FM94" s="113">
        <v>0</v>
      </c>
      <c r="FN94" s="113">
        <v>0</v>
      </c>
      <c r="FO94" s="113">
        <v>0</v>
      </c>
      <c r="FP94" s="113">
        <v>0</v>
      </c>
      <c r="FQ94" s="113">
        <v>0</v>
      </c>
      <c r="FR94" s="113">
        <v>0</v>
      </c>
      <c r="FS94" s="113">
        <v>0</v>
      </c>
      <c r="FT94" s="113">
        <v>0</v>
      </c>
      <c r="FU94" s="113">
        <v>0</v>
      </c>
      <c r="FV94" s="113">
        <v>0</v>
      </c>
      <c r="FW94" s="113">
        <v>0</v>
      </c>
      <c r="FX94" s="32">
        <v>0</v>
      </c>
      <c r="FY94" s="30">
        <v>0</v>
      </c>
      <c r="FZ94" s="30">
        <v>0</v>
      </c>
    </row>
    <row r="95" spans="1:182" x14ac:dyDescent="0.2">
      <c r="A95" s="28">
        <v>34455</v>
      </c>
      <c r="B95" s="28"/>
      <c r="C95" s="29">
        <v>149565</v>
      </c>
      <c r="D95" s="29">
        <v>68813</v>
      </c>
      <c r="E95" s="29">
        <f t="shared" si="2"/>
        <v>218378</v>
      </c>
      <c r="F95" s="30">
        <v>3437757</v>
      </c>
      <c r="G95" s="30">
        <v>0</v>
      </c>
      <c r="H95" s="30">
        <f t="shared" si="3"/>
        <v>3437757</v>
      </c>
      <c r="I95" s="42" t="s">
        <v>75</v>
      </c>
      <c r="J95" s="42" t="s">
        <v>75</v>
      </c>
      <c r="K95" s="32">
        <v>3090721</v>
      </c>
      <c r="L95" s="31" t="s">
        <v>75</v>
      </c>
      <c r="M95" s="31" t="s">
        <v>75</v>
      </c>
      <c r="N95" s="30">
        <v>10127998</v>
      </c>
      <c r="O95" s="31" t="s">
        <v>75</v>
      </c>
      <c r="P95" s="31" t="s">
        <v>75</v>
      </c>
      <c r="Q95" s="30">
        <v>11043216</v>
      </c>
      <c r="R95" s="31" t="s">
        <v>75</v>
      </c>
      <c r="S95" s="31" t="s">
        <v>75</v>
      </c>
      <c r="T95" s="32">
        <v>531648</v>
      </c>
      <c r="U95" s="31" t="s">
        <v>75</v>
      </c>
      <c r="V95" s="31" t="s">
        <v>75</v>
      </c>
      <c r="W95" s="31" t="s">
        <v>75</v>
      </c>
      <c r="X95" s="31" t="s">
        <v>75</v>
      </c>
      <c r="Y95" s="31" t="s">
        <v>75</v>
      </c>
      <c r="Z95" s="30">
        <v>83101</v>
      </c>
      <c r="AA95" s="31" t="s">
        <v>75</v>
      </c>
      <c r="AB95" s="31" t="s">
        <v>75</v>
      </c>
      <c r="AC95" s="30">
        <v>271636</v>
      </c>
      <c r="AD95" s="31" t="s">
        <v>75</v>
      </c>
      <c r="AE95" s="31" t="s">
        <v>75</v>
      </c>
      <c r="AF95" s="30">
        <v>8568</v>
      </c>
      <c r="AG95" s="42" t="s">
        <v>75</v>
      </c>
      <c r="AH95" s="42" t="s">
        <v>75</v>
      </c>
      <c r="AI95" s="32">
        <v>79753</v>
      </c>
      <c r="AJ95" s="31" t="s">
        <v>75</v>
      </c>
      <c r="AK95" s="31" t="s">
        <v>75</v>
      </c>
      <c r="AL95" s="31" t="s">
        <v>75</v>
      </c>
      <c r="AM95" s="31"/>
      <c r="AN95" s="31"/>
      <c r="AO95" s="31"/>
      <c r="AP95" s="31"/>
      <c r="AQ95" s="31"/>
      <c r="AR95" s="31"/>
      <c r="AS95" s="31" t="s">
        <v>75</v>
      </c>
      <c r="AT95" s="31" t="s">
        <v>75</v>
      </c>
      <c r="AU95" s="31" t="s">
        <v>75</v>
      </c>
      <c r="AV95" s="31" t="s">
        <v>75</v>
      </c>
      <c r="AW95" s="31" t="s">
        <v>75</v>
      </c>
      <c r="AX95" s="31" t="s">
        <v>75</v>
      </c>
      <c r="AY95" s="31" t="s">
        <v>75</v>
      </c>
      <c r="AZ95" s="31" t="s">
        <v>75</v>
      </c>
      <c r="BA95" s="31" t="s">
        <v>75</v>
      </c>
      <c r="BB95" s="31" t="s">
        <v>75</v>
      </c>
      <c r="BC95" s="31" t="s">
        <v>75</v>
      </c>
      <c r="BD95" s="31" t="s">
        <v>75</v>
      </c>
      <c r="BE95" s="113">
        <v>0</v>
      </c>
      <c r="BF95" s="113">
        <v>0</v>
      </c>
      <c r="BG95" s="113">
        <v>0</v>
      </c>
      <c r="BH95" s="113">
        <v>0</v>
      </c>
      <c r="BI95" s="113">
        <v>0</v>
      </c>
      <c r="BJ95" s="113">
        <v>0</v>
      </c>
      <c r="BK95" s="113">
        <v>0</v>
      </c>
      <c r="BL95" s="113">
        <v>0</v>
      </c>
      <c r="BM95" s="113">
        <v>0</v>
      </c>
      <c r="BN95" s="113">
        <v>0</v>
      </c>
      <c r="BO95" s="113">
        <v>0</v>
      </c>
      <c r="BP95" s="113">
        <v>0</v>
      </c>
      <c r="BQ95" s="113">
        <v>0</v>
      </c>
      <c r="BR95" s="113">
        <v>0</v>
      </c>
      <c r="BS95" s="113">
        <v>0</v>
      </c>
      <c r="BT95" s="113">
        <v>0</v>
      </c>
      <c r="BU95" s="113">
        <v>0</v>
      </c>
      <c r="BV95" s="113">
        <v>0</v>
      </c>
      <c r="BW95" s="113"/>
      <c r="BX95" s="113"/>
      <c r="BY95" s="113"/>
      <c r="BZ95" s="113">
        <v>0</v>
      </c>
      <c r="CA95" s="113">
        <v>0</v>
      </c>
      <c r="CB95" s="113">
        <v>0</v>
      </c>
      <c r="CC95" s="113"/>
      <c r="CD95" s="113"/>
      <c r="CE95" s="113"/>
      <c r="CF95" s="113">
        <v>0</v>
      </c>
      <c r="CG95" s="113">
        <v>0</v>
      </c>
      <c r="CH95" s="113">
        <v>0</v>
      </c>
      <c r="CI95" s="113">
        <v>0</v>
      </c>
      <c r="CJ95" s="113">
        <v>0</v>
      </c>
      <c r="CK95" s="113">
        <v>0</v>
      </c>
      <c r="CL95" s="113">
        <v>0</v>
      </c>
      <c r="CM95" s="113">
        <v>0</v>
      </c>
      <c r="CN95" s="113">
        <v>0</v>
      </c>
      <c r="CO95" s="113">
        <v>0</v>
      </c>
      <c r="CP95" s="113">
        <v>0</v>
      </c>
      <c r="CQ95" s="113">
        <v>0</v>
      </c>
      <c r="CR95" s="113">
        <v>0</v>
      </c>
      <c r="CS95" s="113">
        <v>0</v>
      </c>
      <c r="CT95" s="113">
        <v>0</v>
      </c>
      <c r="CU95" s="113">
        <v>0</v>
      </c>
      <c r="CV95" s="113">
        <v>0</v>
      </c>
      <c r="CW95" s="113">
        <v>0</v>
      </c>
      <c r="CX95" s="113">
        <v>0</v>
      </c>
      <c r="CY95" s="113">
        <v>0</v>
      </c>
      <c r="CZ95" s="113">
        <v>0</v>
      </c>
      <c r="DA95" s="113">
        <v>0</v>
      </c>
      <c r="DB95" s="113">
        <v>0</v>
      </c>
      <c r="DC95" s="113">
        <v>0</v>
      </c>
      <c r="DD95" s="113">
        <v>0</v>
      </c>
      <c r="DE95" s="113">
        <v>0</v>
      </c>
      <c r="DF95" s="113">
        <v>0</v>
      </c>
      <c r="DG95" s="113">
        <v>0</v>
      </c>
      <c r="DH95" s="113">
        <v>0</v>
      </c>
      <c r="DI95" s="113">
        <v>0</v>
      </c>
      <c r="DJ95" s="113">
        <v>0</v>
      </c>
      <c r="DK95" s="113">
        <v>0</v>
      </c>
      <c r="DL95" s="113">
        <v>0</v>
      </c>
      <c r="DM95" s="113">
        <v>0</v>
      </c>
      <c r="DN95" s="113">
        <v>0</v>
      </c>
      <c r="DO95" s="113">
        <v>0</v>
      </c>
      <c r="DP95" s="113">
        <v>0</v>
      </c>
      <c r="DQ95" s="113">
        <v>0</v>
      </c>
      <c r="DR95" s="113">
        <v>0</v>
      </c>
      <c r="DS95" s="113">
        <v>0</v>
      </c>
      <c r="DT95" s="113">
        <v>0</v>
      </c>
      <c r="DU95" s="113">
        <v>0</v>
      </c>
      <c r="DV95" s="113">
        <v>0</v>
      </c>
      <c r="DW95" s="113">
        <v>0</v>
      </c>
      <c r="DX95" s="113">
        <v>0</v>
      </c>
      <c r="DY95" s="113">
        <v>0</v>
      </c>
      <c r="DZ95" s="113">
        <v>0</v>
      </c>
      <c r="EA95" s="113">
        <v>0</v>
      </c>
      <c r="EB95" s="113">
        <v>0</v>
      </c>
      <c r="EC95" s="113">
        <v>0</v>
      </c>
      <c r="ED95" s="113">
        <v>0</v>
      </c>
      <c r="EE95" s="113">
        <v>0</v>
      </c>
      <c r="EF95" s="113">
        <v>0</v>
      </c>
      <c r="EG95" s="113">
        <v>0</v>
      </c>
      <c r="EH95" s="113">
        <v>0</v>
      </c>
      <c r="EI95" s="113">
        <v>0</v>
      </c>
      <c r="EJ95" s="113">
        <v>0</v>
      </c>
      <c r="EK95" s="113">
        <v>0</v>
      </c>
      <c r="EL95" s="113">
        <v>0</v>
      </c>
      <c r="EM95" s="113">
        <v>0</v>
      </c>
      <c r="EN95" s="113">
        <v>0</v>
      </c>
      <c r="EO95" s="113">
        <v>0</v>
      </c>
      <c r="EP95" s="113">
        <v>0</v>
      </c>
      <c r="EQ95" s="113">
        <v>0</v>
      </c>
      <c r="ER95" s="113">
        <v>0</v>
      </c>
      <c r="ES95" s="113">
        <v>0</v>
      </c>
      <c r="ET95" s="113">
        <v>0</v>
      </c>
      <c r="EU95" s="113">
        <v>0</v>
      </c>
      <c r="EV95" s="113">
        <v>0</v>
      </c>
      <c r="EW95" s="113">
        <v>0</v>
      </c>
      <c r="EX95" s="113">
        <v>0</v>
      </c>
      <c r="EY95" s="113">
        <v>0</v>
      </c>
      <c r="EZ95" s="113">
        <v>0</v>
      </c>
      <c r="FA95" s="113">
        <v>0</v>
      </c>
      <c r="FB95" s="113">
        <v>0</v>
      </c>
      <c r="FC95" s="113">
        <v>0</v>
      </c>
      <c r="FD95" s="113">
        <v>0</v>
      </c>
      <c r="FE95" s="113">
        <v>0</v>
      </c>
      <c r="FF95" s="113">
        <v>0</v>
      </c>
      <c r="FG95" s="113">
        <v>0</v>
      </c>
      <c r="FH95" s="113">
        <v>0</v>
      </c>
      <c r="FI95" s="113">
        <v>0</v>
      </c>
      <c r="FJ95" s="113">
        <v>0</v>
      </c>
      <c r="FK95" s="113">
        <v>0</v>
      </c>
      <c r="FL95" s="113">
        <v>0</v>
      </c>
      <c r="FM95" s="113">
        <v>0</v>
      </c>
      <c r="FN95" s="113">
        <v>0</v>
      </c>
      <c r="FO95" s="113">
        <v>0</v>
      </c>
      <c r="FP95" s="113">
        <v>0</v>
      </c>
      <c r="FQ95" s="113">
        <v>0</v>
      </c>
      <c r="FR95" s="113">
        <v>0</v>
      </c>
      <c r="FS95" s="113">
        <v>0</v>
      </c>
      <c r="FT95" s="113">
        <v>0</v>
      </c>
      <c r="FU95" s="113">
        <v>0</v>
      </c>
      <c r="FV95" s="113">
        <v>0</v>
      </c>
      <c r="FW95" s="113">
        <v>0</v>
      </c>
      <c r="FX95" s="32">
        <v>0</v>
      </c>
      <c r="FY95" s="30">
        <v>0</v>
      </c>
      <c r="FZ95" s="30">
        <v>0</v>
      </c>
    </row>
    <row r="96" spans="1:182" x14ac:dyDescent="0.2">
      <c r="A96" s="28">
        <v>34486</v>
      </c>
      <c r="B96" s="28"/>
      <c r="C96" s="29">
        <v>354253</v>
      </c>
      <c r="D96" s="29">
        <v>98718</v>
      </c>
      <c r="E96" s="29">
        <f t="shared" si="2"/>
        <v>452971</v>
      </c>
      <c r="F96" s="30">
        <v>3075806</v>
      </c>
      <c r="G96" s="30">
        <v>0</v>
      </c>
      <c r="H96" s="30">
        <f t="shared" si="3"/>
        <v>3075806</v>
      </c>
      <c r="I96" s="42" t="s">
        <v>75</v>
      </c>
      <c r="J96" s="42" t="s">
        <v>75</v>
      </c>
      <c r="K96" s="32">
        <v>2750247</v>
      </c>
      <c r="L96" s="31" t="s">
        <v>75</v>
      </c>
      <c r="M96" s="31" t="s">
        <v>75</v>
      </c>
      <c r="N96" s="30">
        <v>9957422</v>
      </c>
      <c r="O96" s="31" t="s">
        <v>75</v>
      </c>
      <c r="P96" s="31" t="s">
        <v>75</v>
      </c>
      <c r="Q96" s="30">
        <v>9956151</v>
      </c>
      <c r="R96" s="31" t="s">
        <v>75</v>
      </c>
      <c r="S96" s="31" t="s">
        <v>75</v>
      </c>
      <c r="T96" s="32">
        <v>624824</v>
      </c>
      <c r="U96" s="31" t="s">
        <v>75</v>
      </c>
      <c r="V96" s="31" t="s">
        <v>75</v>
      </c>
      <c r="W96" s="31" t="s">
        <v>75</v>
      </c>
      <c r="X96" s="31" t="s">
        <v>75</v>
      </c>
      <c r="Y96" s="31" t="s">
        <v>75</v>
      </c>
      <c r="Z96" s="30">
        <v>144447</v>
      </c>
      <c r="AA96" s="31" t="s">
        <v>75</v>
      </c>
      <c r="AB96" s="31" t="s">
        <v>75</v>
      </c>
      <c r="AC96" s="30">
        <v>436171</v>
      </c>
      <c r="AD96" s="31" t="s">
        <v>75</v>
      </c>
      <c r="AE96" s="31" t="s">
        <v>75</v>
      </c>
      <c r="AF96" s="30">
        <v>7087</v>
      </c>
      <c r="AG96" s="42" t="s">
        <v>75</v>
      </c>
      <c r="AH96" s="42" t="s">
        <v>75</v>
      </c>
      <c r="AI96" s="32">
        <v>124257</v>
      </c>
      <c r="AJ96" s="31" t="s">
        <v>75</v>
      </c>
      <c r="AK96" s="31" t="s">
        <v>75</v>
      </c>
      <c r="AL96" s="31" t="s">
        <v>75</v>
      </c>
      <c r="AM96" s="31"/>
      <c r="AN96" s="31"/>
      <c r="AO96" s="31"/>
      <c r="AP96" s="31"/>
      <c r="AQ96" s="31"/>
      <c r="AR96" s="31"/>
      <c r="AS96" s="31" t="s">
        <v>75</v>
      </c>
      <c r="AT96" s="31" t="s">
        <v>75</v>
      </c>
      <c r="AU96" s="31" t="s">
        <v>75</v>
      </c>
      <c r="AV96" s="31" t="s">
        <v>75</v>
      </c>
      <c r="AW96" s="31" t="s">
        <v>75</v>
      </c>
      <c r="AX96" s="31" t="s">
        <v>75</v>
      </c>
      <c r="AY96" s="31" t="s">
        <v>75</v>
      </c>
      <c r="AZ96" s="31" t="s">
        <v>75</v>
      </c>
      <c r="BA96" s="31" t="s">
        <v>75</v>
      </c>
      <c r="BB96" s="31" t="s">
        <v>75</v>
      </c>
      <c r="BC96" s="31" t="s">
        <v>75</v>
      </c>
      <c r="BD96" s="31" t="s">
        <v>75</v>
      </c>
      <c r="BE96" s="113">
        <v>0</v>
      </c>
      <c r="BF96" s="113">
        <v>0</v>
      </c>
      <c r="BG96" s="113">
        <v>0</v>
      </c>
      <c r="BH96" s="113">
        <v>0</v>
      </c>
      <c r="BI96" s="113">
        <v>0</v>
      </c>
      <c r="BJ96" s="113">
        <v>0</v>
      </c>
      <c r="BK96" s="113">
        <v>0</v>
      </c>
      <c r="BL96" s="113">
        <v>0</v>
      </c>
      <c r="BM96" s="113">
        <v>0</v>
      </c>
      <c r="BN96" s="113">
        <v>0</v>
      </c>
      <c r="BO96" s="113">
        <v>0</v>
      </c>
      <c r="BP96" s="113">
        <v>0</v>
      </c>
      <c r="BQ96" s="113">
        <v>0</v>
      </c>
      <c r="BR96" s="113">
        <v>0</v>
      </c>
      <c r="BS96" s="113">
        <v>0</v>
      </c>
      <c r="BT96" s="113">
        <v>0</v>
      </c>
      <c r="BU96" s="113">
        <v>0</v>
      </c>
      <c r="BV96" s="113">
        <v>0</v>
      </c>
      <c r="BW96" s="113"/>
      <c r="BX96" s="113"/>
      <c r="BY96" s="113"/>
      <c r="BZ96" s="113">
        <v>0</v>
      </c>
      <c r="CA96" s="113">
        <v>0</v>
      </c>
      <c r="CB96" s="113">
        <v>0</v>
      </c>
      <c r="CC96" s="113"/>
      <c r="CD96" s="113"/>
      <c r="CE96" s="113"/>
      <c r="CF96" s="113">
        <v>0</v>
      </c>
      <c r="CG96" s="113">
        <v>0</v>
      </c>
      <c r="CH96" s="113">
        <v>0</v>
      </c>
      <c r="CI96" s="113">
        <v>0</v>
      </c>
      <c r="CJ96" s="113">
        <v>0</v>
      </c>
      <c r="CK96" s="113">
        <v>0</v>
      </c>
      <c r="CL96" s="113">
        <v>0</v>
      </c>
      <c r="CM96" s="113">
        <v>0</v>
      </c>
      <c r="CN96" s="113">
        <v>0</v>
      </c>
      <c r="CO96" s="113">
        <v>0</v>
      </c>
      <c r="CP96" s="113">
        <v>0</v>
      </c>
      <c r="CQ96" s="113">
        <v>0</v>
      </c>
      <c r="CR96" s="113">
        <v>0</v>
      </c>
      <c r="CS96" s="113">
        <v>0</v>
      </c>
      <c r="CT96" s="113">
        <v>0</v>
      </c>
      <c r="CU96" s="113">
        <v>0</v>
      </c>
      <c r="CV96" s="113">
        <v>0</v>
      </c>
      <c r="CW96" s="113">
        <v>0</v>
      </c>
      <c r="CX96" s="113">
        <v>0</v>
      </c>
      <c r="CY96" s="113">
        <v>0</v>
      </c>
      <c r="CZ96" s="113">
        <v>0</v>
      </c>
      <c r="DA96" s="113">
        <v>0</v>
      </c>
      <c r="DB96" s="113">
        <v>0</v>
      </c>
      <c r="DC96" s="113">
        <v>0</v>
      </c>
      <c r="DD96" s="113">
        <v>0</v>
      </c>
      <c r="DE96" s="113">
        <v>0</v>
      </c>
      <c r="DF96" s="113">
        <v>0</v>
      </c>
      <c r="DG96" s="113">
        <v>0</v>
      </c>
      <c r="DH96" s="113">
        <v>0</v>
      </c>
      <c r="DI96" s="113">
        <v>0</v>
      </c>
      <c r="DJ96" s="113">
        <v>0</v>
      </c>
      <c r="DK96" s="113">
        <v>0</v>
      </c>
      <c r="DL96" s="113">
        <v>0</v>
      </c>
      <c r="DM96" s="113">
        <v>0</v>
      </c>
      <c r="DN96" s="113">
        <v>0</v>
      </c>
      <c r="DO96" s="113">
        <v>0</v>
      </c>
      <c r="DP96" s="113">
        <v>0</v>
      </c>
      <c r="DQ96" s="113">
        <v>0</v>
      </c>
      <c r="DR96" s="113">
        <v>0</v>
      </c>
      <c r="DS96" s="113">
        <v>0</v>
      </c>
      <c r="DT96" s="113">
        <v>0</v>
      </c>
      <c r="DU96" s="113">
        <v>0</v>
      </c>
      <c r="DV96" s="113">
        <v>0</v>
      </c>
      <c r="DW96" s="113">
        <v>0</v>
      </c>
      <c r="DX96" s="113">
        <v>0</v>
      </c>
      <c r="DY96" s="113">
        <v>0</v>
      </c>
      <c r="DZ96" s="113">
        <v>0</v>
      </c>
      <c r="EA96" s="113">
        <v>0</v>
      </c>
      <c r="EB96" s="113">
        <v>0</v>
      </c>
      <c r="EC96" s="113">
        <v>0</v>
      </c>
      <c r="ED96" s="113">
        <v>0</v>
      </c>
      <c r="EE96" s="113">
        <v>0</v>
      </c>
      <c r="EF96" s="113">
        <v>0</v>
      </c>
      <c r="EG96" s="113">
        <v>0</v>
      </c>
      <c r="EH96" s="113">
        <v>0</v>
      </c>
      <c r="EI96" s="113">
        <v>0</v>
      </c>
      <c r="EJ96" s="113">
        <v>0</v>
      </c>
      <c r="EK96" s="113">
        <v>0</v>
      </c>
      <c r="EL96" s="113">
        <v>0</v>
      </c>
      <c r="EM96" s="113">
        <v>0</v>
      </c>
      <c r="EN96" s="113">
        <v>0</v>
      </c>
      <c r="EO96" s="113">
        <v>0</v>
      </c>
      <c r="EP96" s="113">
        <v>0</v>
      </c>
      <c r="EQ96" s="113">
        <v>0</v>
      </c>
      <c r="ER96" s="113">
        <v>0</v>
      </c>
      <c r="ES96" s="113">
        <v>0</v>
      </c>
      <c r="ET96" s="113">
        <v>0</v>
      </c>
      <c r="EU96" s="113">
        <v>0</v>
      </c>
      <c r="EV96" s="113">
        <v>0</v>
      </c>
      <c r="EW96" s="113">
        <v>0</v>
      </c>
      <c r="EX96" s="113">
        <v>0</v>
      </c>
      <c r="EY96" s="113">
        <v>0</v>
      </c>
      <c r="EZ96" s="113">
        <v>0</v>
      </c>
      <c r="FA96" s="113">
        <v>0</v>
      </c>
      <c r="FB96" s="113">
        <v>0</v>
      </c>
      <c r="FC96" s="113">
        <v>0</v>
      </c>
      <c r="FD96" s="113">
        <v>0</v>
      </c>
      <c r="FE96" s="113">
        <v>0</v>
      </c>
      <c r="FF96" s="113">
        <v>0</v>
      </c>
      <c r="FG96" s="113">
        <v>0</v>
      </c>
      <c r="FH96" s="113">
        <v>0</v>
      </c>
      <c r="FI96" s="113">
        <v>0</v>
      </c>
      <c r="FJ96" s="113">
        <v>0</v>
      </c>
      <c r="FK96" s="113">
        <v>0</v>
      </c>
      <c r="FL96" s="113">
        <v>0</v>
      </c>
      <c r="FM96" s="113">
        <v>0</v>
      </c>
      <c r="FN96" s="113">
        <v>0</v>
      </c>
      <c r="FO96" s="113">
        <v>0</v>
      </c>
      <c r="FP96" s="113">
        <v>0</v>
      </c>
      <c r="FQ96" s="113">
        <v>0</v>
      </c>
      <c r="FR96" s="113">
        <v>0</v>
      </c>
      <c r="FS96" s="113">
        <v>0</v>
      </c>
      <c r="FT96" s="113">
        <v>0</v>
      </c>
      <c r="FU96" s="113">
        <v>0</v>
      </c>
      <c r="FV96" s="113">
        <v>0</v>
      </c>
      <c r="FW96" s="113">
        <v>0</v>
      </c>
      <c r="FX96" s="32">
        <v>0</v>
      </c>
      <c r="FY96" s="30">
        <v>0</v>
      </c>
      <c r="FZ96" s="30">
        <v>0</v>
      </c>
    </row>
    <row r="97" spans="1:182" x14ac:dyDescent="0.2">
      <c r="A97" s="28">
        <v>34516</v>
      </c>
      <c r="B97" s="28"/>
      <c r="C97" s="29">
        <v>202376</v>
      </c>
      <c r="D97" s="29">
        <v>114560</v>
      </c>
      <c r="E97" s="29">
        <f t="shared" si="2"/>
        <v>316936</v>
      </c>
      <c r="F97" s="30">
        <v>3397918</v>
      </c>
      <c r="G97" s="30">
        <v>0</v>
      </c>
      <c r="H97" s="30">
        <f t="shared" si="3"/>
        <v>3397918</v>
      </c>
      <c r="I97" s="42" t="s">
        <v>75</v>
      </c>
      <c r="J97" s="42" t="s">
        <v>75</v>
      </c>
      <c r="K97" s="32">
        <v>2943267</v>
      </c>
      <c r="L97" s="31" t="s">
        <v>75</v>
      </c>
      <c r="M97" s="31" t="s">
        <v>75</v>
      </c>
      <c r="N97" s="30">
        <v>10206396</v>
      </c>
      <c r="O97" s="31" t="s">
        <v>75</v>
      </c>
      <c r="P97" s="31" t="s">
        <v>75</v>
      </c>
      <c r="Q97" s="30">
        <v>9516731</v>
      </c>
      <c r="R97" s="31" t="s">
        <v>75</v>
      </c>
      <c r="S97" s="31" t="s">
        <v>75</v>
      </c>
      <c r="T97" s="32">
        <v>516481</v>
      </c>
      <c r="U97" s="31" t="s">
        <v>75</v>
      </c>
      <c r="V97" s="31" t="s">
        <v>75</v>
      </c>
      <c r="W97" s="31" t="s">
        <v>75</v>
      </c>
      <c r="X97" s="31" t="s">
        <v>75</v>
      </c>
      <c r="Y97" s="31" t="s">
        <v>75</v>
      </c>
      <c r="Z97" s="30">
        <v>110740</v>
      </c>
      <c r="AA97" s="31" t="s">
        <v>75</v>
      </c>
      <c r="AB97" s="31" t="s">
        <v>75</v>
      </c>
      <c r="AC97" s="30">
        <v>334126</v>
      </c>
      <c r="AD97" s="31" t="s">
        <v>75</v>
      </c>
      <c r="AE97" s="31" t="s">
        <v>75</v>
      </c>
      <c r="AF97" s="30">
        <v>5498</v>
      </c>
      <c r="AG97" s="42" t="s">
        <v>75</v>
      </c>
      <c r="AH97" s="42" t="s">
        <v>75</v>
      </c>
      <c r="AI97" s="32">
        <v>74596</v>
      </c>
      <c r="AJ97" s="31" t="s">
        <v>75</v>
      </c>
      <c r="AK97" s="31" t="s">
        <v>75</v>
      </c>
      <c r="AL97" s="31" t="s">
        <v>75</v>
      </c>
      <c r="AM97" s="31"/>
      <c r="AN97" s="31"/>
      <c r="AO97" s="31"/>
      <c r="AP97" s="31"/>
      <c r="AQ97" s="31"/>
      <c r="AR97" s="31"/>
      <c r="AS97" s="31" t="s">
        <v>75</v>
      </c>
      <c r="AT97" s="31" t="s">
        <v>75</v>
      </c>
      <c r="AU97" s="31" t="s">
        <v>75</v>
      </c>
      <c r="AV97" s="31" t="s">
        <v>75</v>
      </c>
      <c r="AW97" s="31" t="s">
        <v>75</v>
      </c>
      <c r="AX97" s="31" t="s">
        <v>75</v>
      </c>
      <c r="AY97" s="31" t="s">
        <v>75</v>
      </c>
      <c r="AZ97" s="31" t="s">
        <v>75</v>
      </c>
      <c r="BA97" s="31" t="s">
        <v>75</v>
      </c>
      <c r="BB97" s="31" t="s">
        <v>75</v>
      </c>
      <c r="BC97" s="31" t="s">
        <v>75</v>
      </c>
      <c r="BD97" s="31" t="s">
        <v>75</v>
      </c>
      <c r="BE97" s="113">
        <v>0</v>
      </c>
      <c r="BF97" s="113">
        <v>0</v>
      </c>
      <c r="BG97" s="113">
        <v>0</v>
      </c>
      <c r="BH97" s="113">
        <v>0</v>
      </c>
      <c r="BI97" s="113">
        <v>0</v>
      </c>
      <c r="BJ97" s="113">
        <v>0</v>
      </c>
      <c r="BK97" s="113">
        <v>0</v>
      </c>
      <c r="BL97" s="113">
        <v>0</v>
      </c>
      <c r="BM97" s="113">
        <v>0</v>
      </c>
      <c r="BN97" s="113">
        <v>0</v>
      </c>
      <c r="BO97" s="113">
        <v>0</v>
      </c>
      <c r="BP97" s="113">
        <v>0</v>
      </c>
      <c r="BQ97" s="113">
        <v>0</v>
      </c>
      <c r="BR97" s="113">
        <v>0</v>
      </c>
      <c r="BS97" s="113">
        <v>0</v>
      </c>
      <c r="BT97" s="113">
        <v>0</v>
      </c>
      <c r="BU97" s="113">
        <v>0</v>
      </c>
      <c r="BV97" s="113">
        <v>0</v>
      </c>
      <c r="BW97" s="113"/>
      <c r="BX97" s="113"/>
      <c r="BY97" s="113"/>
      <c r="BZ97" s="113">
        <v>0</v>
      </c>
      <c r="CA97" s="113">
        <v>0</v>
      </c>
      <c r="CB97" s="113">
        <v>0</v>
      </c>
      <c r="CC97" s="113"/>
      <c r="CD97" s="113"/>
      <c r="CE97" s="113"/>
      <c r="CF97" s="113">
        <v>0</v>
      </c>
      <c r="CG97" s="113">
        <v>0</v>
      </c>
      <c r="CH97" s="113">
        <v>0</v>
      </c>
      <c r="CI97" s="113">
        <v>0</v>
      </c>
      <c r="CJ97" s="113">
        <v>0</v>
      </c>
      <c r="CK97" s="113">
        <v>0</v>
      </c>
      <c r="CL97" s="113">
        <v>0</v>
      </c>
      <c r="CM97" s="113">
        <v>0</v>
      </c>
      <c r="CN97" s="113">
        <v>0</v>
      </c>
      <c r="CO97" s="113">
        <v>0</v>
      </c>
      <c r="CP97" s="113">
        <v>0</v>
      </c>
      <c r="CQ97" s="113">
        <v>0</v>
      </c>
      <c r="CR97" s="113">
        <v>0</v>
      </c>
      <c r="CS97" s="113">
        <v>0</v>
      </c>
      <c r="CT97" s="113">
        <v>0</v>
      </c>
      <c r="CU97" s="113">
        <v>0</v>
      </c>
      <c r="CV97" s="113">
        <v>0</v>
      </c>
      <c r="CW97" s="113">
        <v>0</v>
      </c>
      <c r="CX97" s="113">
        <v>0</v>
      </c>
      <c r="CY97" s="113">
        <v>0</v>
      </c>
      <c r="CZ97" s="113">
        <v>0</v>
      </c>
      <c r="DA97" s="113">
        <v>0</v>
      </c>
      <c r="DB97" s="113">
        <v>0</v>
      </c>
      <c r="DC97" s="113">
        <v>0</v>
      </c>
      <c r="DD97" s="113">
        <v>0</v>
      </c>
      <c r="DE97" s="113">
        <v>0</v>
      </c>
      <c r="DF97" s="113">
        <v>0</v>
      </c>
      <c r="DG97" s="113">
        <v>0</v>
      </c>
      <c r="DH97" s="113">
        <v>0</v>
      </c>
      <c r="DI97" s="113">
        <v>0</v>
      </c>
      <c r="DJ97" s="113">
        <v>0</v>
      </c>
      <c r="DK97" s="113">
        <v>0</v>
      </c>
      <c r="DL97" s="113">
        <v>0</v>
      </c>
      <c r="DM97" s="113">
        <v>0</v>
      </c>
      <c r="DN97" s="113">
        <v>0</v>
      </c>
      <c r="DO97" s="113">
        <v>0</v>
      </c>
      <c r="DP97" s="113">
        <v>0</v>
      </c>
      <c r="DQ97" s="113">
        <v>0</v>
      </c>
      <c r="DR97" s="113">
        <v>0</v>
      </c>
      <c r="DS97" s="113">
        <v>0</v>
      </c>
      <c r="DT97" s="113">
        <v>0</v>
      </c>
      <c r="DU97" s="113">
        <v>0</v>
      </c>
      <c r="DV97" s="113">
        <v>0</v>
      </c>
      <c r="DW97" s="113">
        <v>0</v>
      </c>
      <c r="DX97" s="113">
        <v>0</v>
      </c>
      <c r="DY97" s="113">
        <v>0</v>
      </c>
      <c r="DZ97" s="113">
        <v>0</v>
      </c>
      <c r="EA97" s="113">
        <v>0</v>
      </c>
      <c r="EB97" s="113">
        <v>0</v>
      </c>
      <c r="EC97" s="113">
        <v>0</v>
      </c>
      <c r="ED97" s="113">
        <v>0</v>
      </c>
      <c r="EE97" s="113">
        <v>0</v>
      </c>
      <c r="EF97" s="113">
        <v>0</v>
      </c>
      <c r="EG97" s="113">
        <v>0</v>
      </c>
      <c r="EH97" s="113">
        <v>0</v>
      </c>
      <c r="EI97" s="113">
        <v>0</v>
      </c>
      <c r="EJ97" s="113">
        <v>0</v>
      </c>
      <c r="EK97" s="113">
        <v>0</v>
      </c>
      <c r="EL97" s="113">
        <v>0</v>
      </c>
      <c r="EM97" s="113">
        <v>0</v>
      </c>
      <c r="EN97" s="113">
        <v>0</v>
      </c>
      <c r="EO97" s="113">
        <v>0</v>
      </c>
      <c r="EP97" s="113">
        <v>0</v>
      </c>
      <c r="EQ97" s="113">
        <v>0</v>
      </c>
      <c r="ER97" s="113">
        <v>0</v>
      </c>
      <c r="ES97" s="113">
        <v>0</v>
      </c>
      <c r="ET97" s="113">
        <v>0</v>
      </c>
      <c r="EU97" s="113">
        <v>0</v>
      </c>
      <c r="EV97" s="113">
        <v>0</v>
      </c>
      <c r="EW97" s="113">
        <v>0</v>
      </c>
      <c r="EX97" s="113">
        <v>0</v>
      </c>
      <c r="EY97" s="113">
        <v>0</v>
      </c>
      <c r="EZ97" s="113">
        <v>0</v>
      </c>
      <c r="FA97" s="113">
        <v>0</v>
      </c>
      <c r="FB97" s="113">
        <v>0</v>
      </c>
      <c r="FC97" s="113">
        <v>0</v>
      </c>
      <c r="FD97" s="113">
        <v>0</v>
      </c>
      <c r="FE97" s="113">
        <v>0</v>
      </c>
      <c r="FF97" s="113">
        <v>0</v>
      </c>
      <c r="FG97" s="113">
        <v>0</v>
      </c>
      <c r="FH97" s="113">
        <v>0</v>
      </c>
      <c r="FI97" s="113">
        <v>0</v>
      </c>
      <c r="FJ97" s="113">
        <v>0</v>
      </c>
      <c r="FK97" s="113">
        <v>0</v>
      </c>
      <c r="FL97" s="113">
        <v>0</v>
      </c>
      <c r="FM97" s="113">
        <v>0</v>
      </c>
      <c r="FN97" s="113">
        <v>0</v>
      </c>
      <c r="FO97" s="113">
        <v>0</v>
      </c>
      <c r="FP97" s="113">
        <v>0</v>
      </c>
      <c r="FQ97" s="113">
        <v>0</v>
      </c>
      <c r="FR97" s="113">
        <v>0</v>
      </c>
      <c r="FS97" s="113">
        <v>0</v>
      </c>
      <c r="FT97" s="113">
        <v>0</v>
      </c>
      <c r="FU97" s="113">
        <v>0</v>
      </c>
      <c r="FV97" s="113">
        <v>0</v>
      </c>
      <c r="FW97" s="113">
        <v>0</v>
      </c>
      <c r="FX97" s="32">
        <v>0</v>
      </c>
      <c r="FY97" s="30">
        <v>0</v>
      </c>
      <c r="FZ97" s="30">
        <v>0</v>
      </c>
    </row>
    <row r="98" spans="1:182" x14ac:dyDescent="0.2">
      <c r="A98" s="28">
        <v>34547</v>
      </c>
      <c r="B98" s="28"/>
      <c r="C98" s="29">
        <v>333218</v>
      </c>
      <c r="D98" s="29">
        <v>94500</v>
      </c>
      <c r="E98" s="29">
        <f t="shared" si="2"/>
        <v>427718</v>
      </c>
      <c r="F98" s="30">
        <v>4437624</v>
      </c>
      <c r="G98" s="30">
        <v>0</v>
      </c>
      <c r="H98" s="30">
        <f t="shared" si="3"/>
        <v>4437624</v>
      </c>
      <c r="I98" s="42" t="s">
        <v>75</v>
      </c>
      <c r="J98" s="42" t="s">
        <v>75</v>
      </c>
      <c r="K98" s="32">
        <v>2933601</v>
      </c>
      <c r="L98" s="31" t="s">
        <v>75</v>
      </c>
      <c r="M98" s="31" t="s">
        <v>75</v>
      </c>
      <c r="N98" s="30">
        <v>9984167</v>
      </c>
      <c r="O98" s="31" t="s">
        <v>75</v>
      </c>
      <c r="P98" s="31" t="s">
        <v>75</v>
      </c>
      <c r="Q98" s="30">
        <v>10916091</v>
      </c>
      <c r="R98" s="31" t="s">
        <v>75</v>
      </c>
      <c r="S98" s="31" t="s">
        <v>75</v>
      </c>
      <c r="T98" s="32">
        <v>392603</v>
      </c>
      <c r="U98" s="31" t="s">
        <v>75</v>
      </c>
      <c r="V98" s="31" t="s">
        <v>75</v>
      </c>
      <c r="W98" s="31" t="s">
        <v>75</v>
      </c>
      <c r="X98" s="31" t="s">
        <v>75</v>
      </c>
      <c r="Y98" s="31" t="s">
        <v>75</v>
      </c>
      <c r="Z98" s="30">
        <v>142992</v>
      </c>
      <c r="AA98" s="31" t="s">
        <v>75</v>
      </c>
      <c r="AB98" s="31" t="s">
        <v>75</v>
      </c>
      <c r="AC98" s="30">
        <v>421337</v>
      </c>
      <c r="AD98" s="31" t="s">
        <v>75</v>
      </c>
      <c r="AE98" s="31" t="s">
        <v>75</v>
      </c>
      <c r="AF98" s="30">
        <v>5568</v>
      </c>
      <c r="AG98" s="42" t="s">
        <v>75</v>
      </c>
      <c r="AH98" s="42" t="s">
        <v>75</v>
      </c>
      <c r="AI98" s="32">
        <v>122838</v>
      </c>
      <c r="AJ98" s="31" t="s">
        <v>75</v>
      </c>
      <c r="AK98" s="31" t="s">
        <v>75</v>
      </c>
      <c r="AL98" s="31" t="s">
        <v>75</v>
      </c>
      <c r="AM98" s="31"/>
      <c r="AN98" s="31"/>
      <c r="AO98" s="31"/>
      <c r="AP98" s="31"/>
      <c r="AQ98" s="31"/>
      <c r="AR98" s="31"/>
      <c r="AS98" s="31" t="s">
        <v>75</v>
      </c>
      <c r="AT98" s="31" t="s">
        <v>75</v>
      </c>
      <c r="AU98" s="31" t="s">
        <v>75</v>
      </c>
      <c r="AV98" s="31" t="s">
        <v>75</v>
      </c>
      <c r="AW98" s="31" t="s">
        <v>75</v>
      </c>
      <c r="AX98" s="31" t="s">
        <v>75</v>
      </c>
      <c r="AY98" s="31" t="s">
        <v>75</v>
      </c>
      <c r="AZ98" s="31" t="s">
        <v>75</v>
      </c>
      <c r="BA98" s="31" t="s">
        <v>75</v>
      </c>
      <c r="BB98" s="31" t="s">
        <v>75</v>
      </c>
      <c r="BC98" s="31" t="s">
        <v>75</v>
      </c>
      <c r="BD98" s="31" t="s">
        <v>75</v>
      </c>
      <c r="BE98" s="113">
        <v>0</v>
      </c>
      <c r="BF98" s="113">
        <v>0</v>
      </c>
      <c r="BG98" s="113">
        <v>0</v>
      </c>
      <c r="BH98" s="113">
        <v>0</v>
      </c>
      <c r="BI98" s="113">
        <v>0</v>
      </c>
      <c r="BJ98" s="113">
        <v>0</v>
      </c>
      <c r="BK98" s="113">
        <v>0</v>
      </c>
      <c r="BL98" s="113">
        <v>0</v>
      </c>
      <c r="BM98" s="113">
        <v>0</v>
      </c>
      <c r="BN98" s="113">
        <v>0</v>
      </c>
      <c r="BO98" s="113">
        <v>0</v>
      </c>
      <c r="BP98" s="113">
        <v>0</v>
      </c>
      <c r="BQ98" s="113">
        <v>0</v>
      </c>
      <c r="BR98" s="113">
        <v>0</v>
      </c>
      <c r="BS98" s="113">
        <v>0</v>
      </c>
      <c r="BT98" s="113">
        <v>0</v>
      </c>
      <c r="BU98" s="113">
        <v>0</v>
      </c>
      <c r="BV98" s="113">
        <v>0</v>
      </c>
      <c r="BW98" s="113"/>
      <c r="BX98" s="113"/>
      <c r="BY98" s="113"/>
      <c r="BZ98" s="113">
        <v>0</v>
      </c>
      <c r="CA98" s="113">
        <v>0</v>
      </c>
      <c r="CB98" s="113">
        <v>0</v>
      </c>
      <c r="CC98" s="113"/>
      <c r="CD98" s="113"/>
      <c r="CE98" s="113"/>
      <c r="CF98" s="113">
        <v>0</v>
      </c>
      <c r="CG98" s="113">
        <v>0</v>
      </c>
      <c r="CH98" s="113">
        <v>0</v>
      </c>
      <c r="CI98" s="113">
        <v>0</v>
      </c>
      <c r="CJ98" s="113">
        <v>0</v>
      </c>
      <c r="CK98" s="113">
        <v>0</v>
      </c>
      <c r="CL98" s="113">
        <v>0</v>
      </c>
      <c r="CM98" s="113">
        <v>0</v>
      </c>
      <c r="CN98" s="113">
        <v>0</v>
      </c>
      <c r="CO98" s="113">
        <v>0</v>
      </c>
      <c r="CP98" s="113">
        <v>0</v>
      </c>
      <c r="CQ98" s="113">
        <v>0</v>
      </c>
      <c r="CR98" s="113">
        <v>0</v>
      </c>
      <c r="CS98" s="113">
        <v>0</v>
      </c>
      <c r="CT98" s="113">
        <v>0</v>
      </c>
      <c r="CU98" s="113">
        <v>0</v>
      </c>
      <c r="CV98" s="113">
        <v>0</v>
      </c>
      <c r="CW98" s="113">
        <v>0</v>
      </c>
      <c r="CX98" s="113">
        <v>0</v>
      </c>
      <c r="CY98" s="113">
        <v>0</v>
      </c>
      <c r="CZ98" s="113">
        <v>0</v>
      </c>
      <c r="DA98" s="113">
        <v>0</v>
      </c>
      <c r="DB98" s="113">
        <v>0</v>
      </c>
      <c r="DC98" s="113">
        <v>0</v>
      </c>
      <c r="DD98" s="113">
        <v>0</v>
      </c>
      <c r="DE98" s="113">
        <v>0</v>
      </c>
      <c r="DF98" s="113">
        <v>0</v>
      </c>
      <c r="DG98" s="113">
        <v>0</v>
      </c>
      <c r="DH98" s="113">
        <v>0</v>
      </c>
      <c r="DI98" s="113">
        <v>0</v>
      </c>
      <c r="DJ98" s="113">
        <v>0</v>
      </c>
      <c r="DK98" s="113">
        <v>0</v>
      </c>
      <c r="DL98" s="113">
        <v>0</v>
      </c>
      <c r="DM98" s="113">
        <v>0</v>
      </c>
      <c r="DN98" s="113">
        <v>0</v>
      </c>
      <c r="DO98" s="113">
        <v>0</v>
      </c>
      <c r="DP98" s="113">
        <v>0</v>
      </c>
      <c r="DQ98" s="113">
        <v>0</v>
      </c>
      <c r="DR98" s="113">
        <v>0</v>
      </c>
      <c r="DS98" s="113">
        <v>0</v>
      </c>
      <c r="DT98" s="113">
        <v>0</v>
      </c>
      <c r="DU98" s="113">
        <v>0</v>
      </c>
      <c r="DV98" s="113">
        <v>0</v>
      </c>
      <c r="DW98" s="113">
        <v>0</v>
      </c>
      <c r="DX98" s="113">
        <v>0</v>
      </c>
      <c r="DY98" s="113">
        <v>0</v>
      </c>
      <c r="DZ98" s="113">
        <v>0</v>
      </c>
      <c r="EA98" s="113">
        <v>0</v>
      </c>
      <c r="EB98" s="113">
        <v>0</v>
      </c>
      <c r="EC98" s="113">
        <v>0</v>
      </c>
      <c r="ED98" s="113">
        <v>0</v>
      </c>
      <c r="EE98" s="113">
        <v>0</v>
      </c>
      <c r="EF98" s="113">
        <v>0</v>
      </c>
      <c r="EG98" s="113">
        <v>0</v>
      </c>
      <c r="EH98" s="113">
        <v>0</v>
      </c>
      <c r="EI98" s="113">
        <v>0</v>
      </c>
      <c r="EJ98" s="113">
        <v>0</v>
      </c>
      <c r="EK98" s="113">
        <v>0</v>
      </c>
      <c r="EL98" s="113">
        <v>0</v>
      </c>
      <c r="EM98" s="113">
        <v>0</v>
      </c>
      <c r="EN98" s="113">
        <v>0</v>
      </c>
      <c r="EO98" s="113">
        <v>0</v>
      </c>
      <c r="EP98" s="113">
        <v>0</v>
      </c>
      <c r="EQ98" s="113">
        <v>0</v>
      </c>
      <c r="ER98" s="113">
        <v>0</v>
      </c>
      <c r="ES98" s="113">
        <v>0</v>
      </c>
      <c r="ET98" s="113">
        <v>0</v>
      </c>
      <c r="EU98" s="113">
        <v>0</v>
      </c>
      <c r="EV98" s="113">
        <v>0</v>
      </c>
      <c r="EW98" s="113">
        <v>0</v>
      </c>
      <c r="EX98" s="113">
        <v>0</v>
      </c>
      <c r="EY98" s="113">
        <v>0</v>
      </c>
      <c r="EZ98" s="113">
        <v>0</v>
      </c>
      <c r="FA98" s="113">
        <v>0</v>
      </c>
      <c r="FB98" s="113">
        <v>0</v>
      </c>
      <c r="FC98" s="113">
        <v>0</v>
      </c>
      <c r="FD98" s="113">
        <v>0</v>
      </c>
      <c r="FE98" s="113">
        <v>0</v>
      </c>
      <c r="FF98" s="113">
        <v>0</v>
      </c>
      <c r="FG98" s="113">
        <v>0</v>
      </c>
      <c r="FH98" s="113">
        <v>0</v>
      </c>
      <c r="FI98" s="113">
        <v>0</v>
      </c>
      <c r="FJ98" s="113">
        <v>0</v>
      </c>
      <c r="FK98" s="113">
        <v>0</v>
      </c>
      <c r="FL98" s="113">
        <v>0</v>
      </c>
      <c r="FM98" s="113">
        <v>0</v>
      </c>
      <c r="FN98" s="113">
        <v>0</v>
      </c>
      <c r="FO98" s="113">
        <v>0</v>
      </c>
      <c r="FP98" s="113">
        <v>0</v>
      </c>
      <c r="FQ98" s="113">
        <v>0</v>
      </c>
      <c r="FR98" s="113">
        <v>0</v>
      </c>
      <c r="FS98" s="113">
        <v>0</v>
      </c>
      <c r="FT98" s="113">
        <v>0</v>
      </c>
      <c r="FU98" s="113">
        <v>0</v>
      </c>
      <c r="FV98" s="113">
        <v>0</v>
      </c>
      <c r="FW98" s="113">
        <v>0</v>
      </c>
      <c r="FX98" s="32">
        <v>0</v>
      </c>
      <c r="FY98" s="30">
        <v>0</v>
      </c>
      <c r="FZ98" s="30">
        <v>0</v>
      </c>
    </row>
    <row r="99" spans="1:182" x14ac:dyDescent="0.2">
      <c r="A99" s="28">
        <v>34578</v>
      </c>
      <c r="B99" s="28"/>
      <c r="C99" s="29">
        <v>202107</v>
      </c>
      <c r="D99" s="29">
        <v>86986</v>
      </c>
      <c r="E99" s="29">
        <f t="shared" si="2"/>
        <v>289093</v>
      </c>
      <c r="F99" s="30">
        <v>7186501</v>
      </c>
      <c r="G99" s="30">
        <v>0</v>
      </c>
      <c r="H99" s="30">
        <f t="shared" si="3"/>
        <v>7186501</v>
      </c>
      <c r="I99" s="42" t="s">
        <v>75</v>
      </c>
      <c r="J99" s="42" t="s">
        <v>75</v>
      </c>
      <c r="K99" s="32">
        <v>3342928</v>
      </c>
      <c r="L99" s="31" t="s">
        <v>75</v>
      </c>
      <c r="M99" s="31" t="s">
        <v>75</v>
      </c>
      <c r="N99" s="30">
        <v>11241765</v>
      </c>
      <c r="O99" s="31" t="s">
        <v>75</v>
      </c>
      <c r="P99" s="31" t="s">
        <v>75</v>
      </c>
      <c r="Q99" s="30">
        <v>12252622</v>
      </c>
      <c r="R99" s="31" t="s">
        <v>75</v>
      </c>
      <c r="S99" s="31" t="s">
        <v>75</v>
      </c>
      <c r="T99" s="32">
        <v>309367</v>
      </c>
      <c r="U99" s="31" t="s">
        <v>75</v>
      </c>
      <c r="V99" s="31" t="s">
        <v>75</v>
      </c>
      <c r="W99" s="31" t="s">
        <v>75</v>
      </c>
      <c r="X99" s="31" t="s">
        <v>75</v>
      </c>
      <c r="Y99" s="31" t="s">
        <v>75</v>
      </c>
      <c r="Z99" s="30">
        <v>135227</v>
      </c>
      <c r="AA99" s="31" t="s">
        <v>75</v>
      </c>
      <c r="AB99" s="31" t="s">
        <v>75</v>
      </c>
      <c r="AC99" s="30">
        <v>262548</v>
      </c>
      <c r="AD99" s="31" t="s">
        <v>75</v>
      </c>
      <c r="AE99" s="31" t="s">
        <v>75</v>
      </c>
      <c r="AF99" s="30">
        <v>9213</v>
      </c>
      <c r="AG99" s="42" t="s">
        <v>75</v>
      </c>
      <c r="AH99" s="42" t="s">
        <v>75</v>
      </c>
      <c r="AI99" s="32">
        <v>78515</v>
      </c>
      <c r="AJ99" s="31" t="s">
        <v>75</v>
      </c>
      <c r="AK99" s="31" t="s">
        <v>75</v>
      </c>
      <c r="AL99" s="31" t="s">
        <v>75</v>
      </c>
      <c r="AM99" s="31"/>
      <c r="AN99" s="31"/>
      <c r="AO99" s="31"/>
      <c r="AP99" s="31"/>
      <c r="AQ99" s="31"/>
      <c r="AR99" s="31"/>
      <c r="AS99" s="31" t="s">
        <v>75</v>
      </c>
      <c r="AT99" s="31" t="s">
        <v>75</v>
      </c>
      <c r="AU99" s="31" t="s">
        <v>75</v>
      </c>
      <c r="AV99" s="31" t="s">
        <v>75</v>
      </c>
      <c r="AW99" s="31" t="s">
        <v>75</v>
      </c>
      <c r="AX99" s="31" t="s">
        <v>75</v>
      </c>
      <c r="AY99" s="31" t="s">
        <v>75</v>
      </c>
      <c r="AZ99" s="31" t="s">
        <v>75</v>
      </c>
      <c r="BA99" s="31" t="s">
        <v>75</v>
      </c>
      <c r="BB99" s="31" t="s">
        <v>75</v>
      </c>
      <c r="BC99" s="31" t="s">
        <v>75</v>
      </c>
      <c r="BD99" s="31" t="s">
        <v>75</v>
      </c>
      <c r="BE99" s="113">
        <v>0</v>
      </c>
      <c r="BF99" s="113">
        <v>0</v>
      </c>
      <c r="BG99" s="113">
        <v>0</v>
      </c>
      <c r="BH99" s="113">
        <v>0</v>
      </c>
      <c r="BI99" s="113">
        <v>0</v>
      </c>
      <c r="BJ99" s="113">
        <v>0</v>
      </c>
      <c r="BK99" s="113">
        <v>0</v>
      </c>
      <c r="BL99" s="113">
        <v>0</v>
      </c>
      <c r="BM99" s="113">
        <v>0</v>
      </c>
      <c r="BN99" s="113">
        <v>0</v>
      </c>
      <c r="BO99" s="113">
        <v>0</v>
      </c>
      <c r="BP99" s="113">
        <v>0</v>
      </c>
      <c r="BQ99" s="113">
        <v>0</v>
      </c>
      <c r="BR99" s="113">
        <v>0</v>
      </c>
      <c r="BS99" s="113">
        <v>0</v>
      </c>
      <c r="BT99" s="113">
        <v>0</v>
      </c>
      <c r="BU99" s="113">
        <v>0</v>
      </c>
      <c r="BV99" s="113">
        <v>0</v>
      </c>
      <c r="BW99" s="113"/>
      <c r="BX99" s="113"/>
      <c r="BY99" s="113"/>
      <c r="BZ99" s="113">
        <v>0</v>
      </c>
      <c r="CA99" s="113">
        <v>0</v>
      </c>
      <c r="CB99" s="113">
        <v>0</v>
      </c>
      <c r="CC99" s="113"/>
      <c r="CD99" s="113"/>
      <c r="CE99" s="113"/>
      <c r="CF99" s="113">
        <v>0</v>
      </c>
      <c r="CG99" s="113">
        <v>0</v>
      </c>
      <c r="CH99" s="113">
        <v>0</v>
      </c>
      <c r="CI99" s="113">
        <v>0</v>
      </c>
      <c r="CJ99" s="113">
        <v>0</v>
      </c>
      <c r="CK99" s="113">
        <v>0</v>
      </c>
      <c r="CL99" s="113">
        <v>0</v>
      </c>
      <c r="CM99" s="113">
        <v>0</v>
      </c>
      <c r="CN99" s="113">
        <v>0</v>
      </c>
      <c r="CO99" s="113">
        <v>0</v>
      </c>
      <c r="CP99" s="113">
        <v>0</v>
      </c>
      <c r="CQ99" s="113">
        <v>0</v>
      </c>
      <c r="CR99" s="113">
        <v>0</v>
      </c>
      <c r="CS99" s="113">
        <v>0</v>
      </c>
      <c r="CT99" s="113">
        <v>0</v>
      </c>
      <c r="CU99" s="113">
        <v>0</v>
      </c>
      <c r="CV99" s="113">
        <v>0</v>
      </c>
      <c r="CW99" s="113">
        <v>0</v>
      </c>
      <c r="CX99" s="113">
        <v>0</v>
      </c>
      <c r="CY99" s="113">
        <v>0</v>
      </c>
      <c r="CZ99" s="113">
        <v>0</v>
      </c>
      <c r="DA99" s="113">
        <v>0</v>
      </c>
      <c r="DB99" s="113">
        <v>0</v>
      </c>
      <c r="DC99" s="113">
        <v>0</v>
      </c>
      <c r="DD99" s="113">
        <v>0</v>
      </c>
      <c r="DE99" s="113">
        <v>0</v>
      </c>
      <c r="DF99" s="113">
        <v>0</v>
      </c>
      <c r="DG99" s="113">
        <v>0</v>
      </c>
      <c r="DH99" s="113">
        <v>0</v>
      </c>
      <c r="DI99" s="113">
        <v>0</v>
      </c>
      <c r="DJ99" s="113">
        <v>0</v>
      </c>
      <c r="DK99" s="113">
        <v>0</v>
      </c>
      <c r="DL99" s="113">
        <v>0</v>
      </c>
      <c r="DM99" s="113">
        <v>0</v>
      </c>
      <c r="DN99" s="113">
        <v>0</v>
      </c>
      <c r="DO99" s="113">
        <v>0</v>
      </c>
      <c r="DP99" s="113">
        <v>0</v>
      </c>
      <c r="DQ99" s="113">
        <v>0</v>
      </c>
      <c r="DR99" s="113">
        <v>0</v>
      </c>
      <c r="DS99" s="113">
        <v>0</v>
      </c>
      <c r="DT99" s="113">
        <v>0</v>
      </c>
      <c r="DU99" s="113">
        <v>0</v>
      </c>
      <c r="DV99" s="113">
        <v>0</v>
      </c>
      <c r="DW99" s="113">
        <v>0</v>
      </c>
      <c r="DX99" s="113">
        <v>0</v>
      </c>
      <c r="DY99" s="113">
        <v>0</v>
      </c>
      <c r="DZ99" s="113">
        <v>0</v>
      </c>
      <c r="EA99" s="113">
        <v>0</v>
      </c>
      <c r="EB99" s="113">
        <v>0</v>
      </c>
      <c r="EC99" s="113">
        <v>0</v>
      </c>
      <c r="ED99" s="113">
        <v>0</v>
      </c>
      <c r="EE99" s="113">
        <v>0</v>
      </c>
      <c r="EF99" s="113">
        <v>0</v>
      </c>
      <c r="EG99" s="113">
        <v>0</v>
      </c>
      <c r="EH99" s="113">
        <v>0</v>
      </c>
      <c r="EI99" s="113">
        <v>0</v>
      </c>
      <c r="EJ99" s="113">
        <v>0</v>
      </c>
      <c r="EK99" s="113">
        <v>0</v>
      </c>
      <c r="EL99" s="113">
        <v>0</v>
      </c>
      <c r="EM99" s="113">
        <v>0</v>
      </c>
      <c r="EN99" s="113">
        <v>0</v>
      </c>
      <c r="EO99" s="113">
        <v>0</v>
      </c>
      <c r="EP99" s="113">
        <v>0</v>
      </c>
      <c r="EQ99" s="113">
        <v>0</v>
      </c>
      <c r="ER99" s="113">
        <v>0</v>
      </c>
      <c r="ES99" s="113">
        <v>0</v>
      </c>
      <c r="ET99" s="113">
        <v>0</v>
      </c>
      <c r="EU99" s="113">
        <v>0</v>
      </c>
      <c r="EV99" s="113">
        <v>0</v>
      </c>
      <c r="EW99" s="113">
        <v>0</v>
      </c>
      <c r="EX99" s="113">
        <v>0</v>
      </c>
      <c r="EY99" s="113">
        <v>0</v>
      </c>
      <c r="EZ99" s="113">
        <v>0</v>
      </c>
      <c r="FA99" s="113">
        <v>0</v>
      </c>
      <c r="FB99" s="113">
        <v>0</v>
      </c>
      <c r="FC99" s="113">
        <v>0</v>
      </c>
      <c r="FD99" s="113">
        <v>0</v>
      </c>
      <c r="FE99" s="113">
        <v>0</v>
      </c>
      <c r="FF99" s="113">
        <v>0</v>
      </c>
      <c r="FG99" s="113">
        <v>0</v>
      </c>
      <c r="FH99" s="113">
        <v>0</v>
      </c>
      <c r="FI99" s="113">
        <v>0</v>
      </c>
      <c r="FJ99" s="113">
        <v>0</v>
      </c>
      <c r="FK99" s="113">
        <v>0</v>
      </c>
      <c r="FL99" s="113">
        <v>0</v>
      </c>
      <c r="FM99" s="113">
        <v>0</v>
      </c>
      <c r="FN99" s="113">
        <v>0</v>
      </c>
      <c r="FO99" s="113">
        <v>0</v>
      </c>
      <c r="FP99" s="113">
        <v>0</v>
      </c>
      <c r="FQ99" s="113">
        <v>0</v>
      </c>
      <c r="FR99" s="113">
        <v>0</v>
      </c>
      <c r="FS99" s="113">
        <v>0</v>
      </c>
      <c r="FT99" s="113">
        <v>0</v>
      </c>
      <c r="FU99" s="113">
        <v>0</v>
      </c>
      <c r="FV99" s="113">
        <v>0</v>
      </c>
      <c r="FW99" s="113">
        <v>0</v>
      </c>
      <c r="FX99" s="32">
        <v>0</v>
      </c>
      <c r="FY99" s="30">
        <v>0</v>
      </c>
      <c r="FZ99" s="30">
        <v>0</v>
      </c>
    </row>
    <row r="100" spans="1:182" x14ac:dyDescent="0.2">
      <c r="A100" s="28">
        <v>34608</v>
      </c>
      <c r="B100" s="28"/>
      <c r="C100" s="29">
        <v>466263</v>
      </c>
      <c r="D100" s="29">
        <v>140913</v>
      </c>
      <c r="E100" s="29">
        <f t="shared" si="2"/>
        <v>607176</v>
      </c>
      <c r="F100" s="30">
        <v>8847504</v>
      </c>
      <c r="G100" s="30">
        <v>0</v>
      </c>
      <c r="H100" s="30">
        <f t="shared" si="3"/>
        <v>8847504</v>
      </c>
      <c r="I100" s="42" t="s">
        <v>75</v>
      </c>
      <c r="J100" s="42" t="s">
        <v>75</v>
      </c>
      <c r="K100" s="32">
        <v>3304120</v>
      </c>
      <c r="L100" s="31" t="s">
        <v>75</v>
      </c>
      <c r="M100" s="31" t="s">
        <v>75</v>
      </c>
      <c r="N100" s="30">
        <v>10469199</v>
      </c>
      <c r="O100" s="31" t="s">
        <v>75</v>
      </c>
      <c r="P100" s="31" t="s">
        <v>75</v>
      </c>
      <c r="Q100" s="30">
        <v>13374658</v>
      </c>
      <c r="R100" s="31" t="s">
        <v>75</v>
      </c>
      <c r="S100" s="31" t="s">
        <v>75</v>
      </c>
      <c r="T100" s="32">
        <v>328966</v>
      </c>
      <c r="U100" s="31" t="s">
        <v>75</v>
      </c>
      <c r="V100" s="31" t="s">
        <v>75</v>
      </c>
      <c r="W100" s="31" t="s">
        <v>75</v>
      </c>
      <c r="X100" s="31" t="s">
        <v>75</v>
      </c>
      <c r="Y100" s="31" t="s">
        <v>75</v>
      </c>
      <c r="Z100" s="30">
        <v>264832</v>
      </c>
      <c r="AA100" s="31" t="s">
        <v>75</v>
      </c>
      <c r="AB100" s="31" t="s">
        <v>75</v>
      </c>
      <c r="AC100" s="30">
        <v>327599</v>
      </c>
      <c r="AD100" s="31" t="s">
        <v>75</v>
      </c>
      <c r="AE100" s="31" t="s">
        <v>75</v>
      </c>
      <c r="AF100" s="30">
        <v>18539</v>
      </c>
      <c r="AG100" s="42" t="s">
        <v>75</v>
      </c>
      <c r="AH100" s="42" t="s">
        <v>75</v>
      </c>
      <c r="AI100" s="32">
        <v>93115</v>
      </c>
      <c r="AJ100" s="31" t="s">
        <v>75</v>
      </c>
      <c r="AK100" s="31" t="s">
        <v>75</v>
      </c>
      <c r="AL100" s="31" t="s">
        <v>75</v>
      </c>
      <c r="AM100" s="31"/>
      <c r="AN100" s="31"/>
      <c r="AO100" s="31"/>
      <c r="AP100" s="31"/>
      <c r="AQ100" s="31"/>
      <c r="AR100" s="31"/>
      <c r="AS100" s="31" t="s">
        <v>75</v>
      </c>
      <c r="AT100" s="31" t="s">
        <v>75</v>
      </c>
      <c r="AU100" s="31" t="s">
        <v>75</v>
      </c>
      <c r="AV100" s="31" t="s">
        <v>75</v>
      </c>
      <c r="AW100" s="31" t="s">
        <v>75</v>
      </c>
      <c r="AX100" s="31" t="s">
        <v>75</v>
      </c>
      <c r="AY100" s="31" t="s">
        <v>75</v>
      </c>
      <c r="AZ100" s="31" t="s">
        <v>75</v>
      </c>
      <c r="BA100" s="31" t="s">
        <v>75</v>
      </c>
      <c r="BB100" s="31" t="s">
        <v>75</v>
      </c>
      <c r="BC100" s="31" t="s">
        <v>75</v>
      </c>
      <c r="BD100" s="31" t="s">
        <v>75</v>
      </c>
      <c r="BE100" s="113">
        <v>0</v>
      </c>
      <c r="BF100" s="113">
        <v>0</v>
      </c>
      <c r="BG100" s="113">
        <v>0</v>
      </c>
      <c r="BH100" s="113">
        <v>0</v>
      </c>
      <c r="BI100" s="113">
        <v>0</v>
      </c>
      <c r="BJ100" s="113">
        <v>0</v>
      </c>
      <c r="BK100" s="113">
        <v>0</v>
      </c>
      <c r="BL100" s="113">
        <v>0</v>
      </c>
      <c r="BM100" s="113">
        <v>0</v>
      </c>
      <c r="BN100" s="113">
        <v>0</v>
      </c>
      <c r="BO100" s="113">
        <v>0</v>
      </c>
      <c r="BP100" s="113">
        <v>0</v>
      </c>
      <c r="BQ100" s="113">
        <v>0</v>
      </c>
      <c r="BR100" s="113">
        <v>0</v>
      </c>
      <c r="BS100" s="113">
        <v>0</v>
      </c>
      <c r="BT100" s="113">
        <v>0</v>
      </c>
      <c r="BU100" s="113">
        <v>0</v>
      </c>
      <c r="BV100" s="113">
        <v>0</v>
      </c>
      <c r="BW100" s="113"/>
      <c r="BX100" s="113"/>
      <c r="BY100" s="113"/>
      <c r="BZ100" s="113">
        <v>0</v>
      </c>
      <c r="CA100" s="113">
        <v>0</v>
      </c>
      <c r="CB100" s="113">
        <v>0</v>
      </c>
      <c r="CC100" s="113"/>
      <c r="CD100" s="113"/>
      <c r="CE100" s="113"/>
      <c r="CF100" s="113">
        <v>0</v>
      </c>
      <c r="CG100" s="113">
        <v>0</v>
      </c>
      <c r="CH100" s="113">
        <v>0</v>
      </c>
      <c r="CI100" s="113">
        <v>0</v>
      </c>
      <c r="CJ100" s="113">
        <v>0</v>
      </c>
      <c r="CK100" s="113">
        <v>0</v>
      </c>
      <c r="CL100" s="113">
        <v>0</v>
      </c>
      <c r="CM100" s="113">
        <v>0</v>
      </c>
      <c r="CN100" s="113">
        <v>0</v>
      </c>
      <c r="CO100" s="113">
        <v>0</v>
      </c>
      <c r="CP100" s="113">
        <v>0</v>
      </c>
      <c r="CQ100" s="113">
        <v>0</v>
      </c>
      <c r="CR100" s="113">
        <v>0</v>
      </c>
      <c r="CS100" s="113">
        <v>0</v>
      </c>
      <c r="CT100" s="113">
        <v>0</v>
      </c>
      <c r="CU100" s="113">
        <v>0</v>
      </c>
      <c r="CV100" s="113">
        <v>0</v>
      </c>
      <c r="CW100" s="113">
        <v>0</v>
      </c>
      <c r="CX100" s="113">
        <v>0</v>
      </c>
      <c r="CY100" s="113">
        <v>0</v>
      </c>
      <c r="CZ100" s="113">
        <v>0</v>
      </c>
      <c r="DA100" s="113">
        <v>0</v>
      </c>
      <c r="DB100" s="113">
        <v>0</v>
      </c>
      <c r="DC100" s="113">
        <v>0</v>
      </c>
      <c r="DD100" s="113">
        <v>0</v>
      </c>
      <c r="DE100" s="113">
        <v>0</v>
      </c>
      <c r="DF100" s="113">
        <v>0</v>
      </c>
      <c r="DG100" s="113">
        <v>0</v>
      </c>
      <c r="DH100" s="113">
        <v>0</v>
      </c>
      <c r="DI100" s="113">
        <v>0</v>
      </c>
      <c r="DJ100" s="113">
        <v>0</v>
      </c>
      <c r="DK100" s="113">
        <v>0</v>
      </c>
      <c r="DL100" s="113">
        <v>0</v>
      </c>
      <c r="DM100" s="113">
        <v>0</v>
      </c>
      <c r="DN100" s="113">
        <v>0</v>
      </c>
      <c r="DO100" s="113">
        <v>0</v>
      </c>
      <c r="DP100" s="113">
        <v>0</v>
      </c>
      <c r="DQ100" s="113">
        <v>0</v>
      </c>
      <c r="DR100" s="113">
        <v>0</v>
      </c>
      <c r="DS100" s="113">
        <v>0</v>
      </c>
      <c r="DT100" s="113">
        <v>0</v>
      </c>
      <c r="DU100" s="113">
        <v>0</v>
      </c>
      <c r="DV100" s="113">
        <v>0</v>
      </c>
      <c r="DW100" s="113">
        <v>0</v>
      </c>
      <c r="DX100" s="113">
        <v>0</v>
      </c>
      <c r="DY100" s="113">
        <v>0</v>
      </c>
      <c r="DZ100" s="113">
        <v>0</v>
      </c>
      <c r="EA100" s="113">
        <v>0</v>
      </c>
      <c r="EB100" s="113">
        <v>0</v>
      </c>
      <c r="EC100" s="113">
        <v>0</v>
      </c>
      <c r="ED100" s="113">
        <v>0</v>
      </c>
      <c r="EE100" s="113">
        <v>0</v>
      </c>
      <c r="EF100" s="113">
        <v>0</v>
      </c>
      <c r="EG100" s="113">
        <v>0</v>
      </c>
      <c r="EH100" s="113">
        <v>0</v>
      </c>
      <c r="EI100" s="113">
        <v>0</v>
      </c>
      <c r="EJ100" s="113">
        <v>0</v>
      </c>
      <c r="EK100" s="113">
        <v>0</v>
      </c>
      <c r="EL100" s="113">
        <v>0</v>
      </c>
      <c r="EM100" s="113">
        <v>0</v>
      </c>
      <c r="EN100" s="113">
        <v>0</v>
      </c>
      <c r="EO100" s="113">
        <v>0</v>
      </c>
      <c r="EP100" s="113">
        <v>0</v>
      </c>
      <c r="EQ100" s="113">
        <v>0</v>
      </c>
      <c r="ER100" s="113">
        <v>0</v>
      </c>
      <c r="ES100" s="113">
        <v>0</v>
      </c>
      <c r="ET100" s="113">
        <v>0</v>
      </c>
      <c r="EU100" s="113">
        <v>0</v>
      </c>
      <c r="EV100" s="113">
        <v>0</v>
      </c>
      <c r="EW100" s="113">
        <v>0</v>
      </c>
      <c r="EX100" s="113">
        <v>0</v>
      </c>
      <c r="EY100" s="113">
        <v>0</v>
      </c>
      <c r="EZ100" s="113">
        <v>0</v>
      </c>
      <c r="FA100" s="113">
        <v>0</v>
      </c>
      <c r="FB100" s="113">
        <v>0</v>
      </c>
      <c r="FC100" s="113">
        <v>0</v>
      </c>
      <c r="FD100" s="113">
        <v>0</v>
      </c>
      <c r="FE100" s="113">
        <v>0</v>
      </c>
      <c r="FF100" s="113">
        <v>0</v>
      </c>
      <c r="FG100" s="113">
        <v>0</v>
      </c>
      <c r="FH100" s="113">
        <v>0</v>
      </c>
      <c r="FI100" s="113">
        <v>0</v>
      </c>
      <c r="FJ100" s="113">
        <v>0</v>
      </c>
      <c r="FK100" s="113">
        <v>0</v>
      </c>
      <c r="FL100" s="113">
        <v>0</v>
      </c>
      <c r="FM100" s="113">
        <v>0</v>
      </c>
      <c r="FN100" s="113">
        <v>0</v>
      </c>
      <c r="FO100" s="113">
        <v>0</v>
      </c>
      <c r="FP100" s="113">
        <v>0</v>
      </c>
      <c r="FQ100" s="113">
        <v>0</v>
      </c>
      <c r="FR100" s="113">
        <v>0</v>
      </c>
      <c r="FS100" s="113">
        <v>0</v>
      </c>
      <c r="FT100" s="113">
        <v>0</v>
      </c>
      <c r="FU100" s="113">
        <v>0</v>
      </c>
      <c r="FV100" s="113">
        <v>0</v>
      </c>
      <c r="FW100" s="113">
        <v>0</v>
      </c>
      <c r="FX100" s="32">
        <v>0</v>
      </c>
      <c r="FY100" s="30">
        <v>0</v>
      </c>
      <c r="FZ100" s="30">
        <v>0</v>
      </c>
    </row>
    <row r="101" spans="1:182" x14ac:dyDescent="0.2">
      <c r="A101" s="28">
        <v>34639</v>
      </c>
      <c r="B101" s="28"/>
      <c r="C101" s="29">
        <v>247455</v>
      </c>
      <c r="D101" s="29">
        <v>80593</v>
      </c>
      <c r="E101" s="29">
        <f t="shared" si="2"/>
        <v>328048</v>
      </c>
      <c r="F101" s="30">
        <v>9592579</v>
      </c>
      <c r="G101" s="30">
        <v>0</v>
      </c>
      <c r="H101" s="30">
        <f t="shared" si="3"/>
        <v>9592579</v>
      </c>
      <c r="I101" s="42" t="s">
        <v>75</v>
      </c>
      <c r="J101" s="42" t="s">
        <v>75</v>
      </c>
      <c r="K101" s="32">
        <v>3954528</v>
      </c>
      <c r="L101" s="31" t="s">
        <v>75</v>
      </c>
      <c r="M101" s="31" t="s">
        <v>75</v>
      </c>
      <c r="N101" s="30">
        <v>12617218</v>
      </c>
      <c r="O101" s="31" t="s">
        <v>75</v>
      </c>
      <c r="P101" s="31" t="s">
        <v>75</v>
      </c>
      <c r="Q101" s="30">
        <v>16315118</v>
      </c>
      <c r="R101" s="31" t="s">
        <v>75</v>
      </c>
      <c r="S101" s="31" t="s">
        <v>75</v>
      </c>
      <c r="T101" s="32">
        <v>179628</v>
      </c>
      <c r="U101" s="31" t="s">
        <v>75</v>
      </c>
      <c r="V101" s="31" t="s">
        <v>75</v>
      </c>
      <c r="W101" s="31" t="s">
        <v>75</v>
      </c>
      <c r="X101" s="31" t="s">
        <v>75</v>
      </c>
      <c r="Y101" s="31" t="s">
        <v>75</v>
      </c>
      <c r="Z101" s="30">
        <v>164794</v>
      </c>
      <c r="AA101" s="31" t="s">
        <v>75</v>
      </c>
      <c r="AB101" s="31" t="s">
        <v>75</v>
      </c>
      <c r="AC101" s="30">
        <v>261375</v>
      </c>
      <c r="AD101" s="31" t="s">
        <v>75</v>
      </c>
      <c r="AE101" s="31" t="s">
        <v>75</v>
      </c>
      <c r="AF101" s="30">
        <v>35109</v>
      </c>
      <c r="AG101" s="42" t="s">
        <v>75</v>
      </c>
      <c r="AH101" s="42" t="s">
        <v>75</v>
      </c>
      <c r="AI101" s="32">
        <v>71786</v>
      </c>
      <c r="AJ101" s="31" t="s">
        <v>75</v>
      </c>
      <c r="AK101" s="31" t="s">
        <v>75</v>
      </c>
      <c r="AL101" s="31" t="s">
        <v>75</v>
      </c>
      <c r="AM101" s="31"/>
      <c r="AN101" s="31"/>
      <c r="AO101" s="31"/>
      <c r="AP101" s="31"/>
      <c r="AQ101" s="31"/>
      <c r="AR101" s="31"/>
      <c r="AS101" s="31" t="s">
        <v>75</v>
      </c>
      <c r="AT101" s="31" t="s">
        <v>75</v>
      </c>
      <c r="AU101" s="31" t="s">
        <v>75</v>
      </c>
      <c r="AV101" s="31" t="s">
        <v>75</v>
      </c>
      <c r="AW101" s="31" t="s">
        <v>75</v>
      </c>
      <c r="AX101" s="31" t="s">
        <v>75</v>
      </c>
      <c r="AY101" s="31" t="s">
        <v>75</v>
      </c>
      <c r="AZ101" s="31" t="s">
        <v>75</v>
      </c>
      <c r="BA101" s="31" t="s">
        <v>75</v>
      </c>
      <c r="BB101" s="31" t="s">
        <v>75</v>
      </c>
      <c r="BC101" s="31" t="s">
        <v>75</v>
      </c>
      <c r="BD101" s="31" t="s">
        <v>75</v>
      </c>
      <c r="BE101" s="113">
        <v>0</v>
      </c>
      <c r="BF101" s="113">
        <v>0</v>
      </c>
      <c r="BG101" s="113">
        <v>0</v>
      </c>
      <c r="BH101" s="113">
        <v>0</v>
      </c>
      <c r="BI101" s="113">
        <v>0</v>
      </c>
      <c r="BJ101" s="113">
        <v>0</v>
      </c>
      <c r="BK101" s="113">
        <v>0</v>
      </c>
      <c r="BL101" s="113">
        <v>0</v>
      </c>
      <c r="BM101" s="113">
        <v>0</v>
      </c>
      <c r="BN101" s="113">
        <v>0</v>
      </c>
      <c r="BO101" s="113">
        <v>0</v>
      </c>
      <c r="BP101" s="113">
        <v>0</v>
      </c>
      <c r="BQ101" s="113">
        <v>0</v>
      </c>
      <c r="BR101" s="113">
        <v>0</v>
      </c>
      <c r="BS101" s="113">
        <v>0</v>
      </c>
      <c r="BT101" s="113">
        <v>0</v>
      </c>
      <c r="BU101" s="113">
        <v>0</v>
      </c>
      <c r="BV101" s="113">
        <v>0</v>
      </c>
      <c r="BW101" s="113"/>
      <c r="BX101" s="113"/>
      <c r="BY101" s="113"/>
      <c r="BZ101" s="113">
        <v>0</v>
      </c>
      <c r="CA101" s="113">
        <v>0</v>
      </c>
      <c r="CB101" s="113">
        <v>0</v>
      </c>
      <c r="CC101" s="113"/>
      <c r="CD101" s="113"/>
      <c r="CE101" s="113"/>
      <c r="CF101" s="113">
        <v>0</v>
      </c>
      <c r="CG101" s="113">
        <v>0</v>
      </c>
      <c r="CH101" s="113">
        <v>0</v>
      </c>
      <c r="CI101" s="113">
        <v>0</v>
      </c>
      <c r="CJ101" s="113">
        <v>0</v>
      </c>
      <c r="CK101" s="113">
        <v>0</v>
      </c>
      <c r="CL101" s="113">
        <v>0</v>
      </c>
      <c r="CM101" s="113">
        <v>0</v>
      </c>
      <c r="CN101" s="113">
        <v>0</v>
      </c>
      <c r="CO101" s="113">
        <v>0</v>
      </c>
      <c r="CP101" s="113">
        <v>0</v>
      </c>
      <c r="CQ101" s="113">
        <v>0</v>
      </c>
      <c r="CR101" s="113">
        <v>0</v>
      </c>
      <c r="CS101" s="113">
        <v>0</v>
      </c>
      <c r="CT101" s="113">
        <v>0</v>
      </c>
      <c r="CU101" s="113">
        <v>0</v>
      </c>
      <c r="CV101" s="113">
        <v>0</v>
      </c>
      <c r="CW101" s="113">
        <v>0</v>
      </c>
      <c r="CX101" s="113">
        <v>0</v>
      </c>
      <c r="CY101" s="113">
        <v>0</v>
      </c>
      <c r="CZ101" s="113">
        <v>0</v>
      </c>
      <c r="DA101" s="113">
        <v>0</v>
      </c>
      <c r="DB101" s="113">
        <v>0</v>
      </c>
      <c r="DC101" s="113">
        <v>0</v>
      </c>
      <c r="DD101" s="113">
        <v>0</v>
      </c>
      <c r="DE101" s="113">
        <v>0</v>
      </c>
      <c r="DF101" s="113">
        <v>0</v>
      </c>
      <c r="DG101" s="113">
        <v>0</v>
      </c>
      <c r="DH101" s="113">
        <v>0</v>
      </c>
      <c r="DI101" s="113">
        <v>0</v>
      </c>
      <c r="DJ101" s="113">
        <v>0</v>
      </c>
      <c r="DK101" s="113">
        <v>0</v>
      </c>
      <c r="DL101" s="113">
        <v>0</v>
      </c>
      <c r="DM101" s="113">
        <v>0</v>
      </c>
      <c r="DN101" s="113">
        <v>0</v>
      </c>
      <c r="DO101" s="113">
        <v>0</v>
      </c>
      <c r="DP101" s="113">
        <v>0</v>
      </c>
      <c r="DQ101" s="113">
        <v>0</v>
      </c>
      <c r="DR101" s="113">
        <v>0</v>
      </c>
      <c r="DS101" s="113">
        <v>0</v>
      </c>
      <c r="DT101" s="113">
        <v>0</v>
      </c>
      <c r="DU101" s="113">
        <v>0</v>
      </c>
      <c r="DV101" s="113">
        <v>0</v>
      </c>
      <c r="DW101" s="113">
        <v>0</v>
      </c>
      <c r="DX101" s="113">
        <v>0</v>
      </c>
      <c r="DY101" s="113">
        <v>0</v>
      </c>
      <c r="DZ101" s="113">
        <v>0</v>
      </c>
      <c r="EA101" s="113">
        <v>0</v>
      </c>
      <c r="EB101" s="113">
        <v>0</v>
      </c>
      <c r="EC101" s="113">
        <v>0</v>
      </c>
      <c r="ED101" s="113">
        <v>0</v>
      </c>
      <c r="EE101" s="113">
        <v>0</v>
      </c>
      <c r="EF101" s="113">
        <v>0</v>
      </c>
      <c r="EG101" s="113">
        <v>0</v>
      </c>
      <c r="EH101" s="113">
        <v>0</v>
      </c>
      <c r="EI101" s="113">
        <v>0</v>
      </c>
      <c r="EJ101" s="113">
        <v>0</v>
      </c>
      <c r="EK101" s="113">
        <v>0</v>
      </c>
      <c r="EL101" s="113">
        <v>0</v>
      </c>
      <c r="EM101" s="113">
        <v>0</v>
      </c>
      <c r="EN101" s="113">
        <v>0</v>
      </c>
      <c r="EO101" s="113">
        <v>0</v>
      </c>
      <c r="EP101" s="113">
        <v>0</v>
      </c>
      <c r="EQ101" s="113">
        <v>0</v>
      </c>
      <c r="ER101" s="113">
        <v>0</v>
      </c>
      <c r="ES101" s="113">
        <v>0</v>
      </c>
      <c r="ET101" s="113">
        <v>0</v>
      </c>
      <c r="EU101" s="113">
        <v>0</v>
      </c>
      <c r="EV101" s="113">
        <v>0</v>
      </c>
      <c r="EW101" s="113">
        <v>0</v>
      </c>
      <c r="EX101" s="113">
        <v>0</v>
      </c>
      <c r="EY101" s="113">
        <v>0</v>
      </c>
      <c r="EZ101" s="113">
        <v>0</v>
      </c>
      <c r="FA101" s="113">
        <v>0</v>
      </c>
      <c r="FB101" s="113">
        <v>0</v>
      </c>
      <c r="FC101" s="113">
        <v>0</v>
      </c>
      <c r="FD101" s="113">
        <v>0</v>
      </c>
      <c r="FE101" s="113">
        <v>0</v>
      </c>
      <c r="FF101" s="113">
        <v>0</v>
      </c>
      <c r="FG101" s="113">
        <v>0</v>
      </c>
      <c r="FH101" s="113">
        <v>0</v>
      </c>
      <c r="FI101" s="113">
        <v>0</v>
      </c>
      <c r="FJ101" s="113">
        <v>0</v>
      </c>
      <c r="FK101" s="113">
        <v>0</v>
      </c>
      <c r="FL101" s="113">
        <v>0</v>
      </c>
      <c r="FM101" s="113">
        <v>0</v>
      </c>
      <c r="FN101" s="113">
        <v>0</v>
      </c>
      <c r="FO101" s="113">
        <v>0</v>
      </c>
      <c r="FP101" s="113">
        <v>0</v>
      </c>
      <c r="FQ101" s="113">
        <v>0</v>
      </c>
      <c r="FR101" s="113">
        <v>0</v>
      </c>
      <c r="FS101" s="113">
        <v>0</v>
      </c>
      <c r="FT101" s="113">
        <v>0</v>
      </c>
      <c r="FU101" s="113">
        <v>0</v>
      </c>
      <c r="FV101" s="113">
        <v>0</v>
      </c>
      <c r="FW101" s="113">
        <v>0</v>
      </c>
      <c r="FX101" s="32">
        <v>0</v>
      </c>
      <c r="FY101" s="30">
        <v>0</v>
      </c>
      <c r="FZ101" s="30">
        <v>0</v>
      </c>
    </row>
    <row r="102" spans="1:182" x14ac:dyDescent="0.2">
      <c r="A102" s="28">
        <v>34669</v>
      </c>
      <c r="B102" s="28"/>
      <c r="C102" s="29">
        <v>420469</v>
      </c>
      <c r="D102" s="29">
        <v>108649</v>
      </c>
      <c r="E102" s="29">
        <f t="shared" si="2"/>
        <v>529118</v>
      </c>
      <c r="F102" s="30">
        <v>13452200</v>
      </c>
      <c r="G102" s="30">
        <v>0</v>
      </c>
      <c r="H102" s="30">
        <f t="shared" si="3"/>
        <v>13452200</v>
      </c>
      <c r="I102" s="42" t="s">
        <v>75</v>
      </c>
      <c r="J102" s="42" t="s">
        <v>75</v>
      </c>
      <c r="K102" s="32">
        <v>7224362</v>
      </c>
      <c r="L102" s="31" t="s">
        <v>75</v>
      </c>
      <c r="M102" s="31" t="s">
        <v>75</v>
      </c>
      <c r="N102" s="30">
        <v>21314062</v>
      </c>
      <c r="O102" s="31" t="s">
        <v>75</v>
      </c>
      <c r="P102" s="31" t="s">
        <v>75</v>
      </c>
      <c r="Q102" s="30">
        <v>21012200</v>
      </c>
      <c r="R102" s="31" t="s">
        <v>75</v>
      </c>
      <c r="S102" s="31" t="s">
        <v>75</v>
      </c>
      <c r="T102" s="32">
        <v>92513</v>
      </c>
      <c r="U102" s="31" t="s">
        <v>75</v>
      </c>
      <c r="V102" s="31" t="s">
        <v>75</v>
      </c>
      <c r="W102" s="31" t="s">
        <v>75</v>
      </c>
      <c r="X102" s="31" t="s">
        <v>75</v>
      </c>
      <c r="Y102" s="31" t="s">
        <v>75</v>
      </c>
      <c r="Z102" s="30">
        <v>191597</v>
      </c>
      <c r="AA102" s="31" t="s">
        <v>75</v>
      </c>
      <c r="AB102" s="31" t="s">
        <v>75</v>
      </c>
      <c r="AC102" s="30">
        <v>368038</v>
      </c>
      <c r="AD102" s="31" t="s">
        <v>75</v>
      </c>
      <c r="AE102" s="31" t="s">
        <v>75</v>
      </c>
      <c r="AF102" s="30">
        <v>67505</v>
      </c>
      <c r="AG102" s="42" t="s">
        <v>75</v>
      </c>
      <c r="AH102" s="42" t="s">
        <v>75</v>
      </c>
      <c r="AI102" s="32">
        <v>105619</v>
      </c>
      <c r="AJ102" s="31" t="s">
        <v>75</v>
      </c>
      <c r="AK102" s="31" t="s">
        <v>75</v>
      </c>
      <c r="AL102" s="31" t="s">
        <v>75</v>
      </c>
      <c r="AM102" s="31"/>
      <c r="AN102" s="31"/>
      <c r="AO102" s="31"/>
      <c r="AP102" s="31"/>
      <c r="AQ102" s="31"/>
      <c r="AR102" s="31"/>
      <c r="AS102" s="31" t="s">
        <v>75</v>
      </c>
      <c r="AT102" s="31" t="s">
        <v>75</v>
      </c>
      <c r="AU102" s="31" t="s">
        <v>75</v>
      </c>
      <c r="AV102" s="31" t="s">
        <v>75</v>
      </c>
      <c r="AW102" s="31" t="s">
        <v>75</v>
      </c>
      <c r="AX102" s="31" t="s">
        <v>75</v>
      </c>
      <c r="AY102" s="31" t="s">
        <v>75</v>
      </c>
      <c r="AZ102" s="31" t="s">
        <v>75</v>
      </c>
      <c r="BA102" s="31" t="s">
        <v>75</v>
      </c>
      <c r="BB102" s="31" t="s">
        <v>75</v>
      </c>
      <c r="BC102" s="31" t="s">
        <v>75</v>
      </c>
      <c r="BD102" s="31" t="s">
        <v>75</v>
      </c>
      <c r="BE102" s="113">
        <v>0</v>
      </c>
      <c r="BF102" s="113">
        <v>0</v>
      </c>
      <c r="BG102" s="113">
        <v>0</v>
      </c>
      <c r="BH102" s="113">
        <v>0</v>
      </c>
      <c r="BI102" s="113">
        <v>0</v>
      </c>
      <c r="BJ102" s="113">
        <v>0</v>
      </c>
      <c r="BK102" s="113">
        <v>0</v>
      </c>
      <c r="BL102" s="113">
        <v>0</v>
      </c>
      <c r="BM102" s="113">
        <v>0</v>
      </c>
      <c r="BN102" s="113">
        <v>0</v>
      </c>
      <c r="BO102" s="113">
        <v>0</v>
      </c>
      <c r="BP102" s="113">
        <v>0</v>
      </c>
      <c r="BQ102" s="113">
        <v>0</v>
      </c>
      <c r="BR102" s="113">
        <v>0</v>
      </c>
      <c r="BS102" s="113">
        <v>0</v>
      </c>
      <c r="BT102" s="113">
        <v>0</v>
      </c>
      <c r="BU102" s="113">
        <v>0</v>
      </c>
      <c r="BV102" s="113">
        <v>0</v>
      </c>
      <c r="BW102" s="113"/>
      <c r="BX102" s="113"/>
      <c r="BY102" s="113"/>
      <c r="BZ102" s="113">
        <v>0</v>
      </c>
      <c r="CA102" s="113">
        <v>0</v>
      </c>
      <c r="CB102" s="113">
        <v>0</v>
      </c>
      <c r="CC102" s="113"/>
      <c r="CD102" s="113"/>
      <c r="CE102" s="113"/>
      <c r="CF102" s="113">
        <v>0</v>
      </c>
      <c r="CG102" s="113">
        <v>0</v>
      </c>
      <c r="CH102" s="113">
        <v>0</v>
      </c>
      <c r="CI102" s="113">
        <v>0</v>
      </c>
      <c r="CJ102" s="113">
        <v>0</v>
      </c>
      <c r="CK102" s="113">
        <v>0</v>
      </c>
      <c r="CL102" s="113">
        <v>0</v>
      </c>
      <c r="CM102" s="113">
        <v>0</v>
      </c>
      <c r="CN102" s="113">
        <v>0</v>
      </c>
      <c r="CO102" s="113">
        <v>0</v>
      </c>
      <c r="CP102" s="113">
        <v>0</v>
      </c>
      <c r="CQ102" s="113">
        <v>0</v>
      </c>
      <c r="CR102" s="113">
        <v>0</v>
      </c>
      <c r="CS102" s="113">
        <v>0</v>
      </c>
      <c r="CT102" s="113">
        <v>0</v>
      </c>
      <c r="CU102" s="113">
        <v>0</v>
      </c>
      <c r="CV102" s="113">
        <v>0</v>
      </c>
      <c r="CW102" s="113">
        <v>0</v>
      </c>
      <c r="CX102" s="113">
        <v>0</v>
      </c>
      <c r="CY102" s="113">
        <v>0</v>
      </c>
      <c r="CZ102" s="113">
        <v>0</v>
      </c>
      <c r="DA102" s="113">
        <v>0</v>
      </c>
      <c r="DB102" s="113">
        <v>0</v>
      </c>
      <c r="DC102" s="113">
        <v>0</v>
      </c>
      <c r="DD102" s="113">
        <v>0</v>
      </c>
      <c r="DE102" s="113">
        <v>0</v>
      </c>
      <c r="DF102" s="113">
        <v>0</v>
      </c>
      <c r="DG102" s="113">
        <v>0</v>
      </c>
      <c r="DH102" s="113">
        <v>0</v>
      </c>
      <c r="DI102" s="113">
        <v>0</v>
      </c>
      <c r="DJ102" s="113">
        <v>0</v>
      </c>
      <c r="DK102" s="113">
        <v>0</v>
      </c>
      <c r="DL102" s="113">
        <v>0</v>
      </c>
      <c r="DM102" s="113">
        <v>0</v>
      </c>
      <c r="DN102" s="113">
        <v>0</v>
      </c>
      <c r="DO102" s="113">
        <v>0</v>
      </c>
      <c r="DP102" s="113">
        <v>0</v>
      </c>
      <c r="DQ102" s="113">
        <v>0</v>
      </c>
      <c r="DR102" s="113">
        <v>0</v>
      </c>
      <c r="DS102" s="113">
        <v>0</v>
      </c>
      <c r="DT102" s="113">
        <v>0</v>
      </c>
      <c r="DU102" s="113">
        <v>0</v>
      </c>
      <c r="DV102" s="113">
        <v>0</v>
      </c>
      <c r="DW102" s="113">
        <v>0</v>
      </c>
      <c r="DX102" s="113">
        <v>0</v>
      </c>
      <c r="DY102" s="113">
        <v>0</v>
      </c>
      <c r="DZ102" s="113">
        <v>0</v>
      </c>
      <c r="EA102" s="113">
        <v>0</v>
      </c>
      <c r="EB102" s="113">
        <v>0</v>
      </c>
      <c r="EC102" s="113">
        <v>0</v>
      </c>
      <c r="ED102" s="113">
        <v>0</v>
      </c>
      <c r="EE102" s="113">
        <v>0</v>
      </c>
      <c r="EF102" s="113">
        <v>0</v>
      </c>
      <c r="EG102" s="113">
        <v>0</v>
      </c>
      <c r="EH102" s="113">
        <v>0</v>
      </c>
      <c r="EI102" s="113">
        <v>0</v>
      </c>
      <c r="EJ102" s="113">
        <v>0</v>
      </c>
      <c r="EK102" s="113">
        <v>0</v>
      </c>
      <c r="EL102" s="113">
        <v>0</v>
      </c>
      <c r="EM102" s="113">
        <v>0</v>
      </c>
      <c r="EN102" s="113">
        <v>0</v>
      </c>
      <c r="EO102" s="113">
        <v>0</v>
      </c>
      <c r="EP102" s="113">
        <v>0</v>
      </c>
      <c r="EQ102" s="113">
        <v>0</v>
      </c>
      <c r="ER102" s="113">
        <v>0</v>
      </c>
      <c r="ES102" s="113">
        <v>0</v>
      </c>
      <c r="ET102" s="113">
        <v>0</v>
      </c>
      <c r="EU102" s="113">
        <v>0</v>
      </c>
      <c r="EV102" s="113">
        <v>0</v>
      </c>
      <c r="EW102" s="113">
        <v>0</v>
      </c>
      <c r="EX102" s="113">
        <v>0</v>
      </c>
      <c r="EY102" s="113">
        <v>0</v>
      </c>
      <c r="EZ102" s="113">
        <v>0</v>
      </c>
      <c r="FA102" s="113">
        <v>0</v>
      </c>
      <c r="FB102" s="113">
        <v>0</v>
      </c>
      <c r="FC102" s="113">
        <v>0</v>
      </c>
      <c r="FD102" s="113">
        <v>0</v>
      </c>
      <c r="FE102" s="113">
        <v>0</v>
      </c>
      <c r="FF102" s="113">
        <v>0</v>
      </c>
      <c r="FG102" s="113">
        <v>0</v>
      </c>
      <c r="FH102" s="113">
        <v>0</v>
      </c>
      <c r="FI102" s="113">
        <v>0</v>
      </c>
      <c r="FJ102" s="113">
        <v>0</v>
      </c>
      <c r="FK102" s="113">
        <v>0</v>
      </c>
      <c r="FL102" s="113">
        <v>0</v>
      </c>
      <c r="FM102" s="113">
        <v>0</v>
      </c>
      <c r="FN102" s="113">
        <v>0</v>
      </c>
      <c r="FO102" s="113">
        <v>0</v>
      </c>
      <c r="FP102" s="113">
        <v>0</v>
      </c>
      <c r="FQ102" s="113">
        <v>0</v>
      </c>
      <c r="FR102" s="113">
        <v>0</v>
      </c>
      <c r="FS102" s="113">
        <v>0</v>
      </c>
      <c r="FT102" s="113">
        <v>0</v>
      </c>
      <c r="FU102" s="113">
        <v>0</v>
      </c>
      <c r="FV102" s="113">
        <v>0</v>
      </c>
      <c r="FW102" s="113">
        <v>0</v>
      </c>
      <c r="FX102" s="32">
        <v>0</v>
      </c>
      <c r="FY102" s="30">
        <v>0</v>
      </c>
      <c r="FZ102" s="30">
        <v>0</v>
      </c>
    </row>
    <row r="103" spans="1:182" x14ac:dyDescent="0.2">
      <c r="A103" s="28">
        <v>34700</v>
      </c>
      <c r="B103" s="28"/>
      <c r="C103" s="29">
        <v>141990</v>
      </c>
      <c r="D103" s="29">
        <v>37490</v>
      </c>
      <c r="E103" s="29">
        <f t="shared" si="2"/>
        <v>179480</v>
      </c>
      <c r="F103" s="30">
        <v>9186961</v>
      </c>
      <c r="G103" s="30">
        <v>0</v>
      </c>
      <c r="H103" s="30">
        <f t="shared" si="3"/>
        <v>9186961</v>
      </c>
      <c r="I103" s="42" t="s">
        <v>75</v>
      </c>
      <c r="J103" s="42" t="s">
        <v>75</v>
      </c>
      <c r="K103" s="32">
        <v>4973816</v>
      </c>
      <c r="L103" s="31" t="s">
        <v>75</v>
      </c>
      <c r="M103" s="31" t="s">
        <v>75</v>
      </c>
      <c r="N103" s="30">
        <v>11385496</v>
      </c>
      <c r="O103" s="31" t="s">
        <v>75</v>
      </c>
      <c r="P103" s="31" t="s">
        <v>75</v>
      </c>
      <c r="Q103" s="30">
        <v>19877179</v>
      </c>
      <c r="R103" s="31" t="s">
        <v>75</v>
      </c>
      <c r="S103" s="31" t="s">
        <v>75</v>
      </c>
      <c r="T103" s="32">
        <v>83424</v>
      </c>
      <c r="U103" s="31" t="s">
        <v>75</v>
      </c>
      <c r="V103" s="31" t="s">
        <v>75</v>
      </c>
      <c r="W103" s="31" t="s">
        <v>75</v>
      </c>
      <c r="X103" s="31" t="s">
        <v>75</v>
      </c>
      <c r="Y103" s="31" t="s">
        <v>75</v>
      </c>
      <c r="Z103" s="30">
        <v>53492</v>
      </c>
      <c r="AA103" s="31" t="s">
        <v>75</v>
      </c>
      <c r="AB103" s="31" t="s">
        <v>75</v>
      </c>
      <c r="AC103" s="30">
        <v>170297</v>
      </c>
      <c r="AD103" s="31" t="s">
        <v>75</v>
      </c>
      <c r="AE103" s="31" t="s">
        <v>75</v>
      </c>
      <c r="AF103" s="30">
        <v>12797</v>
      </c>
      <c r="AG103" s="42" t="s">
        <v>75</v>
      </c>
      <c r="AH103" s="42" t="s">
        <v>75</v>
      </c>
      <c r="AI103" s="32">
        <v>64742</v>
      </c>
      <c r="AJ103" s="31" t="s">
        <v>75</v>
      </c>
      <c r="AK103" s="31" t="s">
        <v>75</v>
      </c>
      <c r="AL103" s="31" t="s">
        <v>75</v>
      </c>
      <c r="AM103" s="31"/>
      <c r="AN103" s="31"/>
      <c r="AO103" s="31"/>
      <c r="AP103" s="31"/>
      <c r="AQ103" s="31"/>
      <c r="AR103" s="31"/>
      <c r="AS103" s="31" t="s">
        <v>75</v>
      </c>
      <c r="AT103" s="31" t="s">
        <v>75</v>
      </c>
      <c r="AU103" s="31" t="s">
        <v>75</v>
      </c>
      <c r="AV103" s="31" t="s">
        <v>75</v>
      </c>
      <c r="AW103" s="31" t="s">
        <v>75</v>
      </c>
      <c r="AX103" s="31" t="s">
        <v>75</v>
      </c>
      <c r="AY103" s="31" t="s">
        <v>75</v>
      </c>
      <c r="AZ103" s="31" t="s">
        <v>75</v>
      </c>
      <c r="BA103" s="31" t="s">
        <v>75</v>
      </c>
      <c r="BB103" s="31" t="s">
        <v>75</v>
      </c>
      <c r="BC103" s="31" t="s">
        <v>75</v>
      </c>
      <c r="BD103" s="31" t="s">
        <v>75</v>
      </c>
      <c r="BE103" s="113">
        <v>0</v>
      </c>
      <c r="BF103" s="113">
        <v>0</v>
      </c>
      <c r="BG103" s="113">
        <v>0</v>
      </c>
      <c r="BH103" s="113">
        <v>0</v>
      </c>
      <c r="BI103" s="113">
        <v>0</v>
      </c>
      <c r="BJ103" s="113">
        <v>0</v>
      </c>
      <c r="BK103" s="113">
        <v>0</v>
      </c>
      <c r="BL103" s="113">
        <v>0</v>
      </c>
      <c r="BM103" s="113">
        <v>0</v>
      </c>
      <c r="BN103" s="113">
        <v>0</v>
      </c>
      <c r="BO103" s="113">
        <v>0</v>
      </c>
      <c r="BP103" s="113">
        <v>0</v>
      </c>
      <c r="BQ103" s="113">
        <v>0</v>
      </c>
      <c r="BR103" s="113">
        <v>0</v>
      </c>
      <c r="BS103" s="113">
        <v>0</v>
      </c>
      <c r="BT103" s="113">
        <v>0</v>
      </c>
      <c r="BU103" s="113">
        <v>0</v>
      </c>
      <c r="BV103" s="113">
        <v>0</v>
      </c>
      <c r="BW103" s="113"/>
      <c r="BX103" s="113"/>
      <c r="BY103" s="113"/>
      <c r="BZ103" s="113">
        <v>0</v>
      </c>
      <c r="CA103" s="113">
        <v>0</v>
      </c>
      <c r="CB103" s="113">
        <v>0</v>
      </c>
      <c r="CC103" s="113"/>
      <c r="CD103" s="113"/>
      <c r="CE103" s="113"/>
      <c r="CF103" s="113">
        <v>0</v>
      </c>
      <c r="CG103" s="113">
        <v>0</v>
      </c>
      <c r="CH103" s="113">
        <v>0</v>
      </c>
      <c r="CI103" s="113">
        <v>0</v>
      </c>
      <c r="CJ103" s="113">
        <v>0</v>
      </c>
      <c r="CK103" s="113">
        <v>0</v>
      </c>
      <c r="CL103" s="113">
        <v>0</v>
      </c>
      <c r="CM103" s="113">
        <v>0</v>
      </c>
      <c r="CN103" s="113">
        <v>0</v>
      </c>
      <c r="CO103" s="113">
        <v>0</v>
      </c>
      <c r="CP103" s="113">
        <v>0</v>
      </c>
      <c r="CQ103" s="113">
        <v>0</v>
      </c>
      <c r="CR103" s="113">
        <v>0</v>
      </c>
      <c r="CS103" s="113">
        <v>0</v>
      </c>
      <c r="CT103" s="113">
        <v>0</v>
      </c>
      <c r="CU103" s="113">
        <v>0</v>
      </c>
      <c r="CV103" s="113">
        <v>0</v>
      </c>
      <c r="CW103" s="113">
        <v>0</v>
      </c>
      <c r="CX103" s="113">
        <v>0</v>
      </c>
      <c r="CY103" s="113">
        <v>0</v>
      </c>
      <c r="CZ103" s="113">
        <v>0</v>
      </c>
      <c r="DA103" s="113">
        <v>0</v>
      </c>
      <c r="DB103" s="113">
        <v>0</v>
      </c>
      <c r="DC103" s="113">
        <v>0</v>
      </c>
      <c r="DD103" s="113">
        <v>0</v>
      </c>
      <c r="DE103" s="113">
        <v>0</v>
      </c>
      <c r="DF103" s="113">
        <v>0</v>
      </c>
      <c r="DG103" s="113">
        <v>0</v>
      </c>
      <c r="DH103" s="113">
        <v>0</v>
      </c>
      <c r="DI103" s="113">
        <v>0</v>
      </c>
      <c r="DJ103" s="113">
        <v>0</v>
      </c>
      <c r="DK103" s="113">
        <v>0</v>
      </c>
      <c r="DL103" s="113">
        <v>0</v>
      </c>
      <c r="DM103" s="113">
        <v>0</v>
      </c>
      <c r="DN103" s="113">
        <v>0</v>
      </c>
      <c r="DO103" s="113">
        <v>0</v>
      </c>
      <c r="DP103" s="113">
        <v>0</v>
      </c>
      <c r="DQ103" s="113">
        <v>0</v>
      </c>
      <c r="DR103" s="113">
        <v>0</v>
      </c>
      <c r="DS103" s="113">
        <v>0</v>
      </c>
      <c r="DT103" s="113">
        <v>0</v>
      </c>
      <c r="DU103" s="113">
        <v>0</v>
      </c>
      <c r="DV103" s="113">
        <v>0</v>
      </c>
      <c r="DW103" s="113">
        <v>0</v>
      </c>
      <c r="DX103" s="113">
        <v>0</v>
      </c>
      <c r="DY103" s="113">
        <v>0</v>
      </c>
      <c r="DZ103" s="113">
        <v>0</v>
      </c>
      <c r="EA103" s="113">
        <v>0</v>
      </c>
      <c r="EB103" s="113">
        <v>0</v>
      </c>
      <c r="EC103" s="113">
        <v>0</v>
      </c>
      <c r="ED103" s="113">
        <v>0</v>
      </c>
      <c r="EE103" s="113">
        <v>0</v>
      </c>
      <c r="EF103" s="113">
        <v>0</v>
      </c>
      <c r="EG103" s="113">
        <v>0</v>
      </c>
      <c r="EH103" s="113">
        <v>0</v>
      </c>
      <c r="EI103" s="113">
        <v>0</v>
      </c>
      <c r="EJ103" s="113">
        <v>0</v>
      </c>
      <c r="EK103" s="113">
        <v>0</v>
      </c>
      <c r="EL103" s="113">
        <v>0</v>
      </c>
      <c r="EM103" s="113">
        <v>0</v>
      </c>
      <c r="EN103" s="113">
        <v>0</v>
      </c>
      <c r="EO103" s="113">
        <v>0</v>
      </c>
      <c r="EP103" s="113">
        <v>0</v>
      </c>
      <c r="EQ103" s="113">
        <v>0</v>
      </c>
      <c r="ER103" s="113">
        <v>0</v>
      </c>
      <c r="ES103" s="113">
        <v>0</v>
      </c>
      <c r="ET103" s="113">
        <v>0</v>
      </c>
      <c r="EU103" s="113">
        <v>0</v>
      </c>
      <c r="EV103" s="113">
        <v>0</v>
      </c>
      <c r="EW103" s="113">
        <v>0</v>
      </c>
      <c r="EX103" s="113">
        <v>0</v>
      </c>
      <c r="EY103" s="113">
        <v>0</v>
      </c>
      <c r="EZ103" s="113">
        <v>0</v>
      </c>
      <c r="FA103" s="113">
        <v>0</v>
      </c>
      <c r="FB103" s="113">
        <v>0</v>
      </c>
      <c r="FC103" s="113">
        <v>0</v>
      </c>
      <c r="FD103" s="113">
        <v>0</v>
      </c>
      <c r="FE103" s="113">
        <v>0</v>
      </c>
      <c r="FF103" s="113">
        <v>0</v>
      </c>
      <c r="FG103" s="113">
        <v>0</v>
      </c>
      <c r="FH103" s="113">
        <v>0</v>
      </c>
      <c r="FI103" s="113">
        <v>0</v>
      </c>
      <c r="FJ103" s="113">
        <v>0</v>
      </c>
      <c r="FK103" s="113">
        <v>0</v>
      </c>
      <c r="FL103" s="113">
        <v>0</v>
      </c>
      <c r="FM103" s="113">
        <v>0</v>
      </c>
      <c r="FN103" s="113">
        <v>0</v>
      </c>
      <c r="FO103" s="113">
        <v>0</v>
      </c>
      <c r="FP103" s="113">
        <v>0</v>
      </c>
      <c r="FQ103" s="113">
        <v>0</v>
      </c>
      <c r="FR103" s="113">
        <v>0</v>
      </c>
      <c r="FS103" s="113">
        <v>0</v>
      </c>
      <c r="FT103" s="113">
        <v>0</v>
      </c>
      <c r="FU103" s="113">
        <v>0</v>
      </c>
      <c r="FV103" s="113">
        <v>0</v>
      </c>
      <c r="FW103" s="113">
        <v>0</v>
      </c>
      <c r="FX103" s="32">
        <v>0</v>
      </c>
      <c r="FY103" s="30">
        <v>0</v>
      </c>
      <c r="FZ103" s="30">
        <v>0</v>
      </c>
    </row>
    <row r="104" spans="1:182" x14ac:dyDescent="0.2">
      <c r="A104" s="28">
        <v>34731</v>
      </c>
      <c r="B104" s="28"/>
      <c r="C104" s="29">
        <v>257802</v>
      </c>
      <c r="D104" s="29">
        <v>48397</v>
      </c>
      <c r="E104" s="29">
        <f t="shared" si="2"/>
        <v>306199</v>
      </c>
      <c r="F104" s="30">
        <v>7796031</v>
      </c>
      <c r="G104" s="30">
        <v>0</v>
      </c>
      <c r="H104" s="30">
        <f t="shared" si="3"/>
        <v>7796031</v>
      </c>
      <c r="I104" s="42" t="s">
        <v>75</v>
      </c>
      <c r="J104" s="42" t="s">
        <v>75</v>
      </c>
      <c r="K104" s="32">
        <v>3898478</v>
      </c>
      <c r="L104" s="31" t="s">
        <v>75</v>
      </c>
      <c r="M104" s="31" t="s">
        <v>75</v>
      </c>
      <c r="N104" s="30">
        <v>11244868</v>
      </c>
      <c r="O104" s="31" t="s">
        <v>75</v>
      </c>
      <c r="P104" s="31" t="s">
        <v>75</v>
      </c>
      <c r="Q104" s="30">
        <v>15384714</v>
      </c>
      <c r="R104" s="31" t="s">
        <v>75</v>
      </c>
      <c r="S104" s="31" t="s">
        <v>75</v>
      </c>
      <c r="T104" s="32">
        <v>307057</v>
      </c>
      <c r="U104" s="31" t="s">
        <v>75</v>
      </c>
      <c r="V104" s="31" t="s">
        <v>75</v>
      </c>
      <c r="W104" s="31" t="s">
        <v>75</v>
      </c>
      <c r="X104" s="31" t="s">
        <v>75</v>
      </c>
      <c r="Y104" s="31" t="s">
        <v>75</v>
      </c>
      <c r="Z104" s="30">
        <v>96126</v>
      </c>
      <c r="AA104" s="31" t="s">
        <v>75</v>
      </c>
      <c r="AB104" s="31" t="s">
        <v>75</v>
      </c>
      <c r="AC104" s="30">
        <v>293889</v>
      </c>
      <c r="AD104" s="31" t="s">
        <v>75</v>
      </c>
      <c r="AE104" s="31" t="s">
        <v>75</v>
      </c>
      <c r="AF104" s="30">
        <v>6532</v>
      </c>
      <c r="AG104" s="42" t="s">
        <v>75</v>
      </c>
      <c r="AH104" s="42" t="s">
        <v>75</v>
      </c>
      <c r="AI104" s="32">
        <v>90220</v>
      </c>
      <c r="AJ104" s="31" t="s">
        <v>75</v>
      </c>
      <c r="AK104" s="31" t="s">
        <v>75</v>
      </c>
      <c r="AL104" s="31" t="s">
        <v>75</v>
      </c>
      <c r="AM104" s="31"/>
      <c r="AN104" s="31"/>
      <c r="AO104" s="31"/>
      <c r="AP104" s="31"/>
      <c r="AQ104" s="31"/>
      <c r="AR104" s="31"/>
      <c r="AS104" s="31" t="s">
        <v>75</v>
      </c>
      <c r="AT104" s="31" t="s">
        <v>75</v>
      </c>
      <c r="AU104" s="31" t="s">
        <v>75</v>
      </c>
      <c r="AV104" s="31" t="s">
        <v>75</v>
      </c>
      <c r="AW104" s="31" t="s">
        <v>75</v>
      </c>
      <c r="AX104" s="31" t="s">
        <v>75</v>
      </c>
      <c r="AY104" s="31" t="s">
        <v>75</v>
      </c>
      <c r="AZ104" s="31" t="s">
        <v>75</v>
      </c>
      <c r="BA104" s="31" t="s">
        <v>75</v>
      </c>
      <c r="BB104" s="31" t="s">
        <v>75</v>
      </c>
      <c r="BC104" s="31" t="s">
        <v>75</v>
      </c>
      <c r="BD104" s="31" t="s">
        <v>75</v>
      </c>
      <c r="BE104" s="113">
        <v>0</v>
      </c>
      <c r="BF104" s="113">
        <v>0</v>
      </c>
      <c r="BG104" s="113">
        <v>0</v>
      </c>
      <c r="BH104" s="113">
        <v>0</v>
      </c>
      <c r="BI104" s="113">
        <v>0</v>
      </c>
      <c r="BJ104" s="113">
        <v>0</v>
      </c>
      <c r="BK104" s="113">
        <v>0</v>
      </c>
      <c r="BL104" s="113">
        <v>0</v>
      </c>
      <c r="BM104" s="113">
        <v>0</v>
      </c>
      <c r="BN104" s="113">
        <v>0</v>
      </c>
      <c r="BO104" s="113">
        <v>0</v>
      </c>
      <c r="BP104" s="113">
        <v>0</v>
      </c>
      <c r="BQ104" s="113">
        <v>0</v>
      </c>
      <c r="BR104" s="113">
        <v>0</v>
      </c>
      <c r="BS104" s="113">
        <v>0</v>
      </c>
      <c r="BT104" s="113">
        <v>0</v>
      </c>
      <c r="BU104" s="113">
        <v>0</v>
      </c>
      <c r="BV104" s="113">
        <v>0</v>
      </c>
      <c r="BW104" s="113"/>
      <c r="BX104" s="113"/>
      <c r="BY104" s="113"/>
      <c r="BZ104" s="113">
        <v>0</v>
      </c>
      <c r="CA104" s="113">
        <v>0</v>
      </c>
      <c r="CB104" s="113">
        <v>0</v>
      </c>
      <c r="CC104" s="113"/>
      <c r="CD104" s="113"/>
      <c r="CE104" s="113"/>
      <c r="CF104" s="113">
        <v>0</v>
      </c>
      <c r="CG104" s="113">
        <v>0</v>
      </c>
      <c r="CH104" s="113">
        <v>0</v>
      </c>
      <c r="CI104" s="113">
        <v>0</v>
      </c>
      <c r="CJ104" s="113">
        <v>0</v>
      </c>
      <c r="CK104" s="113">
        <v>0</v>
      </c>
      <c r="CL104" s="113">
        <v>0</v>
      </c>
      <c r="CM104" s="113">
        <v>0</v>
      </c>
      <c r="CN104" s="113">
        <v>0</v>
      </c>
      <c r="CO104" s="113">
        <v>0</v>
      </c>
      <c r="CP104" s="113">
        <v>0</v>
      </c>
      <c r="CQ104" s="113">
        <v>0</v>
      </c>
      <c r="CR104" s="113">
        <v>0</v>
      </c>
      <c r="CS104" s="113">
        <v>0</v>
      </c>
      <c r="CT104" s="113">
        <v>0</v>
      </c>
      <c r="CU104" s="113">
        <v>0</v>
      </c>
      <c r="CV104" s="113">
        <v>0</v>
      </c>
      <c r="CW104" s="113">
        <v>0</v>
      </c>
      <c r="CX104" s="113">
        <v>0</v>
      </c>
      <c r="CY104" s="113">
        <v>0</v>
      </c>
      <c r="CZ104" s="113">
        <v>0</v>
      </c>
      <c r="DA104" s="113">
        <v>0</v>
      </c>
      <c r="DB104" s="113">
        <v>0</v>
      </c>
      <c r="DC104" s="113">
        <v>0</v>
      </c>
      <c r="DD104" s="113">
        <v>0</v>
      </c>
      <c r="DE104" s="113">
        <v>0</v>
      </c>
      <c r="DF104" s="113">
        <v>0</v>
      </c>
      <c r="DG104" s="113">
        <v>0</v>
      </c>
      <c r="DH104" s="113">
        <v>0</v>
      </c>
      <c r="DI104" s="113">
        <v>0</v>
      </c>
      <c r="DJ104" s="113">
        <v>0</v>
      </c>
      <c r="DK104" s="113">
        <v>0</v>
      </c>
      <c r="DL104" s="113">
        <v>0</v>
      </c>
      <c r="DM104" s="113">
        <v>0</v>
      </c>
      <c r="DN104" s="113">
        <v>0</v>
      </c>
      <c r="DO104" s="113">
        <v>0</v>
      </c>
      <c r="DP104" s="113">
        <v>0</v>
      </c>
      <c r="DQ104" s="113">
        <v>0</v>
      </c>
      <c r="DR104" s="113">
        <v>0</v>
      </c>
      <c r="DS104" s="113">
        <v>0</v>
      </c>
      <c r="DT104" s="113">
        <v>0</v>
      </c>
      <c r="DU104" s="113">
        <v>0</v>
      </c>
      <c r="DV104" s="113">
        <v>0</v>
      </c>
      <c r="DW104" s="113">
        <v>0</v>
      </c>
      <c r="DX104" s="113">
        <v>0</v>
      </c>
      <c r="DY104" s="113">
        <v>0</v>
      </c>
      <c r="DZ104" s="113">
        <v>0</v>
      </c>
      <c r="EA104" s="113">
        <v>0</v>
      </c>
      <c r="EB104" s="113">
        <v>0</v>
      </c>
      <c r="EC104" s="113">
        <v>0</v>
      </c>
      <c r="ED104" s="113">
        <v>0</v>
      </c>
      <c r="EE104" s="113">
        <v>0</v>
      </c>
      <c r="EF104" s="113">
        <v>0</v>
      </c>
      <c r="EG104" s="113">
        <v>0</v>
      </c>
      <c r="EH104" s="113">
        <v>0</v>
      </c>
      <c r="EI104" s="113">
        <v>0</v>
      </c>
      <c r="EJ104" s="113">
        <v>0</v>
      </c>
      <c r="EK104" s="113">
        <v>0</v>
      </c>
      <c r="EL104" s="113">
        <v>0</v>
      </c>
      <c r="EM104" s="113">
        <v>0</v>
      </c>
      <c r="EN104" s="113">
        <v>0</v>
      </c>
      <c r="EO104" s="113">
        <v>0</v>
      </c>
      <c r="EP104" s="113">
        <v>0</v>
      </c>
      <c r="EQ104" s="113">
        <v>0</v>
      </c>
      <c r="ER104" s="113">
        <v>0</v>
      </c>
      <c r="ES104" s="113">
        <v>0</v>
      </c>
      <c r="ET104" s="113">
        <v>0</v>
      </c>
      <c r="EU104" s="113">
        <v>0</v>
      </c>
      <c r="EV104" s="113">
        <v>0</v>
      </c>
      <c r="EW104" s="113">
        <v>0</v>
      </c>
      <c r="EX104" s="113">
        <v>0</v>
      </c>
      <c r="EY104" s="113">
        <v>0</v>
      </c>
      <c r="EZ104" s="113">
        <v>0</v>
      </c>
      <c r="FA104" s="113">
        <v>0</v>
      </c>
      <c r="FB104" s="113">
        <v>0</v>
      </c>
      <c r="FC104" s="113">
        <v>0</v>
      </c>
      <c r="FD104" s="113">
        <v>0</v>
      </c>
      <c r="FE104" s="113">
        <v>0</v>
      </c>
      <c r="FF104" s="113">
        <v>0</v>
      </c>
      <c r="FG104" s="113">
        <v>0</v>
      </c>
      <c r="FH104" s="113">
        <v>0</v>
      </c>
      <c r="FI104" s="113">
        <v>0</v>
      </c>
      <c r="FJ104" s="113">
        <v>0</v>
      </c>
      <c r="FK104" s="113">
        <v>0</v>
      </c>
      <c r="FL104" s="113">
        <v>0</v>
      </c>
      <c r="FM104" s="113">
        <v>0</v>
      </c>
      <c r="FN104" s="113">
        <v>0</v>
      </c>
      <c r="FO104" s="113">
        <v>0</v>
      </c>
      <c r="FP104" s="113">
        <v>0</v>
      </c>
      <c r="FQ104" s="113">
        <v>0</v>
      </c>
      <c r="FR104" s="113">
        <v>0</v>
      </c>
      <c r="FS104" s="113">
        <v>0</v>
      </c>
      <c r="FT104" s="113">
        <v>0</v>
      </c>
      <c r="FU104" s="113">
        <v>0</v>
      </c>
      <c r="FV104" s="113">
        <v>0</v>
      </c>
      <c r="FW104" s="113">
        <v>0</v>
      </c>
      <c r="FX104" s="32">
        <v>0</v>
      </c>
      <c r="FY104" s="30">
        <v>0</v>
      </c>
      <c r="FZ104" s="30">
        <v>0</v>
      </c>
    </row>
    <row r="105" spans="1:182" x14ac:dyDescent="0.2">
      <c r="A105" s="28">
        <v>34759</v>
      </c>
      <c r="B105" s="28"/>
      <c r="C105" s="29">
        <v>214708</v>
      </c>
      <c r="D105" s="29">
        <v>54210</v>
      </c>
      <c r="E105" s="29">
        <f t="shared" si="2"/>
        <v>268918</v>
      </c>
      <c r="F105" s="30">
        <v>7098930</v>
      </c>
      <c r="G105" s="30">
        <v>0</v>
      </c>
      <c r="H105" s="30">
        <f t="shared" si="3"/>
        <v>7098930</v>
      </c>
      <c r="I105" s="42" t="s">
        <v>75</v>
      </c>
      <c r="J105" s="42" t="s">
        <v>75</v>
      </c>
      <c r="K105" s="32">
        <v>3813748</v>
      </c>
      <c r="L105" s="31" t="s">
        <v>75</v>
      </c>
      <c r="M105" s="31" t="s">
        <v>75</v>
      </c>
      <c r="N105" s="30">
        <v>11585955</v>
      </c>
      <c r="O105" s="31" t="s">
        <v>75</v>
      </c>
      <c r="P105" s="31" t="s">
        <v>75</v>
      </c>
      <c r="Q105" s="30">
        <v>16569595</v>
      </c>
      <c r="R105" s="31" t="s">
        <v>75</v>
      </c>
      <c r="S105" s="31" t="s">
        <v>75</v>
      </c>
      <c r="T105" s="32">
        <v>294357</v>
      </c>
      <c r="U105" s="31" t="s">
        <v>75</v>
      </c>
      <c r="V105" s="31" t="s">
        <v>75</v>
      </c>
      <c r="W105" s="31" t="s">
        <v>75</v>
      </c>
      <c r="X105" s="31" t="s">
        <v>75</v>
      </c>
      <c r="Y105" s="31" t="s">
        <v>75</v>
      </c>
      <c r="Z105" s="30">
        <v>70571</v>
      </c>
      <c r="AA105" s="31" t="s">
        <v>75</v>
      </c>
      <c r="AB105" s="31" t="s">
        <v>75</v>
      </c>
      <c r="AC105" s="30">
        <v>282409</v>
      </c>
      <c r="AD105" s="31" t="s">
        <v>75</v>
      </c>
      <c r="AE105" s="31" t="s">
        <v>75</v>
      </c>
      <c r="AF105" s="30">
        <v>9046</v>
      </c>
      <c r="AG105" s="42" t="s">
        <v>75</v>
      </c>
      <c r="AH105" s="42" t="s">
        <v>75</v>
      </c>
      <c r="AI105" s="32">
        <v>92069</v>
      </c>
      <c r="AJ105" s="31" t="s">
        <v>75</v>
      </c>
      <c r="AK105" s="31" t="s">
        <v>75</v>
      </c>
      <c r="AL105" s="31" t="s">
        <v>75</v>
      </c>
      <c r="AM105" s="31"/>
      <c r="AN105" s="31"/>
      <c r="AO105" s="31"/>
      <c r="AP105" s="31"/>
      <c r="AQ105" s="31"/>
      <c r="AR105" s="31"/>
      <c r="AS105" s="31" t="s">
        <v>75</v>
      </c>
      <c r="AT105" s="31" t="s">
        <v>75</v>
      </c>
      <c r="AU105" s="31" t="s">
        <v>75</v>
      </c>
      <c r="AV105" s="31" t="s">
        <v>75</v>
      </c>
      <c r="AW105" s="31" t="s">
        <v>75</v>
      </c>
      <c r="AX105" s="31" t="s">
        <v>75</v>
      </c>
      <c r="AY105" s="31" t="s">
        <v>75</v>
      </c>
      <c r="AZ105" s="31" t="s">
        <v>75</v>
      </c>
      <c r="BA105" s="31" t="s">
        <v>75</v>
      </c>
      <c r="BB105" s="31" t="s">
        <v>75</v>
      </c>
      <c r="BC105" s="31" t="s">
        <v>75</v>
      </c>
      <c r="BD105" s="31" t="s">
        <v>75</v>
      </c>
      <c r="BE105" s="113">
        <v>0</v>
      </c>
      <c r="BF105" s="113">
        <v>0</v>
      </c>
      <c r="BG105" s="113">
        <v>0</v>
      </c>
      <c r="BH105" s="113">
        <v>0</v>
      </c>
      <c r="BI105" s="113">
        <v>0</v>
      </c>
      <c r="BJ105" s="113">
        <v>0</v>
      </c>
      <c r="BK105" s="113">
        <v>0</v>
      </c>
      <c r="BL105" s="113">
        <v>0</v>
      </c>
      <c r="BM105" s="113">
        <v>0</v>
      </c>
      <c r="BN105" s="113">
        <v>0</v>
      </c>
      <c r="BO105" s="113">
        <v>0</v>
      </c>
      <c r="BP105" s="113">
        <v>0</v>
      </c>
      <c r="BQ105" s="113">
        <v>0</v>
      </c>
      <c r="BR105" s="113">
        <v>0</v>
      </c>
      <c r="BS105" s="113">
        <v>0</v>
      </c>
      <c r="BT105" s="113">
        <v>0</v>
      </c>
      <c r="BU105" s="113">
        <v>0</v>
      </c>
      <c r="BV105" s="113">
        <v>0</v>
      </c>
      <c r="BW105" s="113"/>
      <c r="BX105" s="113"/>
      <c r="BY105" s="113"/>
      <c r="BZ105" s="113">
        <v>0</v>
      </c>
      <c r="CA105" s="113">
        <v>0</v>
      </c>
      <c r="CB105" s="113">
        <v>0</v>
      </c>
      <c r="CC105" s="113"/>
      <c r="CD105" s="113"/>
      <c r="CE105" s="113"/>
      <c r="CF105" s="113">
        <v>0</v>
      </c>
      <c r="CG105" s="113">
        <v>0</v>
      </c>
      <c r="CH105" s="113">
        <v>0</v>
      </c>
      <c r="CI105" s="113">
        <v>0</v>
      </c>
      <c r="CJ105" s="113">
        <v>0</v>
      </c>
      <c r="CK105" s="113">
        <v>0</v>
      </c>
      <c r="CL105" s="113">
        <v>0</v>
      </c>
      <c r="CM105" s="113">
        <v>0</v>
      </c>
      <c r="CN105" s="113">
        <v>0</v>
      </c>
      <c r="CO105" s="113">
        <v>0</v>
      </c>
      <c r="CP105" s="113">
        <v>0</v>
      </c>
      <c r="CQ105" s="113">
        <v>0</v>
      </c>
      <c r="CR105" s="113">
        <v>0</v>
      </c>
      <c r="CS105" s="113">
        <v>0</v>
      </c>
      <c r="CT105" s="113">
        <v>0</v>
      </c>
      <c r="CU105" s="113">
        <v>0</v>
      </c>
      <c r="CV105" s="113">
        <v>0</v>
      </c>
      <c r="CW105" s="113">
        <v>0</v>
      </c>
      <c r="CX105" s="113">
        <v>0</v>
      </c>
      <c r="CY105" s="113">
        <v>0</v>
      </c>
      <c r="CZ105" s="113">
        <v>0</v>
      </c>
      <c r="DA105" s="113">
        <v>0</v>
      </c>
      <c r="DB105" s="113">
        <v>0</v>
      </c>
      <c r="DC105" s="113">
        <v>0</v>
      </c>
      <c r="DD105" s="113">
        <v>0</v>
      </c>
      <c r="DE105" s="113">
        <v>0</v>
      </c>
      <c r="DF105" s="113">
        <v>0</v>
      </c>
      <c r="DG105" s="113">
        <v>0</v>
      </c>
      <c r="DH105" s="113">
        <v>0</v>
      </c>
      <c r="DI105" s="113">
        <v>0</v>
      </c>
      <c r="DJ105" s="113">
        <v>0</v>
      </c>
      <c r="DK105" s="113">
        <v>0</v>
      </c>
      <c r="DL105" s="113">
        <v>0</v>
      </c>
      <c r="DM105" s="113">
        <v>0</v>
      </c>
      <c r="DN105" s="113">
        <v>0</v>
      </c>
      <c r="DO105" s="113">
        <v>0</v>
      </c>
      <c r="DP105" s="113">
        <v>0</v>
      </c>
      <c r="DQ105" s="113">
        <v>0</v>
      </c>
      <c r="DR105" s="113">
        <v>0</v>
      </c>
      <c r="DS105" s="113">
        <v>0</v>
      </c>
      <c r="DT105" s="113">
        <v>0</v>
      </c>
      <c r="DU105" s="113">
        <v>0</v>
      </c>
      <c r="DV105" s="113">
        <v>0</v>
      </c>
      <c r="DW105" s="113">
        <v>0</v>
      </c>
      <c r="DX105" s="113">
        <v>0</v>
      </c>
      <c r="DY105" s="113">
        <v>0</v>
      </c>
      <c r="DZ105" s="113">
        <v>0</v>
      </c>
      <c r="EA105" s="113">
        <v>0</v>
      </c>
      <c r="EB105" s="113">
        <v>0</v>
      </c>
      <c r="EC105" s="113">
        <v>0</v>
      </c>
      <c r="ED105" s="113">
        <v>0</v>
      </c>
      <c r="EE105" s="113">
        <v>0</v>
      </c>
      <c r="EF105" s="113">
        <v>0</v>
      </c>
      <c r="EG105" s="113">
        <v>0</v>
      </c>
      <c r="EH105" s="113">
        <v>0</v>
      </c>
      <c r="EI105" s="113">
        <v>0</v>
      </c>
      <c r="EJ105" s="113">
        <v>0</v>
      </c>
      <c r="EK105" s="113">
        <v>0</v>
      </c>
      <c r="EL105" s="113">
        <v>0</v>
      </c>
      <c r="EM105" s="113">
        <v>0</v>
      </c>
      <c r="EN105" s="113">
        <v>0</v>
      </c>
      <c r="EO105" s="113">
        <v>0</v>
      </c>
      <c r="EP105" s="113">
        <v>0</v>
      </c>
      <c r="EQ105" s="113">
        <v>0</v>
      </c>
      <c r="ER105" s="113">
        <v>0</v>
      </c>
      <c r="ES105" s="113">
        <v>0</v>
      </c>
      <c r="ET105" s="113">
        <v>0</v>
      </c>
      <c r="EU105" s="113">
        <v>0</v>
      </c>
      <c r="EV105" s="113">
        <v>0</v>
      </c>
      <c r="EW105" s="113">
        <v>0</v>
      </c>
      <c r="EX105" s="113">
        <v>0</v>
      </c>
      <c r="EY105" s="113">
        <v>0</v>
      </c>
      <c r="EZ105" s="113">
        <v>0</v>
      </c>
      <c r="FA105" s="113">
        <v>0</v>
      </c>
      <c r="FB105" s="113">
        <v>0</v>
      </c>
      <c r="FC105" s="113">
        <v>0</v>
      </c>
      <c r="FD105" s="113">
        <v>0</v>
      </c>
      <c r="FE105" s="113">
        <v>0</v>
      </c>
      <c r="FF105" s="113">
        <v>0</v>
      </c>
      <c r="FG105" s="113">
        <v>0</v>
      </c>
      <c r="FH105" s="113">
        <v>0</v>
      </c>
      <c r="FI105" s="113">
        <v>0</v>
      </c>
      <c r="FJ105" s="113">
        <v>0</v>
      </c>
      <c r="FK105" s="113">
        <v>0</v>
      </c>
      <c r="FL105" s="113">
        <v>0</v>
      </c>
      <c r="FM105" s="113">
        <v>0</v>
      </c>
      <c r="FN105" s="113">
        <v>0</v>
      </c>
      <c r="FO105" s="113">
        <v>0</v>
      </c>
      <c r="FP105" s="113">
        <v>0</v>
      </c>
      <c r="FQ105" s="113">
        <v>0</v>
      </c>
      <c r="FR105" s="113">
        <v>0</v>
      </c>
      <c r="FS105" s="113">
        <v>0</v>
      </c>
      <c r="FT105" s="113">
        <v>0</v>
      </c>
      <c r="FU105" s="113">
        <v>0</v>
      </c>
      <c r="FV105" s="113">
        <v>0</v>
      </c>
      <c r="FW105" s="113">
        <v>0</v>
      </c>
      <c r="FX105" s="32">
        <v>0</v>
      </c>
      <c r="FY105" s="30">
        <v>0</v>
      </c>
      <c r="FZ105" s="30">
        <v>0</v>
      </c>
    </row>
    <row r="106" spans="1:182" x14ac:dyDescent="0.2">
      <c r="A106" s="28">
        <v>34790</v>
      </c>
      <c r="B106" s="28"/>
      <c r="C106" s="29">
        <v>336533</v>
      </c>
      <c r="D106" s="29">
        <v>80101</v>
      </c>
      <c r="E106" s="29">
        <f t="shared" si="2"/>
        <v>416634</v>
      </c>
      <c r="F106" s="30">
        <v>4524938</v>
      </c>
      <c r="G106" s="30">
        <v>0</v>
      </c>
      <c r="H106" s="30">
        <f t="shared" si="3"/>
        <v>4524938</v>
      </c>
      <c r="I106" s="42" t="s">
        <v>75</v>
      </c>
      <c r="J106" s="42" t="s">
        <v>75</v>
      </c>
      <c r="K106" s="32">
        <v>2931961</v>
      </c>
      <c r="L106" s="31" t="s">
        <v>75</v>
      </c>
      <c r="M106" s="31" t="s">
        <v>75</v>
      </c>
      <c r="N106" s="30">
        <v>9527326</v>
      </c>
      <c r="O106" s="31" t="s">
        <v>75</v>
      </c>
      <c r="P106" s="31" t="s">
        <v>75</v>
      </c>
      <c r="Q106" s="30">
        <v>12597946</v>
      </c>
      <c r="R106" s="31" t="s">
        <v>75</v>
      </c>
      <c r="S106" s="31" t="s">
        <v>75</v>
      </c>
      <c r="T106" s="32">
        <v>205222</v>
      </c>
      <c r="U106" s="31" t="s">
        <v>75</v>
      </c>
      <c r="V106" s="31" t="s">
        <v>75</v>
      </c>
      <c r="W106" s="31" t="s">
        <v>75</v>
      </c>
      <c r="X106" s="31" t="s">
        <v>75</v>
      </c>
      <c r="Y106" s="31" t="s">
        <v>75</v>
      </c>
      <c r="Z106" s="30">
        <v>119000</v>
      </c>
      <c r="AA106" s="31" t="s">
        <v>75</v>
      </c>
      <c r="AB106" s="31" t="s">
        <v>75</v>
      </c>
      <c r="AC106" s="30">
        <v>348267</v>
      </c>
      <c r="AD106" s="31" t="s">
        <v>75</v>
      </c>
      <c r="AE106" s="31" t="s">
        <v>75</v>
      </c>
      <c r="AF106" s="30">
        <v>9792</v>
      </c>
      <c r="AG106" s="42" t="s">
        <v>75</v>
      </c>
      <c r="AH106" s="42" t="s">
        <v>75</v>
      </c>
      <c r="AI106" s="32">
        <v>107529</v>
      </c>
      <c r="AJ106" s="31" t="s">
        <v>75</v>
      </c>
      <c r="AK106" s="31" t="s">
        <v>75</v>
      </c>
      <c r="AL106" s="31" t="s">
        <v>75</v>
      </c>
      <c r="AM106" s="31"/>
      <c r="AN106" s="31"/>
      <c r="AO106" s="31"/>
      <c r="AP106" s="31"/>
      <c r="AQ106" s="31"/>
      <c r="AR106" s="31"/>
      <c r="AS106" s="31" t="s">
        <v>75</v>
      </c>
      <c r="AT106" s="31" t="s">
        <v>75</v>
      </c>
      <c r="AU106" s="31" t="s">
        <v>75</v>
      </c>
      <c r="AV106" s="31" t="s">
        <v>75</v>
      </c>
      <c r="AW106" s="31" t="s">
        <v>75</v>
      </c>
      <c r="AX106" s="31" t="s">
        <v>75</v>
      </c>
      <c r="AY106" s="31" t="s">
        <v>75</v>
      </c>
      <c r="AZ106" s="31" t="s">
        <v>75</v>
      </c>
      <c r="BA106" s="31" t="s">
        <v>75</v>
      </c>
      <c r="BB106" s="31" t="s">
        <v>75</v>
      </c>
      <c r="BC106" s="31" t="s">
        <v>75</v>
      </c>
      <c r="BD106" s="31" t="s">
        <v>75</v>
      </c>
      <c r="BE106" s="113">
        <v>0</v>
      </c>
      <c r="BF106" s="113">
        <v>0</v>
      </c>
      <c r="BG106" s="113">
        <v>0</v>
      </c>
      <c r="BH106" s="113">
        <v>0</v>
      </c>
      <c r="BI106" s="113">
        <v>0</v>
      </c>
      <c r="BJ106" s="113">
        <v>0</v>
      </c>
      <c r="BK106" s="113">
        <v>0</v>
      </c>
      <c r="BL106" s="113">
        <v>0</v>
      </c>
      <c r="BM106" s="113">
        <v>0</v>
      </c>
      <c r="BN106" s="113">
        <v>0</v>
      </c>
      <c r="BO106" s="113">
        <v>0</v>
      </c>
      <c r="BP106" s="113">
        <v>0</v>
      </c>
      <c r="BQ106" s="113">
        <v>0</v>
      </c>
      <c r="BR106" s="113">
        <v>0</v>
      </c>
      <c r="BS106" s="113">
        <v>0</v>
      </c>
      <c r="BT106" s="113">
        <v>0</v>
      </c>
      <c r="BU106" s="113">
        <v>0</v>
      </c>
      <c r="BV106" s="113">
        <v>0</v>
      </c>
      <c r="BW106" s="113"/>
      <c r="BX106" s="113"/>
      <c r="BY106" s="113"/>
      <c r="BZ106" s="113">
        <v>0</v>
      </c>
      <c r="CA106" s="113">
        <v>0</v>
      </c>
      <c r="CB106" s="113">
        <v>0</v>
      </c>
      <c r="CC106" s="113"/>
      <c r="CD106" s="113"/>
      <c r="CE106" s="113"/>
      <c r="CF106" s="113">
        <v>0</v>
      </c>
      <c r="CG106" s="113">
        <v>0</v>
      </c>
      <c r="CH106" s="113">
        <v>0</v>
      </c>
      <c r="CI106" s="113">
        <v>0</v>
      </c>
      <c r="CJ106" s="113">
        <v>0</v>
      </c>
      <c r="CK106" s="113">
        <v>0</v>
      </c>
      <c r="CL106" s="113">
        <v>0</v>
      </c>
      <c r="CM106" s="113">
        <v>0</v>
      </c>
      <c r="CN106" s="113">
        <v>0</v>
      </c>
      <c r="CO106" s="113">
        <v>0</v>
      </c>
      <c r="CP106" s="113">
        <v>0</v>
      </c>
      <c r="CQ106" s="113">
        <v>0</v>
      </c>
      <c r="CR106" s="113">
        <v>0</v>
      </c>
      <c r="CS106" s="113">
        <v>0</v>
      </c>
      <c r="CT106" s="113">
        <v>0</v>
      </c>
      <c r="CU106" s="113">
        <v>0</v>
      </c>
      <c r="CV106" s="113">
        <v>0</v>
      </c>
      <c r="CW106" s="113">
        <v>0</v>
      </c>
      <c r="CX106" s="113">
        <v>0</v>
      </c>
      <c r="CY106" s="113">
        <v>0</v>
      </c>
      <c r="CZ106" s="113">
        <v>0</v>
      </c>
      <c r="DA106" s="113">
        <v>0</v>
      </c>
      <c r="DB106" s="113">
        <v>0</v>
      </c>
      <c r="DC106" s="113">
        <v>0</v>
      </c>
      <c r="DD106" s="113">
        <v>0</v>
      </c>
      <c r="DE106" s="113">
        <v>0</v>
      </c>
      <c r="DF106" s="113">
        <v>0</v>
      </c>
      <c r="DG106" s="113">
        <v>0</v>
      </c>
      <c r="DH106" s="113">
        <v>0</v>
      </c>
      <c r="DI106" s="113">
        <v>0</v>
      </c>
      <c r="DJ106" s="113">
        <v>0</v>
      </c>
      <c r="DK106" s="113">
        <v>0</v>
      </c>
      <c r="DL106" s="113">
        <v>0</v>
      </c>
      <c r="DM106" s="113">
        <v>0</v>
      </c>
      <c r="DN106" s="113">
        <v>0</v>
      </c>
      <c r="DO106" s="113">
        <v>0</v>
      </c>
      <c r="DP106" s="113">
        <v>0</v>
      </c>
      <c r="DQ106" s="113">
        <v>0</v>
      </c>
      <c r="DR106" s="113">
        <v>0</v>
      </c>
      <c r="DS106" s="113">
        <v>0</v>
      </c>
      <c r="DT106" s="113">
        <v>0</v>
      </c>
      <c r="DU106" s="113">
        <v>0</v>
      </c>
      <c r="DV106" s="113">
        <v>0</v>
      </c>
      <c r="DW106" s="113">
        <v>0</v>
      </c>
      <c r="DX106" s="113">
        <v>0</v>
      </c>
      <c r="DY106" s="113">
        <v>0</v>
      </c>
      <c r="DZ106" s="113">
        <v>0</v>
      </c>
      <c r="EA106" s="113">
        <v>0</v>
      </c>
      <c r="EB106" s="113">
        <v>0</v>
      </c>
      <c r="EC106" s="113">
        <v>0</v>
      </c>
      <c r="ED106" s="113">
        <v>0</v>
      </c>
      <c r="EE106" s="113">
        <v>0</v>
      </c>
      <c r="EF106" s="113">
        <v>0</v>
      </c>
      <c r="EG106" s="113">
        <v>0</v>
      </c>
      <c r="EH106" s="113">
        <v>0</v>
      </c>
      <c r="EI106" s="113">
        <v>0</v>
      </c>
      <c r="EJ106" s="113">
        <v>0</v>
      </c>
      <c r="EK106" s="113">
        <v>0</v>
      </c>
      <c r="EL106" s="113">
        <v>0</v>
      </c>
      <c r="EM106" s="113">
        <v>0</v>
      </c>
      <c r="EN106" s="113">
        <v>0</v>
      </c>
      <c r="EO106" s="113">
        <v>0</v>
      </c>
      <c r="EP106" s="113">
        <v>0</v>
      </c>
      <c r="EQ106" s="113">
        <v>0</v>
      </c>
      <c r="ER106" s="113">
        <v>0</v>
      </c>
      <c r="ES106" s="113">
        <v>0</v>
      </c>
      <c r="ET106" s="113">
        <v>0</v>
      </c>
      <c r="EU106" s="113">
        <v>0</v>
      </c>
      <c r="EV106" s="113">
        <v>0</v>
      </c>
      <c r="EW106" s="113">
        <v>0</v>
      </c>
      <c r="EX106" s="113">
        <v>0</v>
      </c>
      <c r="EY106" s="113">
        <v>0</v>
      </c>
      <c r="EZ106" s="113">
        <v>0</v>
      </c>
      <c r="FA106" s="113">
        <v>0</v>
      </c>
      <c r="FB106" s="113">
        <v>0</v>
      </c>
      <c r="FC106" s="113">
        <v>0</v>
      </c>
      <c r="FD106" s="113">
        <v>0</v>
      </c>
      <c r="FE106" s="113">
        <v>0</v>
      </c>
      <c r="FF106" s="113">
        <v>0</v>
      </c>
      <c r="FG106" s="113">
        <v>0</v>
      </c>
      <c r="FH106" s="113">
        <v>0</v>
      </c>
      <c r="FI106" s="113">
        <v>0</v>
      </c>
      <c r="FJ106" s="113">
        <v>0</v>
      </c>
      <c r="FK106" s="113">
        <v>0</v>
      </c>
      <c r="FL106" s="113">
        <v>0</v>
      </c>
      <c r="FM106" s="113">
        <v>0</v>
      </c>
      <c r="FN106" s="113">
        <v>0</v>
      </c>
      <c r="FO106" s="113">
        <v>0</v>
      </c>
      <c r="FP106" s="113">
        <v>0</v>
      </c>
      <c r="FQ106" s="113">
        <v>0</v>
      </c>
      <c r="FR106" s="113">
        <v>0</v>
      </c>
      <c r="FS106" s="113">
        <v>0</v>
      </c>
      <c r="FT106" s="113">
        <v>0</v>
      </c>
      <c r="FU106" s="113">
        <v>0</v>
      </c>
      <c r="FV106" s="113">
        <v>0</v>
      </c>
      <c r="FW106" s="113">
        <v>0</v>
      </c>
      <c r="FX106" s="32">
        <v>0</v>
      </c>
      <c r="FY106" s="30">
        <v>0</v>
      </c>
      <c r="FZ106" s="30">
        <v>0</v>
      </c>
    </row>
    <row r="107" spans="1:182" x14ac:dyDescent="0.2">
      <c r="A107" s="28">
        <v>34820</v>
      </c>
      <c r="B107" s="28"/>
      <c r="C107" s="29">
        <v>126558</v>
      </c>
      <c r="D107" s="29">
        <v>32140</v>
      </c>
      <c r="E107" s="29">
        <f t="shared" si="2"/>
        <v>158698</v>
      </c>
      <c r="F107" s="30">
        <v>3393263</v>
      </c>
      <c r="G107" s="30">
        <v>0</v>
      </c>
      <c r="H107" s="30">
        <f t="shared" si="3"/>
        <v>3393263</v>
      </c>
      <c r="I107" s="42" t="s">
        <v>75</v>
      </c>
      <c r="J107" s="42" t="s">
        <v>75</v>
      </c>
      <c r="K107" s="32">
        <v>2712478</v>
      </c>
      <c r="L107" s="31" t="s">
        <v>75</v>
      </c>
      <c r="M107" s="31" t="s">
        <v>75</v>
      </c>
      <c r="N107" s="30">
        <v>9188260</v>
      </c>
      <c r="O107" s="31" t="s">
        <v>75</v>
      </c>
      <c r="P107" s="31" t="s">
        <v>75</v>
      </c>
      <c r="Q107" s="30">
        <v>11412225</v>
      </c>
      <c r="R107" s="31" t="s">
        <v>75</v>
      </c>
      <c r="S107" s="31" t="s">
        <v>75</v>
      </c>
      <c r="T107" s="32">
        <v>333416</v>
      </c>
      <c r="U107" s="31" t="s">
        <v>75</v>
      </c>
      <c r="V107" s="31" t="s">
        <v>75</v>
      </c>
      <c r="W107" s="31" t="s">
        <v>75</v>
      </c>
      <c r="X107" s="31" t="s">
        <v>75</v>
      </c>
      <c r="Y107" s="31" t="s">
        <v>75</v>
      </c>
      <c r="Z107" s="30">
        <v>68671</v>
      </c>
      <c r="AA107" s="31" t="s">
        <v>75</v>
      </c>
      <c r="AB107" s="31" t="s">
        <v>75</v>
      </c>
      <c r="AC107" s="30">
        <v>265941</v>
      </c>
      <c r="AD107" s="31" t="s">
        <v>75</v>
      </c>
      <c r="AE107" s="31" t="s">
        <v>75</v>
      </c>
      <c r="AF107" s="30">
        <v>11063</v>
      </c>
      <c r="AG107" s="42" t="s">
        <v>75</v>
      </c>
      <c r="AH107" s="42" t="s">
        <v>75</v>
      </c>
      <c r="AI107" s="32">
        <v>76063</v>
      </c>
      <c r="AJ107" s="31" t="s">
        <v>75</v>
      </c>
      <c r="AK107" s="31" t="s">
        <v>75</v>
      </c>
      <c r="AL107" s="31" t="s">
        <v>75</v>
      </c>
      <c r="AM107" s="31"/>
      <c r="AN107" s="31"/>
      <c r="AO107" s="31"/>
      <c r="AP107" s="31"/>
      <c r="AQ107" s="31"/>
      <c r="AR107" s="31"/>
      <c r="AS107" s="31" t="s">
        <v>75</v>
      </c>
      <c r="AT107" s="31" t="s">
        <v>75</v>
      </c>
      <c r="AU107" s="31" t="s">
        <v>75</v>
      </c>
      <c r="AV107" s="31" t="s">
        <v>75</v>
      </c>
      <c r="AW107" s="31" t="s">
        <v>75</v>
      </c>
      <c r="AX107" s="31" t="s">
        <v>75</v>
      </c>
      <c r="AY107" s="31" t="s">
        <v>75</v>
      </c>
      <c r="AZ107" s="31" t="s">
        <v>75</v>
      </c>
      <c r="BA107" s="31" t="s">
        <v>75</v>
      </c>
      <c r="BB107" s="31" t="s">
        <v>75</v>
      </c>
      <c r="BC107" s="31" t="s">
        <v>75</v>
      </c>
      <c r="BD107" s="31" t="s">
        <v>75</v>
      </c>
      <c r="BE107" s="113">
        <v>0</v>
      </c>
      <c r="BF107" s="113">
        <v>0</v>
      </c>
      <c r="BG107" s="113">
        <v>0</v>
      </c>
      <c r="BH107" s="113">
        <v>0</v>
      </c>
      <c r="BI107" s="113">
        <v>0</v>
      </c>
      <c r="BJ107" s="113">
        <v>0</v>
      </c>
      <c r="BK107" s="113">
        <v>0</v>
      </c>
      <c r="BL107" s="113">
        <v>0</v>
      </c>
      <c r="BM107" s="113">
        <v>0</v>
      </c>
      <c r="BN107" s="113">
        <v>0</v>
      </c>
      <c r="BO107" s="113">
        <v>0</v>
      </c>
      <c r="BP107" s="113">
        <v>0</v>
      </c>
      <c r="BQ107" s="113">
        <v>0</v>
      </c>
      <c r="BR107" s="113">
        <v>0</v>
      </c>
      <c r="BS107" s="113">
        <v>0</v>
      </c>
      <c r="BT107" s="113">
        <v>0</v>
      </c>
      <c r="BU107" s="113">
        <v>0</v>
      </c>
      <c r="BV107" s="113">
        <v>0</v>
      </c>
      <c r="BW107" s="113"/>
      <c r="BX107" s="113"/>
      <c r="BY107" s="113"/>
      <c r="BZ107" s="113">
        <v>0</v>
      </c>
      <c r="CA107" s="113">
        <v>0</v>
      </c>
      <c r="CB107" s="113">
        <v>0</v>
      </c>
      <c r="CC107" s="113"/>
      <c r="CD107" s="113"/>
      <c r="CE107" s="113"/>
      <c r="CF107" s="113">
        <v>0</v>
      </c>
      <c r="CG107" s="113">
        <v>0</v>
      </c>
      <c r="CH107" s="113">
        <v>0</v>
      </c>
      <c r="CI107" s="113">
        <v>0</v>
      </c>
      <c r="CJ107" s="113">
        <v>0</v>
      </c>
      <c r="CK107" s="113">
        <v>0</v>
      </c>
      <c r="CL107" s="113">
        <v>0</v>
      </c>
      <c r="CM107" s="113">
        <v>0</v>
      </c>
      <c r="CN107" s="113">
        <v>0</v>
      </c>
      <c r="CO107" s="113">
        <v>0</v>
      </c>
      <c r="CP107" s="113">
        <v>0</v>
      </c>
      <c r="CQ107" s="113">
        <v>0</v>
      </c>
      <c r="CR107" s="113">
        <v>0</v>
      </c>
      <c r="CS107" s="113">
        <v>0</v>
      </c>
      <c r="CT107" s="113">
        <v>0</v>
      </c>
      <c r="CU107" s="113">
        <v>0</v>
      </c>
      <c r="CV107" s="113">
        <v>0</v>
      </c>
      <c r="CW107" s="113">
        <v>0</v>
      </c>
      <c r="CX107" s="113">
        <v>0</v>
      </c>
      <c r="CY107" s="113">
        <v>0</v>
      </c>
      <c r="CZ107" s="113">
        <v>0</v>
      </c>
      <c r="DA107" s="113">
        <v>0</v>
      </c>
      <c r="DB107" s="113">
        <v>0</v>
      </c>
      <c r="DC107" s="113">
        <v>0</v>
      </c>
      <c r="DD107" s="113">
        <v>0</v>
      </c>
      <c r="DE107" s="113">
        <v>0</v>
      </c>
      <c r="DF107" s="113">
        <v>0</v>
      </c>
      <c r="DG107" s="113">
        <v>0</v>
      </c>
      <c r="DH107" s="113">
        <v>0</v>
      </c>
      <c r="DI107" s="113">
        <v>0</v>
      </c>
      <c r="DJ107" s="113">
        <v>0</v>
      </c>
      <c r="DK107" s="113">
        <v>0</v>
      </c>
      <c r="DL107" s="113">
        <v>0</v>
      </c>
      <c r="DM107" s="113">
        <v>0</v>
      </c>
      <c r="DN107" s="113">
        <v>0</v>
      </c>
      <c r="DO107" s="113">
        <v>0</v>
      </c>
      <c r="DP107" s="113">
        <v>0</v>
      </c>
      <c r="DQ107" s="113">
        <v>0</v>
      </c>
      <c r="DR107" s="113">
        <v>0</v>
      </c>
      <c r="DS107" s="113">
        <v>0</v>
      </c>
      <c r="DT107" s="113">
        <v>0</v>
      </c>
      <c r="DU107" s="113">
        <v>0</v>
      </c>
      <c r="DV107" s="113">
        <v>0</v>
      </c>
      <c r="DW107" s="113">
        <v>0</v>
      </c>
      <c r="DX107" s="113">
        <v>0</v>
      </c>
      <c r="DY107" s="113">
        <v>0</v>
      </c>
      <c r="DZ107" s="113">
        <v>0</v>
      </c>
      <c r="EA107" s="113">
        <v>0</v>
      </c>
      <c r="EB107" s="113">
        <v>0</v>
      </c>
      <c r="EC107" s="113">
        <v>0</v>
      </c>
      <c r="ED107" s="113">
        <v>0</v>
      </c>
      <c r="EE107" s="113">
        <v>0</v>
      </c>
      <c r="EF107" s="113">
        <v>0</v>
      </c>
      <c r="EG107" s="113">
        <v>0</v>
      </c>
      <c r="EH107" s="113">
        <v>0</v>
      </c>
      <c r="EI107" s="113">
        <v>0</v>
      </c>
      <c r="EJ107" s="113">
        <v>0</v>
      </c>
      <c r="EK107" s="113">
        <v>0</v>
      </c>
      <c r="EL107" s="113">
        <v>0</v>
      </c>
      <c r="EM107" s="113">
        <v>0</v>
      </c>
      <c r="EN107" s="113">
        <v>0</v>
      </c>
      <c r="EO107" s="113">
        <v>0</v>
      </c>
      <c r="EP107" s="113">
        <v>0</v>
      </c>
      <c r="EQ107" s="113">
        <v>0</v>
      </c>
      <c r="ER107" s="113">
        <v>0</v>
      </c>
      <c r="ES107" s="113">
        <v>0</v>
      </c>
      <c r="ET107" s="113">
        <v>0</v>
      </c>
      <c r="EU107" s="113">
        <v>0</v>
      </c>
      <c r="EV107" s="113">
        <v>0</v>
      </c>
      <c r="EW107" s="113">
        <v>0</v>
      </c>
      <c r="EX107" s="113">
        <v>0</v>
      </c>
      <c r="EY107" s="113">
        <v>0</v>
      </c>
      <c r="EZ107" s="113">
        <v>0</v>
      </c>
      <c r="FA107" s="113">
        <v>0</v>
      </c>
      <c r="FB107" s="113">
        <v>0</v>
      </c>
      <c r="FC107" s="113">
        <v>0</v>
      </c>
      <c r="FD107" s="113">
        <v>0</v>
      </c>
      <c r="FE107" s="113">
        <v>0</v>
      </c>
      <c r="FF107" s="113">
        <v>0</v>
      </c>
      <c r="FG107" s="113">
        <v>0</v>
      </c>
      <c r="FH107" s="113">
        <v>0</v>
      </c>
      <c r="FI107" s="113">
        <v>0</v>
      </c>
      <c r="FJ107" s="113">
        <v>0</v>
      </c>
      <c r="FK107" s="113">
        <v>0</v>
      </c>
      <c r="FL107" s="113">
        <v>0</v>
      </c>
      <c r="FM107" s="113">
        <v>0</v>
      </c>
      <c r="FN107" s="113">
        <v>0</v>
      </c>
      <c r="FO107" s="113">
        <v>0</v>
      </c>
      <c r="FP107" s="113">
        <v>0</v>
      </c>
      <c r="FQ107" s="113">
        <v>0</v>
      </c>
      <c r="FR107" s="113">
        <v>0</v>
      </c>
      <c r="FS107" s="113">
        <v>0</v>
      </c>
      <c r="FT107" s="113">
        <v>0</v>
      </c>
      <c r="FU107" s="113">
        <v>0</v>
      </c>
      <c r="FV107" s="113">
        <v>0</v>
      </c>
      <c r="FW107" s="113">
        <v>0</v>
      </c>
      <c r="FX107" s="32">
        <v>0</v>
      </c>
      <c r="FY107" s="30">
        <v>0</v>
      </c>
      <c r="FZ107" s="30">
        <v>0</v>
      </c>
    </row>
    <row r="108" spans="1:182" x14ac:dyDescent="0.2">
      <c r="A108" s="28">
        <v>34851</v>
      </c>
      <c r="B108" s="28"/>
      <c r="C108" s="29">
        <v>385604</v>
      </c>
      <c r="D108" s="29">
        <v>65307</v>
      </c>
      <c r="E108" s="29">
        <f t="shared" si="2"/>
        <v>450911</v>
      </c>
      <c r="F108" s="30">
        <v>2623973</v>
      </c>
      <c r="G108" s="30">
        <v>0</v>
      </c>
      <c r="H108" s="30">
        <f t="shared" si="3"/>
        <v>2623973</v>
      </c>
      <c r="I108" s="42" t="s">
        <v>75</v>
      </c>
      <c r="J108" s="42" t="s">
        <v>75</v>
      </c>
      <c r="K108" s="32">
        <v>2472417</v>
      </c>
      <c r="L108" s="31" t="s">
        <v>75</v>
      </c>
      <c r="M108" s="31" t="s">
        <v>75</v>
      </c>
      <c r="N108" s="30">
        <v>8567506</v>
      </c>
      <c r="O108" s="31" t="s">
        <v>75</v>
      </c>
      <c r="P108" s="31" t="s">
        <v>75</v>
      </c>
      <c r="Q108" s="30">
        <v>10364704</v>
      </c>
      <c r="R108" s="31" t="s">
        <v>75</v>
      </c>
      <c r="S108" s="31" t="s">
        <v>75</v>
      </c>
      <c r="T108" s="32">
        <v>438554</v>
      </c>
      <c r="U108" s="31" t="s">
        <v>75</v>
      </c>
      <c r="V108" s="31" t="s">
        <v>75</v>
      </c>
      <c r="W108" s="31" t="s">
        <v>75</v>
      </c>
      <c r="X108" s="31" t="s">
        <v>75</v>
      </c>
      <c r="Y108" s="31" t="s">
        <v>75</v>
      </c>
      <c r="Z108" s="30">
        <v>129654</v>
      </c>
      <c r="AA108" s="31" t="s">
        <v>75</v>
      </c>
      <c r="AB108" s="31" t="s">
        <v>75</v>
      </c>
      <c r="AC108" s="30">
        <v>389528</v>
      </c>
      <c r="AD108" s="31" t="s">
        <v>75</v>
      </c>
      <c r="AE108" s="31" t="s">
        <v>75</v>
      </c>
      <c r="AF108" s="30">
        <v>11402</v>
      </c>
      <c r="AG108" s="42" t="s">
        <v>75</v>
      </c>
      <c r="AH108" s="42" t="s">
        <v>75</v>
      </c>
      <c r="AI108" s="32">
        <v>113127</v>
      </c>
      <c r="AJ108" s="31" t="s">
        <v>75</v>
      </c>
      <c r="AK108" s="31" t="s">
        <v>75</v>
      </c>
      <c r="AL108" s="31" t="s">
        <v>75</v>
      </c>
      <c r="AM108" s="31"/>
      <c r="AN108" s="31"/>
      <c r="AO108" s="31"/>
      <c r="AP108" s="31"/>
      <c r="AQ108" s="31"/>
      <c r="AR108" s="31"/>
      <c r="AS108" s="31" t="s">
        <v>75</v>
      </c>
      <c r="AT108" s="31" t="s">
        <v>75</v>
      </c>
      <c r="AU108" s="31" t="s">
        <v>75</v>
      </c>
      <c r="AV108" s="31" t="s">
        <v>75</v>
      </c>
      <c r="AW108" s="31" t="s">
        <v>75</v>
      </c>
      <c r="AX108" s="31" t="s">
        <v>75</v>
      </c>
      <c r="AY108" s="31" t="s">
        <v>75</v>
      </c>
      <c r="AZ108" s="31" t="s">
        <v>75</v>
      </c>
      <c r="BA108" s="31" t="s">
        <v>75</v>
      </c>
      <c r="BB108" s="31" t="s">
        <v>75</v>
      </c>
      <c r="BC108" s="31" t="s">
        <v>75</v>
      </c>
      <c r="BD108" s="31" t="s">
        <v>75</v>
      </c>
      <c r="BE108" s="113">
        <v>0</v>
      </c>
      <c r="BF108" s="113">
        <v>0</v>
      </c>
      <c r="BG108" s="113">
        <v>0</v>
      </c>
      <c r="BH108" s="113">
        <v>0</v>
      </c>
      <c r="BI108" s="113">
        <v>0</v>
      </c>
      <c r="BJ108" s="113">
        <v>0</v>
      </c>
      <c r="BK108" s="113">
        <v>0</v>
      </c>
      <c r="BL108" s="113">
        <v>0</v>
      </c>
      <c r="BM108" s="113">
        <v>0</v>
      </c>
      <c r="BN108" s="113">
        <v>0</v>
      </c>
      <c r="BO108" s="113">
        <v>0</v>
      </c>
      <c r="BP108" s="113">
        <v>0</v>
      </c>
      <c r="BQ108" s="113">
        <v>0</v>
      </c>
      <c r="BR108" s="113">
        <v>0</v>
      </c>
      <c r="BS108" s="113">
        <v>0</v>
      </c>
      <c r="BT108" s="113">
        <v>0</v>
      </c>
      <c r="BU108" s="113">
        <v>0</v>
      </c>
      <c r="BV108" s="113">
        <v>0</v>
      </c>
      <c r="BW108" s="113"/>
      <c r="BX108" s="113"/>
      <c r="BY108" s="113"/>
      <c r="BZ108" s="113">
        <v>0</v>
      </c>
      <c r="CA108" s="113">
        <v>0</v>
      </c>
      <c r="CB108" s="113">
        <v>0</v>
      </c>
      <c r="CC108" s="113"/>
      <c r="CD108" s="113"/>
      <c r="CE108" s="113"/>
      <c r="CF108" s="113">
        <v>0</v>
      </c>
      <c r="CG108" s="113">
        <v>0</v>
      </c>
      <c r="CH108" s="113">
        <v>0</v>
      </c>
      <c r="CI108" s="113">
        <v>0</v>
      </c>
      <c r="CJ108" s="113">
        <v>0</v>
      </c>
      <c r="CK108" s="113">
        <v>0</v>
      </c>
      <c r="CL108" s="113">
        <v>0</v>
      </c>
      <c r="CM108" s="113">
        <v>0</v>
      </c>
      <c r="CN108" s="113">
        <v>0</v>
      </c>
      <c r="CO108" s="113">
        <v>0</v>
      </c>
      <c r="CP108" s="113">
        <v>0</v>
      </c>
      <c r="CQ108" s="113">
        <v>0</v>
      </c>
      <c r="CR108" s="113">
        <v>0</v>
      </c>
      <c r="CS108" s="113">
        <v>0</v>
      </c>
      <c r="CT108" s="113">
        <v>0</v>
      </c>
      <c r="CU108" s="113">
        <v>0</v>
      </c>
      <c r="CV108" s="113">
        <v>0</v>
      </c>
      <c r="CW108" s="113">
        <v>0</v>
      </c>
      <c r="CX108" s="113">
        <v>0</v>
      </c>
      <c r="CY108" s="113">
        <v>0</v>
      </c>
      <c r="CZ108" s="113">
        <v>0</v>
      </c>
      <c r="DA108" s="113">
        <v>0</v>
      </c>
      <c r="DB108" s="113">
        <v>0</v>
      </c>
      <c r="DC108" s="113">
        <v>0</v>
      </c>
      <c r="DD108" s="113">
        <v>0</v>
      </c>
      <c r="DE108" s="113">
        <v>0</v>
      </c>
      <c r="DF108" s="113">
        <v>0</v>
      </c>
      <c r="DG108" s="113">
        <v>0</v>
      </c>
      <c r="DH108" s="113">
        <v>0</v>
      </c>
      <c r="DI108" s="113">
        <v>0</v>
      </c>
      <c r="DJ108" s="113">
        <v>0</v>
      </c>
      <c r="DK108" s="113">
        <v>0</v>
      </c>
      <c r="DL108" s="113">
        <v>0</v>
      </c>
      <c r="DM108" s="113">
        <v>0</v>
      </c>
      <c r="DN108" s="113">
        <v>0</v>
      </c>
      <c r="DO108" s="113">
        <v>0</v>
      </c>
      <c r="DP108" s="113">
        <v>0</v>
      </c>
      <c r="DQ108" s="113">
        <v>0</v>
      </c>
      <c r="DR108" s="113">
        <v>0</v>
      </c>
      <c r="DS108" s="113">
        <v>0</v>
      </c>
      <c r="DT108" s="113">
        <v>0</v>
      </c>
      <c r="DU108" s="113">
        <v>0</v>
      </c>
      <c r="DV108" s="113">
        <v>0</v>
      </c>
      <c r="DW108" s="113">
        <v>0</v>
      </c>
      <c r="DX108" s="113">
        <v>0</v>
      </c>
      <c r="DY108" s="113">
        <v>0</v>
      </c>
      <c r="DZ108" s="113">
        <v>0</v>
      </c>
      <c r="EA108" s="113">
        <v>0</v>
      </c>
      <c r="EB108" s="113">
        <v>0</v>
      </c>
      <c r="EC108" s="113">
        <v>0</v>
      </c>
      <c r="ED108" s="113">
        <v>0</v>
      </c>
      <c r="EE108" s="113">
        <v>0</v>
      </c>
      <c r="EF108" s="113">
        <v>0</v>
      </c>
      <c r="EG108" s="113">
        <v>0</v>
      </c>
      <c r="EH108" s="113">
        <v>0</v>
      </c>
      <c r="EI108" s="113">
        <v>0</v>
      </c>
      <c r="EJ108" s="113">
        <v>0</v>
      </c>
      <c r="EK108" s="113">
        <v>0</v>
      </c>
      <c r="EL108" s="113">
        <v>0</v>
      </c>
      <c r="EM108" s="113">
        <v>0</v>
      </c>
      <c r="EN108" s="113">
        <v>0</v>
      </c>
      <c r="EO108" s="113">
        <v>0</v>
      </c>
      <c r="EP108" s="113">
        <v>0</v>
      </c>
      <c r="EQ108" s="113">
        <v>0</v>
      </c>
      <c r="ER108" s="113">
        <v>0</v>
      </c>
      <c r="ES108" s="113">
        <v>0</v>
      </c>
      <c r="ET108" s="113">
        <v>0</v>
      </c>
      <c r="EU108" s="113">
        <v>0</v>
      </c>
      <c r="EV108" s="113">
        <v>0</v>
      </c>
      <c r="EW108" s="113">
        <v>0</v>
      </c>
      <c r="EX108" s="113">
        <v>0</v>
      </c>
      <c r="EY108" s="113">
        <v>0</v>
      </c>
      <c r="EZ108" s="113">
        <v>0</v>
      </c>
      <c r="FA108" s="113">
        <v>0</v>
      </c>
      <c r="FB108" s="113">
        <v>0</v>
      </c>
      <c r="FC108" s="113">
        <v>0</v>
      </c>
      <c r="FD108" s="113">
        <v>0</v>
      </c>
      <c r="FE108" s="113">
        <v>0</v>
      </c>
      <c r="FF108" s="113">
        <v>0</v>
      </c>
      <c r="FG108" s="113">
        <v>0</v>
      </c>
      <c r="FH108" s="113">
        <v>0</v>
      </c>
      <c r="FI108" s="113">
        <v>0</v>
      </c>
      <c r="FJ108" s="113">
        <v>0</v>
      </c>
      <c r="FK108" s="113">
        <v>0</v>
      </c>
      <c r="FL108" s="113">
        <v>0</v>
      </c>
      <c r="FM108" s="113">
        <v>0</v>
      </c>
      <c r="FN108" s="113">
        <v>0</v>
      </c>
      <c r="FO108" s="113">
        <v>0</v>
      </c>
      <c r="FP108" s="113">
        <v>0</v>
      </c>
      <c r="FQ108" s="113">
        <v>0</v>
      </c>
      <c r="FR108" s="113">
        <v>0</v>
      </c>
      <c r="FS108" s="113">
        <v>0</v>
      </c>
      <c r="FT108" s="113">
        <v>0</v>
      </c>
      <c r="FU108" s="113">
        <v>0</v>
      </c>
      <c r="FV108" s="113">
        <v>0</v>
      </c>
      <c r="FW108" s="113">
        <v>0</v>
      </c>
      <c r="FX108" s="32">
        <v>0</v>
      </c>
      <c r="FY108" s="30">
        <v>0</v>
      </c>
      <c r="FZ108" s="30">
        <v>0</v>
      </c>
    </row>
    <row r="109" spans="1:182" x14ac:dyDescent="0.2">
      <c r="A109" s="28">
        <v>34881</v>
      </c>
      <c r="B109" s="28"/>
      <c r="C109" s="29">
        <v>188101</v>
      </c>
      <c r="D109" s="29">
        <v>55850</v>
      </c>
      <c r="E109" s="29">
        <f t="shared" si="2"/>
        <v>243951</v>
      </c>
      <c r="F109" s="30">
        <v>3456824</v>
      </c>
      <c r="G109" s="30">
        <v>0</v>
      </c>
      <c r="H109" s="30">
        <f t="shared" si="3"/>
        <v>3456824</v>
      </c>
      <c r="I109" s="42" t="s">
        <v>75</v>
      </c>
      <c r="J109" s="42" t="s">
        <v>75</v>
      </c>
      <c r="K109" s="32">
        <v>2546888</v>
      </c>
      <c r="L109" s="31" t="s">
        <v>75</v>
      </c>
      <c r="M109" s="31" t="s">
        <v>75</v>
      </c>
      <c r="N109" s="30">
        <v>8889220</v>
      </c>
      <c r="O109" s="31" t="s">
        <v>75</v>
      </c>
      <c r="P109" s="31" t="s">
        <v>75</v>
      </c>
      <c r="Q109" s="30">
        <v>11026036</v>
      </c>
      <c r="R109" s="31" t="s">
        <v>75</v>
      </c>
      <c r="S109" s="31" t="s">
        <v>75</v>
      </c>
      <c r="T109" s="32">
        <v>347346</v>
      </c>
      <c r="U109" s="31" t="s">
        <v>75</v>
      </c>
      <c r="V109" s="31" t="s">
        <v>75</v>
      </c>
      <c r="W109" s="31" t="s">
        <v>75</v>
      </c>
      <c r="X109" s="31" t="s">
        <v>75</v>
      </c>
      <c r="Y109" s="31" t="s">
        <v>75</v>
      </c>
      <c r="Z109" s="30">
        <v>72239</v>
      </c>
      <c r="AA109" s="31" t="s">
        <v>75</v>
      </c>
      <c r="AB109" s="31" t="s">
        <v>75</v>
      </c>
      <c r="AC109" s="30">
        <v>258776</v>
      </c>
      <c r="AD109" s="31" t="s">
        <v>75</v>
      </c>
      <c r="AE109" s="31" t="s">
        <v>75</v>
      </c>
      <c r="AF109" s="30">
        <v>11247</v>
      </c>
      <c r="AG109" s="42" t="s">
        <v>75</v>
      </c>
      <c r="AH109" s="42" t="s">
        <v>75</v>
      </c>
      <c r="AI109" s="32">
        <v>82002</v>
      </c>
      <c r="AJ109" s="31" t="s">
        <v>75</v>
      </c>
      <c r="AK109" s="31" t="s">
        <v>75</v>
      </c>
      <c r="AL109" s="31" t="s">
        <v>75</v>
      </c>
      <c r="AM109" s="31"/>
      <c r="AN109" s="31"/>
      <c r="AO109" s="31"/>
      <c r="AP109" s="31"/>
      <c r="AQ109" s="31"/>
      <c r="AR109" s="31"/>
      <c r="AS109" s="31" t="s">
        <v>75</v>
      </c>
      <c r="AT109" s="31" t="s">
        <v>75</v>
      </c>
      <c r="AU109" s="31" t="s">
        <v>75</v>
      </c>
      <c r="AV109" s="31" t="s">
        <v>75</v>
      </c>
      <c r="AW109" s="31" t="s">
        <v>75</v>
      </c>
      <c r="AX109" s="31" t="s">
        <v>75</v>
      </c>
      <c r="AY109" s="31" t="s">
        <v>75</v>
      </c>
      <c r="AZ109" s="31" t="s">
        <v>75</v>
      </c>
      <c r="BA109" s="31" t="s">
        <v>75</v>
      </c>
      <c r="BB109" s="31" t="s">
        <v>75</v>
      </c>
      <c r="BC109" s="31" t="s">
        <v>75</v>
      </c>
      <c r="BD109" s="31" t="s">
        <v>75</v>
      </c>
      <c r="BE109" s="113">
        <v>0</v>
      </c>
      <c r="BF109" s="113">
        <v>0</v>
      </c>
      <c r="BG109" s="113">
        <v>0</v>
      </c>
      <c r="BH109" s="113">
        <v>0</v>
      </c>
      <c r="BI109" s="113">
        <v>0</v>
      </c>
      <c r="BJ109" s="113">
        <v>0</v>
      </c>
      <c r="BK109" s="113">
        <v>0</v>
      </c>
      <c r="BL109" s="113">
        <v>0</v>
      </c>
      <c r="BM109" s="113">
        <v>0</v>
      </c>
      <c r="BN109" s="113">
        <v>0</v>
      </c>
      <c r="BO109" s="113">
        <v>0</v>
      </c>
      <c r="BP109" s="113">
        <v>0</v>
      </c>
      <c r="BQ109" s="113">
        <v>0</v>
      </c>
      <c r="BR109" s="113">
        <v>0</v>
      </c>
      <c r="BS109" s="113">
        <v>0</v>
      </c>
      <c r="BT109" s="113">
        <v>0</v>
      </c>
      <c r="BU109" s="113">
        <v>0</v>
      </c>
      <c r="BV109" s="113">
        <v>0</v>
      </c>
      <c r="BW109" s="113"/>
      <c r="BX109" s="113"/>
      <c r="BY109" s="113"/>
      <c r="BZ109" s="113">
        <v>0</v>
      </c>
      <c r="CA109" s="113">
        <v>0</v>
      </c>
      <c r="CB109" s="113">
        <v>0</v>
      </c>
      <c r="CC109" s="113"/>
      <c r="CD109" s="113"/>
      <c r="CE109" s="113"/>
      <c r="CF109" s="113">
        <v>0</v>
      </c>
      <c r="CG109" s="113">
        <v>0</v>
      </c>
      <c r="CH109" s="113">
        <v>0</v>
      </c>
      <c r="CI109" s="113">
        <v>0</v>
      </c>
      <c r="CJ109" s="113">
        <v>0</v>
      </c>
      <c r="CK109" s="113">
        <v>0</v>
      </c>
      <c r="CL109" s="113">
        <v>0</v>
      </c>
      <c r="CM109" s="113">
        <v>0</v>
      </c>
      <c r="CN109" s="113">
        <v>0</v>
      </c>
      <c r="CO109" s="113">
        <v>0</v>
      </c>
      <c r="CP109" s="113">
        <v>0</v>
      </c>
      <c r="CQ109" s="113">
        <v>0</v>
      </c>
      <c r="CR109" s="113">
        <v>0</v>
      </c>
      <c r="CS109" s="113">
        <v>0</v>
      </c>
      <c r="CT109" s="113">
        <v>0</v>
      </c>
      <c r="CU109" s="113">
        <v>0</v>
      </c>
      <c r="CV109" s="113">
        <v>0</v>
      </c>
      <c r="CW109" s="113">
        <v>0</v>
      </c>
      <c r="CX109" s="113">
        <v>0</v>
      </c>
      <c r="CY109" s="113">
        <v>0</v>
      </c>
      <c r="CZ109" s="113">
        <v>0</v>
      </c>
      <c r="DA109" s="113">
        <v>0</v>
      </c>
      <c r="DB109" s="113">
        <v>0</v>
      </c>
      <c r="DC109" s="113">
        <v>0</v>
      </c>
      <c r="DD109" s="113">
        <v>0</v>
      </c>
      <c r="DE109" s="113">
        <v>0</v>
      </c>
      <c r="DF109" s="113">
        <v>0</v>
      </c>
      <c r="DG109" s="113">
        <v>0</v>
      </c>
      <c r="DH109" s="113">
        <v>0</v>
      </c>
      <c r="DI109" s="113">
        <v>0</v>
      </c>
      <c r="DJ109" s="113">
        <v>0</v>
      </c>
      <c r="DK109" s="113">
        <v>0</v>
      </c>
      <c r="DL109" s="113">
        <v>0</v>
      </c>
      <c r="DM109" s="113">
        <v>0</v>
      </c>
      <c r="DN109" s="113">
        <v>0</v>
      </c>
      <c r="DO109" s="113">
        <v>0</v>
      </c>
      <c r="DP109" s="113">
        <v>0</v>
      </c>
      <c r="DQ109" s="113">
        <v>0</v>
      </c>
      <c r="DR109" s="113">
        <v>0</v>
      </c>
      <c r="DS109" s="113">
        <v>0</v>
      </c>
      <c r="DT109" s="113">
        <v>0</v>
      </c>
      <c r="DU109" s="113">
        <v>0</v>
      </c>
      <c r="DV109" s="113">
        <v>0</v>
      </c>
      <c r="DW109" s="113">
        <v>0</v>
      </c>
      <c r="DX109" s="113">
        <v>0</v>
      </c>
      <c r="DY109" s="113">
        <v>0</v>
      </c>
      <c r="DZ109" s="113">
        <v>0</v>
      </c>
      <c r="EA109" s="113">
        <v>0</v>
      </c>
      <c r="EB109" s="113">
        <v>0</v>
      </c>
      <c r="EC109" s="113">
        <v>0</v>
      </c>
      <c r="ED109" s="113">
        <v>0</v>
      </c>
      <c r="EE109" s="113">
        <v>0</v>
      </c>
      <c r="EF109" s="113">
        <v>0</v>
      </c>
      <c r="EG109" s="113">
        <v>0</v>
      </c>
      <c r="EH109" s="113">
        <v>0</v>
      </c>
      <c r="EI109" s="113">
        <v>0</v>
      </c>
      <c r="EJ109" s="113">
        <v>0</v>
      </c>
      <c r="EK109" s="113">
        <v>0</v>
      </c>
      <c r="EL109" s="113">
        <v>0</v>
      </c>
      <c r="EM109" s="113">
        <v>0</v>
      </c>
      <c r="EN109" s="113">
        <v>0</v>
      </c>
      <c r="EO109" s="113">
        <v>0</v>
      </c>
      <c r="EP109" s="113">
        <v>0</v>
      </c>
      <c r="EQ109" s="113">
        <v>0</v>
      </c>
      <c r="ER109" s="113">
        <v>0</v>
      </c>
      <c r="ES109" s="113">
        <v>0</v>
      </c>
      <c r="ET109" s="113">
        <v>0</v>
      </c>
      <c r="EU109" s="113">
        <v>0</v>
      </c>
      <c r="EV109" s="113">
        <v>0</v>
      </c>
      <c r="EW109" s="113">
        <v>0</v>
      </c>
      <c r="EX109" s="113">
        <v>0</v>
      </c>
      <c r="EY109" s="113">
        <v>0</v>
      </c>
      <c r="EZ109" s="113">
        <v>0</v>
      </c>
      <c r="FA109" s="113">
        <v>0</v>
      </c>
      <c r="FB109" s="113">
        <v>0</v>
      </c>
      <c r="FC109" s="113">
        <v>0</v>
      </c>
      <c r="FD109" s="113">
        <v>0</v>
      </c>
      <c r="FE109" s="113">
        <v>0</v>
      </c>
      <c r="FF109" s="113">
        <v>0</v>
      </c>
      <c r="FG109" s="113">
        <v>0</v>
      </c>
      <c r="FH109" s="113">
        <v>0</v>
      </c>
      <c r="FI109" s="113">
        <v>0</v>
      </c>
      <c r="FJ109" s="113">
        <v>0</v>
      </c>
      <c r="FK109" s="113">
        <v>0</v>
      </c>
      <c r="FL109" s="113">
        <v>0</v>
      </c>
      <c r="FM109" s="113">
        <v>0</v>
      </c>
      <c r="FN109" s="113">
        <v>0</v>
      </c>
      <c r="FO109" s="113">
        <v>0</v>
      </c>
      <c r="FP109" s="113">
        <v>0</v>
      </c>
      <c r="FQ109" s="113">
        <v>0</v>
      </c>
      <c r="FR109" s="113">
        <v>0</v>
      </c>
      <c r="FS109" s="113">
        <v>0</v>
      </c>
      <c r="FT109" s="113">
        <v>0</v>
      </c>
      <c r="FU109" s="113">
        <v>0</v>
      </c>
      <c r="FV109" s="113">
        <v>0</v>
      </c>
      <c r="FW109" s="113">
        <v>0</v>
      </c>
      <c r="FX109" s="32">
        <v>0</v>
      </c>
      <c r="FY109" s="30">
        <v>0</v>
      </c>
      <c r="FZ109" s="30">
        <v>0</v>
      </c>
    </row>
    <row r="110" spans="1:182" x14ac:dyDescent="0.2">
      <c r="A110" s="28">
        <v>34912</v>
      </c>
      <c r="B110" s="28"/>
      <c r="C110" s="29">
        <v>327514</v>
      </c>
      <c r="D110" s="29">
        <v>76954</v>
      </c>
      <c r="E110" s="29">
        <f t="shared" si="2"/>
        <v>404468</v>
      </c>
      <c r="F110" s="30">
        <v>4282661</v>
      </c>
      <c r="G110" s="30">
        <v>0</v>
      </c>
      <c r="H110" s="30">
        <f t="shared" si="3"/>
        <v>4282661</v>
      </c>
      <c r="I110" s="42" t="s">
        <v>75</v>
      </c>
      <c r="J110" s="42" t="s">
        <v>75</v>
      </c>
      <c r="K110" s="32">
        <v>2913657</v>
      </c>
      <c r="L110" s="31" t="s">
        <v>75</v>
      </c>
      <c r="M110" s="31" t="s">
        <v>75</v>
      </c>
      <c r="N110" s="30">
        <v>9488646</v>
      </c>
      <c r="O110" s="31" t="s">
        <v>75</v>
      </c>
      <c r="P110" s="31" t="s">
        <v>75</v>
      </c>
      <c r="Q110" s="30">
        <v>11755894</v>
      </c>
      <c r="R110" s="31" t="s">
        <v>75</v>
      </c>
      <c r="S110" s="31" t="s">
        <v>75</v>
      </c>
      <c r="T110" s="32">
        <v>291056</v>
      </c>
      <c r="U110" s="31" t="s">
        <v>75</v>
      </c>
      <c r="V110" s="31" t="s">
        <v>75</v>
      </c>
      <c r="W110" s="31" t="s">
        <v>75</v>
      </c>
      <c r="X110" s="31" t="s">
        <v>75</v>
      </c>
      <c r="Y110" s="31" t="s">
        <v>75</v>
      </c>
      <c r="Z110" s="30">
        <v>134068</v>
      </c>
      <c r="AA110" s="31" t="s">
        <v>75</v>
      </c>
      <c r="AB110" s="31" t="s">
        <v>75</v>
      </c>
      <c r="AC110" s="30">
        <v>339355</v>
      </c>
      <c r="AD110" s="31" t="s">
        <v>75</v>
      </c>
      <c r="AE110" s="31" t="s">
        <v>75</v>
      </c>
      <c r="AF110" s="30">
        <v>17488</v>
      </c>
      <c r="AG110" s="42" t="s">
        <v>75</v>
      </c>
      <c r="AH110" s="42" t="s">
        <v>75</v>
      </c>
      <c r="AI110" s="32">
        <v>83793</v>
      </c>
      <c r="AJ110" s="31" t="s">
        <v>75</v>
      </c>
      <c r="AK110" s="31" t="s">
        <v>75</v>
      </c>
      <c r="AL110" s="31" t="s">
        <v>75</v>
      </c>
      <c r="AM110" s="31"/>
      <c r="AN110" s="31"/>
      <c r="AO110" s="31"/>
      <c r="AP110" s="31"/>
      <c r="AQ110" s="31"/>
      <c r="AR110" s="31"/>
      <c r="AS110" s="31" t="s">
        <v>75</v>
      </c>
      <c r="AT110" s="31" t="s">
        <v>75</v>
      </c>
      <c r="AU110" s="31" t="s">
        <v>75</v>
      </c>
      <c r="AV110" s="31" t="s">
        <v>75</v>
      </c>
      <c r="AW110" s="31" t="s">
        <v>75</v>
      </c>
      <c r="AX110" s="31" t="s">
        <v>75</v>
      </c>
      <c r="AY110" s="31" t="s">
        <v>75</v>
      </c>
      <c r="AZ110" s="31" t="s">
        <v>75</v>
      </c>
      <c r="BA110" s="31" t="s">
        <v>75</v>
      </c>
      <c r="BB110" s="31" t="s">
        <v>75</v>
      </c>
      <c r="BC110" s="31" t="s">
        <v>75</v>
      </c>
      <c r="BD110" s="31" t="s">
        <v>75</v>
      </c>
      <c r="BE110" s="113">
        <v>0</v>
      </c>
      <c r="BF110" s="113">
        <v>0</v>
      </c>
      <c r="BG110" s="113">
        <v>0</v>
      </c>
      <c r="BH110" s="113">
        <v>0</v>
      </c>
      <c r="BI110" s="113">
        <v>0</v>
      </c>
      <c r="BJ110" s="113">
        <v>0</v>
      </c>
      <c r="BK110" s="113">
        <v>0</v>
      </c>
      <c r="BL110" s="113">
        <v>0</v>
      </c>
      <c r="BM110" s="113">
        <v>0</v>
      </c>
      <c r="BN110" s="113">
        <v>0</v>
      </c>
      <c r="BO110" s="113">
        <v>0</v>
      </c>
      <c r="BP110" s="113">
        <v>0</v>
      </c>
      <c r="BQ110" s="113">
        <v>0</v>
      </c>
      <c r="BR110" s="113">
        <v>0</v>
      </c>
      <c r="BS110" s="113">
        <v>0</v>
      </c>
      <c r="BT110" s="113">
        <v>0</v>
      </c>
      <c r="BU110" s="113">
        <v>0</v>
      </c>
      <c r="BV110" s="113">
        <v>0</v>
      </c>
      <c r="BW110" s="113"/>
      <c r="BX110" s="113"/>
      <c r="BY110" s="113"/>
      <c r="BZ110" s="113">
        <v>0</v>
      </c>
      <c r="CA110" s="113">
        <v>0</v>
      </c>
      <c r="CB110" s="113">
        <v>0</v>
      </c>
      <c r="CC110" s="113"/>
      <c r="CD110" s="113"/>
      <c r="CE110" s="113"/>
      <c r="CF110" s="113">
        <v>0</v>
      </c>
      <c r="CG110" s="113">
        <v>0</v>
      </c>
      <c r="CH110" s="113">
        <v>0</v>
      </c>
      <c r="CI110" s="113">
        <v>0</v>
      </c>
      <c r="CJ110" s="113">
        <v>0</v>
      </c>
      <c r="CK110" s="113">
        <v>0</v>
      </c>
      <c r="CL110" s="113">
        <v>0</v>
      </c>
      <c r="CM110" s="113">
        <v>0</v>
      </c>
      <c r="CN110" s="113">
        <v>0</v>
      </c>
      <c r="CO110" s="113">
        <v>0</v>
      </c>
      <c r="CP110" s="113">
        <v>0</v>
      </c>
      <c r="CQ110" s="113">
        <v>0</v>
      </c>
      <c r="CR110" s="113">
        <v>0</v>
      </c>
      <c r="CS110" s="113">
        <v>0</v>
      </c>
      <c r="CT110" s="113">
        <v>0</v>
      </c>
      <c r="CU110" s="113">
        <v>0</v>
      </c>
      <c r="CV110" s="113">
        <v>0</v>
      </c>
      <c r="CW110" s="113">
        <v>0</v>
      </c>
      <c r="CX110" s="113">
        <v>0</v>
      </c>
      <c r="CY110" s="113">
        <v>0</v>
      </c>
      <c r="CZ110" s="113">
        <v>0</v>
      </c>
      <c r="DA110" s="113">
        <v>0</v>
      </c>
      <c r="DB110" s="113">
        <v>0</v>
      </c>
      <c r="DC110" s="113">
        <v>0</v>
      </c>
      <c r="DD110" s="113">
        <v>0</v>
      </c>
      <c r="DE110" s="113">
        <v>0</v>
      </c>
      <c r="DF110" s="113">
        <v>0</v>
      </c>
      <c r="DG110" s="113">
        <v>0</v>
      </c>
      <c r="DH110" s="113">
        <v>0</v>
      </c>
      <c r="DI110" s="113">
        <v>0</v>
      </c>
      <c r="DJ110" s="113">
        <v>0</v>
      </c>
      <c r="DK110" s="113">
        <v>0</v>
      </c>
      <c r="DL110" s="113">
        <v>0</v>
      </c>
      <c r="DM110" s="113">
        <v>0</v>
      </c>
      <c r="DN110" s="113">
        <v>0</v>
      </c>
      <c r="DO110" s="113">
        <v>0</v>
      </c>
      <c r="DP110" s="113">
        <v>0</v>
      </c>
      <c r="DQ110" s="113">
        <v>0</v>
      </c>
      <c r="DR110" s="113">
        <v>0</v>
      </c>
      <c r="DS110" s="113">
        <v>0</v>
      </c>
      <c r="DT110" s="113">
        <v>0</v>
      </c>
      <c r="DU110" s="113">
        <v>0</v>
      </c>
      <c r="DV110" s="113">
        <v>0</v>
      </c>
      <c r="DW110" s="113">
        <v>0</v>
      </c>
      <c r="DX110" s="113">
        <v>0</v>
      </c>
      <c r="DY110" s="113">
        <v>0</v>
      </c>
      <c r="DZ110" s="113">
        <v>0</v>
      </c>
      <c r="EA110" s="113">
        <v>0</v>
      </c>
      <c r="EB110" s="113">
        <v>0</v>
      </c>
      <c r="EC110" s="113">
        <v>0</v>
      </c>
      <c r="ED110" s="113">
        <v>0</v>
      </c>
      <c r="EE110" s="113">
        <v>0</v>
      </c>
      <c r="EF110" s="113">
        <v>0</v>
      </c>
      <c r="EG110" s="113">
        <v>0</v>
      </c>
      <c r="EH110" s="113">
        <v>0</v>
      </c>
      <c r="EI110" s="113">
        <v>0</v>
      </c>
      <c r="EJ110" s="113">
        <v>0</v>
      </c>
      <c r="EK110" s="113">
        <v>0</v>
      </c>
      <c r="EL110" s="113">
        <v>0</v>
      </c>
      <c r="EM110" s="113">
        <v>0</v>
      </c>
      <c r="EN110" s="113">
        <v>0</v>
      </c>
      <c r="EO110" s="113">
        <v>0</v>
      </c>
      <c r="EP110" s="113">
        <v>0</v>
      </c>
      <c r="EQ110" s="113">
        <v>0</v>
      </c>
      <c r="ER110" s="113">
        <v>0</v>
      </c>
      <c r="ES110" s="113">
        <v>0</v>
      </c>
      <c r="ET110" s="113">
        <v>0</v>
      </c>
      <c r="EU110" s="113">
        <v>0</v>
      </c>
      <c r="EV110" s="113">
        <v>0</v>
      </c>
      <c r="EW110" s="113">
        <v>0</v>
      </c>
      <c r="EX110" s="113">
        <v>0</v>
      </c>
      <c r="EY110" s="113">
        <v>0</v>
      </c>
      <c r="EZ110" s="113">
        <v>0</v>
      </c>
      <c r="FA110" s="113">
        <v>0</v>
      </c>
      <c r="FB110" s="113">
        <v>0</v>
      </c>
      <c r="FC110" s="113">
        <v>0</v>
      </c>
      <c r="FD110" s="113">
        <v>0</v>
      </c>
      <c r="FE110" s="113">
        <v>0</v>
      </c>
      <c r="FF110" s="113">
        <v>0</v>
      </c>
      <c r="FG110" s="113">
        <v>0</v>
      </c>
      <c r="FH110" s="113">
        <v>0</v>
      </c>
      <c r="FI110" s="113">
        <v>0</v>
      </c>
      <c r="FJ110" s="113">
        <v>0</v>
      </c>
      <c r="FK110" s="113">
        <v>0</v>
      </c>
      <c r="FL110" s="113">
        <v>0</v>
      </c>
      <c r="FM110" s="113">
        <v>0</v>
      </c>
      <c r="FN110" s="113">
        <v>0</v>
      </c>
      <c r="FO110" s="113">
        <v>0</v>
      </c>
      <c r="FP110" s="113">
        <v>0</v>
      </c>
      <c r="FQ110" s="113">
        <v>0</v>
      </c>
      <c r="FR110" s="113">
        <v>0</v>
      </c>
      <c r="FS110" s="113">
        <v>0</v>
      </c>
      <c r="FT110" s="113">
        <v>0</v>
      </c>
      <c r="FU110" s="113">
        <v>0</v>
      </c>
      <c r="FV110" s="113">
        <v>0</v>
      </c>
      <c r="FW110" s="113">
        <v>0</v>
      </c>
      <c r="FX110" s="32">
        <v>0</v>
      </c>
      <c r="FY110" s="30">
        <v>0</v>
      </c>
      <c r="FZ110" s="30">
        <v>0</v>
      </c>
    </row>
    <row r="111" spans="1:182" x14ac:dyDescent="0.2">
      <c r="A111" s="28">
        <v>34943</v>
      </c>
      <c r="B111" s="28"/>
      <c r="C111" s="29">
        <v>137224</v>
      </c>
      <c r="D111" s="29">
        <v>46861</v>
      </c>
      <c r="E111" s="29">
        <f t="shared" si="2"/>
        <v>184085</v>
      </c>
      <c r="F111" s="30">
        <v>6164259</v>
      </c>
      <c r="G111" s="30">
        <v>0</v>
      </c>
      <c r="H111" s="30">
        <f t="shared" si="3"/>
        <v>6164259</v>
      </c>
      <c r="I111" s="42" t="s">
        <v>75</v>
      </c>
      <c r="J111" s="42" t="s">
        <v>75</v>
      </c>
      <c r="K111" s="32">
        <v>3138123</v>
      </c>
      <c r="L111" s="31" t="s">
        <v>75</v>
      </c>
      <c r="M111" s="31" t="s">
        <v>75</v>
      </c>
      <c r="N111" s="30">
        <v>9618282</v>
      </c>
      <c r="O111" s="31" t="s">
        <v>75</v>
      </c>
      <c r="P111" s="31" t="s">
        <v>75</v>
      </c>
      <c r="Q111" s="30">
        <v>12636425</v>
      </c>
      <c r="R111" s="31" t="s">
        <v>75</v>
      </c>
      <c r="S111" s="31" t="s">
        <v>75</v>
      </c>
      <c r="T111" s="32">
        <v>199738</v>
      </c>
      <c r="U111" s="31" t="s">
        <v>75</v>
      </c>
      <c r="V111" s="31" t="s">
        <v>75</v>
      </c>
      <c r="W111" s="31" t="s">
        <v>75</v>
      </c>
      <c r="X111" s="31" t="s">
        <v>75</v>
      </c>
      <c r="Y111" s="31" t="s">
        <v>75</v>
      </c>
      <c r="Z111" s="30">
        <v>98497</v>
      </c>
      <c r="AA111" s="31" t="s">
        <v>75</v>
      </c>
      <c r="AB111" s="31" t="s">
        <v>75</v>
      </c>
      <c r="AC111" s="30">
        <v>195688</v>
      </c>
      <c r="AD111" s="31" t="s">
        <v>75</v>
      </c>
      <c r="AE111" s="31" t="s">
        <v>75</v>
      </c>
      <c r="AF111" s="30">
        <v>18923</v>
      </c>
      <c r="AG111" s="42" t="s">
        <v>75</v>
      </c>
      <c r="AH111" s="42" t="s">
        <v>75</v>
      </c>
      <c r="AI111" s="32">
        <v>51234</v>
      </c>
      <c r="AJ111" s="31" t="s">
        <v>75</v>
      </c>
      <c r="AK111" s="31" t="s">
        <v>75</v>
      </c>
      <c r="AL111" s="31" t="s">
        <v>75</v>
      </c>
      <c r="AM111" s="31"/>
      <c r="AN111" s="31"/>
      <c r="AO111" s="31"/>
      <c r="AP111" s="31"/>
      <c r="AQ111" s="31"/>
      <c r="AR111" s="31"/>
      <c r="AS111" s="31" t="s">
        <v>75</v>
      </c>
      <c r="AT111" s="31" t="s">
        <v>75</v>
      </c>
      <c r="AU111" s="31" t="s">
        <v>75</v>
      </c>
      <c r="AV111" s="31" t="s">
        <v>75</v>
      </c>
      <c r="AW111" s="31" t="s">
        <v>75</v>
      </c>
      <c r="AX111" s="31" t="s">
        <v>75</v>
      </c>
      <c r="AY111" s="31" t="s">
        <v>75</v>
      </c>
      <c r="AZ111" s="31" t="s">
        <v>75</v>
      </c>
      <c r="BA111" s="31" t="s">
        <v>75</v>
      </c>
      <c r="BB111" s="31" t="s">
        <v>75</v>
      </c>
      <c r="BC111" s="31" t="s">
        <v>75</v>
      </c>
      <c r="BD111" s="31" t="s">
        <v>75</v>
      </c>
      <c r="BE111" s="113">
        <v>0</v>
      </c>
      <c r="BF111" s="113">
        <v>0</v>
      </c>
      <c r="BG111" s="113">
        <v>0</v>
      </c>
      <c r="BH111" s="113">
        <v>0</v>
      </c>
      <c r="BI111" s="113">
        <v>0</v>
      </c>
      <c r="BJ111" s="113">
        <v>0</v>
      </c>
      <c r="BK111" s="113">
        <v>0</v>
      </c>
      <c r="BL111" s="113">
        <v>0</v>
      </c>
      <c r="BM111" s="113">
        <v>0</v>
      </c>
      <c r="BN111" s="113">
        <v>0</v>
      </c>
      <c r="BO111" s="113">
        <v>0</v>
      </c>
      <c r="BP111" s="113">
        <v>0</v>
      </c>
      <c r="BQ111" s="113">
        <v>0</v>
      </c>
      <c r="BR111" s="113">
        <v>0</v>
      </c>
      <c r="BS111" s="113">
        <v>0</v>
      </c>
      <c r="BT111" s="113">
        <v>0</v>
      </c>
      <c r="BU111" s="113">
        <v>0</v>
      </c>
      <c r="BV111" s="113">
        <v>0</v>
      </c>
      <c r="BW111" s="113"/>
      <c r="BX111" s="113"/>
      <c r="BY111" s="113"/>
      <c r="BZ111" s="113">
        <v>0</v>
      </c>
      <c r="CA111" s="113">
        <v>0</v>
      </c>
      <c r="CB111" s="113">
        <v>0</v>
      </c>
      <c r="CC111" s="113"/>
      <c r="CD111" s="113"/>
      <c r="CE111" s="113"/>
      <c r="CF111" s="113">
        <v>0</v>
      </c>
      <c r="CG111" s="113">
        <v>0</v>
      </c>
      <c r="CH111" s="113">
        <v>0</v>
      </c>
      <c r="CI111" s="113">
        <v>0</v>
      </c>
      <c r="CJ111" s="113">
        <v>0</v>
      </c>
      <c r="CK111" s="113">
        <v>0</v>
      </c>
      <c r="CL111" s="113">
        <v>0</v>
      </c>
      <c r="CM111" s="113">
        <v>0</v>
      </c>
      <c r="CN111" s="113">
        <v>0</v>
      </c>
      <c r="CO111" s="113">
        <v>0</v>
      </c>
      <c r="CP111" s="113">
        <v>0</v>
      </c>
      <c r="CQ111" s="113">
        <v>0</v>
      </c>
      <c r="CR111" s="113">
        <v>0</v>
      </c>
      <c r="CS111" s="113">
        <v>0</v>
      </c>
      <c r="CT111" s="113">
        <v>0</v>
      </c>
      <c r="CU111" s="113">
        <v>0</v>
      </c>
      <c r="CV111" s="113">
        <v>0</v>
      </c>
      <c r="CW111" s="113">
        <v>0</v>
      </c>
      <c r="CX111" s="113">
        <v>0</v>
      </c>
      <c r="CY111" s="113">
        <v>0</v>
      </c>
      <c r="CZ111" s="113">
        <v>0</v>
      </c>
      <c r="DA111" s="113">
        <v>0</v>
      </c>
      <c r="DB111" s="113">
        <v>0</v>
      </c>
      <c r="DC111" s="113">
        <v>0</v>
      </c>
      <c r="DD111" s="113">
        <v>0</v>
      </c>
      <c r="DE111" s="113">
        <v>0</v>
      </c>
      <c r="DF111" s="113">
        <v>0</v>
      </c>
      <c r="DG111" s="113">
        <v>0</v>
      </c>
      <c r="DH111" s="113">
        <v>0</v>
      </c>
      <c r="DI111" s="113">
        <v>0</v>
      </c>
      <c r="DJ111" s="113">
        <v>0</v>
      </c>
      <c r="DK111" s="113">
        <v>0</v>
      </c>
      <c r="DL111" s="113">
        <v>0</v>
      </c>
      <c r="DM111" s="113">
        <v>0</v>
      </c>
      <c r="DN111" s="113">
        <v>0</v>
      </c>
      <c r="DO111" s="113">
        <v>0</v>
      </c>
      <c r="DP111" s="113">
        <v>0</v>
      </c>
      <c r="DQ111" s="113">
        <v>0</v>
      </c>
      <c r="DR111" s="113">
        <v>0</v>
      </c>
      <c r="DS111" s="113">
        <v>0</v>
      </c>
      <c r="DT111" s="113">
        <v>0</v>
      </c>
      <c r="DU111" s="113">
        <v>0</v>
      </c>
      <c r="DV111" s="113">
        <v>0</v>
      </c>
      <c r="DW111" s="113">
        <v>0</v>
      </c>
      <c r="DX111" s="113">
        <v>0</v>
      </c>
      <c r="DY111" s="113">
        <v>0</v>
      </c>
      <c r="DZ111" s="113">
        <v>0</v>
      </c>
      <c r="EA111" s="113">
        <v>0</v>
      </c>
      <c r="EB111" s="113">
        <v>0</v>
      </c>
      <c r="EC111" s="113">
        <v>0</v>
      </c>
      <c r="ED111" s="113">
        <v>0</v>
      </c>
      <c r="EE111" s="113">
        <v>0</v>
      </c>
      <c r="EF111" s="113">
        <v>0</v>
      </c>
      <c r="EG111" s="113">
        <v>0</v>
      </c>
      <c r="EH111" s="113">
        <v>0</v>
      </c>
      <c r="EI111" s="113">
        <v>0</v>
      </c>
      <c r="EJ111" s="113">
        <v>0</v>
      </c>
      <c r="EK111" s="113">
        <v>0</v>
      </c>
      <c r="EL111" s="113">
        <v>0</v>
      </c>
      <c r="EM111" s="113">
        <v>0</v>
      </c>
      <c r="EN111" s="113">
        <v>0</v>
      </c>
      <c r="EO111" s="113">
        <v>0</v>
      </c>
      <c r="EP111" s="113">
        <v>0</v>
      </c>
      <c r="EQ111" s="113">
        <v>0</v>
      </c>
      <c r="ER111" s="113">
        <v>0</v>
      </c>
      <c r="ES111" s="113">
        <v>0</v>
      </c>
      <c r="ET111" s="113">
        <v>0</v>
      </c>
      <c r="EU111" s="113">
        <v>0</v>
      </c>
      <c r="EV111" s="113">
        <v>0</v>
      </c>
      <c r="EW111" s="113">
        <v>0</v>
      </c>
      <c r="EX111" s="113">
        <v>0</v>
      </c>
      <c r="EY111" s="113">
        <v>0</v>
      </c>
      <c r="EZ111" s="113">
        <v>0</v>
      </c>
      <c r="FA111" s="113">
        <v>0</v>
      </c>
      <c r="FB111" s="113">
        <v>0</v>
      </c>
      <c r="FC111" s="113">
        <v>0</v>
      </c>
      <c r="FD111" s="113">
        <v>0</v>
      </c>
      <c r="FE111" s="113">
        <v>0</v>
      </c>
      <c r="FF111" s="113">
        <v>0</v>
      </c>
      <c r="FG111" s="113">
        <v>0</v>
      </c>
      <c r="FH111" s="113">
        <v>0</v>
      </c>
      <c r="FI111" s="113">
        <v>0</v>
      </c>
      <c r="FJ111" s="113">
        <v>0</v>
      </c>
      <c r="FK111" s="113">
        <v>0</v>
      </c>
      <c r="FL111" s="113">
        <v>0</v>
      </c>
      <c r="FM111" s="113">
        <v>0</v>
      </c>
      <c r="FN111" s="113">
        <v>0</v>
      </c>
      <c r="FO111" s="113">
        <v>0</v>
      </c>
      <c r="FP111" s="113">
        <v>0</v>
      </c>
      <c r="FQ111" s="113">
        <v>0</v>
      </c>
      <c r="FR111" s="113">
        <v>0</v>
      </c>
      <c r="FS111" s="113">
        <v>0</v>
      </c>
      <c r="FT111" s="113">
        <v>0</v>
      </c>
      <c r="FU111" s="113">
        <v>0</v>
      </c>
      <c r="FV111" s="113">
        <v>0</v>
      </c>
      <c r="FW111" s="113">
        <v>0</v>
      </c>
      <c r="FX111" s="32">
        <v>0</v>
      </c>
      <c r="FY111" s="30">
        <v>0</v>
      </c>
      <c r="FZ111" s="30">
        <v>0</v>
      </c>
    </row>
    <row r="112" spans="1:182" x14ac:dyDescent="0.2">
      <c r="A112" s="28">
        <v>34973</v>
      </c>
      <c r="B112" s="28"/>
      <c r="C112" s="29">
        <v>426725</v>
      </c>
      <c r="D112" s="29">
        <v>69940</v>
      </c>
      <c r="E112" s="29">
        <f t="shared" si="2"/>
        <v>496665</v>
      </c>
      <c r="F112" s="30">
        <v>9777803</v>
      </c>
      <c r="G112" s="30">
        <v>0</v>
      </c>
      <c r="H112" s="30">
        <f t="shared" si="3"/>
        <v>9777803</v>
      </c>
      <c r="I112" s="42" t="s">
        <v>75</v>
      </c>
      <c r="J112" s="42" t="s">
        <v>75</v>
      </c>
      <c r="K112" s="32">
        <v>3570379</v>
      </c>
      <c r="L112" s="31" t="s">
        <v>75</v>
      </c>
      <c r="M112" s="31" t="s">
        <v>75</v>
      </c>
      <c r="N112" s="30">
        <v>9492293</v>
      </c>
      <c r="O112" s="31" t="s">
        <v>75</v>
      </c>
      <c r="P112" s="31" t="s">
        <v>75</v>
      </c>
      <c r="Q112" s="30">
        <v>13787674</v>
      </c>
      <c r="R112" s="31" t="s">
        <v>75</v>
      </c>
      <c r="S112" s="31" t="s">
        <v>75</v>
      </c>
      <c r="T112" s="32">
        <v>254345</v>
      </c>
      <c r="U112" s="31" t="s">
        <v>75</v>
      </c>
      <c r="V112" s="31" t="s">
        <v>75</v>
      </c>
      <c r="W112" s="31" t="s">
        <v>75</v>
      </c>
      <c r="X112" s="31" t="s">
        <v>75</v>
      </c>
      <c r="Y112" s="31" t="s">
        <v>75</v>
      </c>
      <c r="Z112" s="30">
        <v>259326</v>
      </c>
      <c r="AA112" s="31" t="s">
        <v>75</v>
      </c>
      <c r="AB112" s="31" t="s">
        <v>75</v>
      </c>
      <c r="AC112" s="30">
        <v>279748</v>
      </c>
      <c r="AD112" s="31" t="s">
        <v>75</v>
      </c>
      <c r="AE112" s="31" t="s">
        <v>75</v>
      </c>
      <c r="AF112" s="30">
        <v>28219</v>
      </c>
      <c r="AG112" s="42" t="s">
        <v>75</v>
      </c>
      <c r="AH112" s="42" t="s">
        <v>75</v>
      </c>
      <c r="AI112" s="32">
        <v>75530</v>
      </c>
      <c r="AJ112" s="31" t="s">
        <v>75</v>
      </c>
      <c r="AK112" s="31" t="s">
        <v>75</v>
      </c>
      <c r="AL112" s="31" t="s">
        <v>75</v>
      </c>
      <c r="AM112" s="31"/>
      <c r="AN112" s="31"/>
      <c r="AO112" s="31"/>
      <c r="AP112" s="31"/>
      <c r="AQ112" s="31"/>
      <c r="AR112" s="31"/>
      <c r="AS112" s="31" t="s">
        <v>75</v>
      </c>
      <c r="AT112" s="31" t="s">
        <v>75</v>
      </c>
      <c r="AU112" s="31" t="s">
        <v>75</v>
      </c>
      <c r="AV112" s="31" t="s">
        <v>75</v>
      </c>
      <c r="AW112" s="31" t="s">
        <v>75</v>
      </c>
      <c r="AX112" s="31" t="s">
        <v>75</v>
      </c>
      <c r="AY112" s="31" t="s">
        <v>75</v>
      </c>
      <c r="AZ112" s="31" t="s">
        <v>75</v>
      </c>
      <c r="BA112" s="31" t="s">
        <v>75</v>
      </c>
      <c r="BB112" s="31" t="s">
        <v>75</v>
      </c>
      <c r="BC112" s="31" t="s">
        <v>75</v>
      </c>
      <c r="BD112" s="31" t="s">
        <v>75</v>
      </c>
      <c r="BE112" s="113">
        <v>0</v>
      </c>
      <c r="BF112" s="113">
        <v>0</v>
      </c>
      <c r="BG112" s="113">
        <v>0</v>
      </c>
      <c r="BH112" s="113">
        <v>0</v>
      </c>
      <c r="BI112" s="113">
        <v>0</v>
      </c>
      <c r="BJ112" s="113">
        <v>0</v>
      </c>
      <c r="BK112" s="113">
        <v>0</v>
      </c>
      <c r="BL112" s="113">
        <v>0</v>
      </c>
      <c r="BM112" s="113">
        <v>0</v>
      </c>
      <c r="BN112" s="113">
        <v>0</v>
      </c>
      <c r="BO112" s="113">
        <v>0</v>
      </c>
      <c r="BP112" s="113">
        <v>0</v>
      </c>
      <c r="BQ112" s="113">
        <v>0</v>
      </c>
      <c r="BR112" s="113">
        <v>0</v>
      </c>
      <c r="BS112" s="113">
        <v>0</v>
      </c>
      <c r="BT112" s="113">
        <v>0</v>
      </c>
      <c r="BU112" s="113">
        <v>0</v>
      </c>
      <c r="BV112" s="113">
        <v>0</v>
      </c>
      <c r="BW112" s="113"/>
      <c r="BX112" s="113"/>
      <c r="BY112" s="113"/>
      <c r="BZ112" s="113">
        <v>0</v>
      </c>
      <c r="CA112" s="113">
        <v>0</v>
      </c>
      <c r="CB112" s="113">
        <v>0</v>
      </c>
      <c r="CC112" s="113"/>
      <c r="CD112" s="113"/>
      <c r="CE112" s="113"/>
      <c r="CF112" s="113">
        <v>0</v>
      </c>
      <c r="CG112" s="113">
        <v>0</v>
      </c>
      <c r="CH112" s="113">
        <v>0</v>
      </c>
      <c r="CI112" s="113">
        <v>0</v>
      </c>
      <c r="CJ112" s="113">
        <v>0</v>
      </c>
      <c r="CK112" s="113">
        <v>0</v>
      </c>
      <c r="CL112" s="113">
        <v>0</v>
      </c>
      <c r="CM112" s="113">
        <v>0</v>
      </c>
      <c r="CN112" s="113">
        <v>0</v>
      </c>
      <c r="CO112" s="113">
        <v>0</v>
      </c>
      <c r="CP112" s="113">
        <v>0</v>
      </c>
      <c r="CQ112" s="113">
        <v>0</v>
      </c>
      <c r="CR112" s="113">
        <v>0</v>
      </c>
      <c r="CS112" s="113">
        <v>0</v>
      </c>
      <c r="CT112" s="113">
        <v>0</v>
      </c>
      <c r="CU112" s="113">
        <v>0</v>
      </c>
      <c r="CV112" s="113">
        <v>0</v>
      </c>
      <c r="CW112" s="113">
        <v>0</v>
      </c>
      <c r="CX112" s="113">
        <v>0</v>
      </c>
      <c r="CY112" s="113">
        <v>0</v>
      </c>
      <c r="CZ112" s="113">
        <v>0</v>
      </c>
      <c r="DA112" s="113">
        <v>0</v>
      </c>
      <c r="DB112" s="113">
        <v>0</v>
      </c>
      <c r="DC112" s="113">
        <v>0</v>
      </c>
      <c r="DD112" s="113">
        <v>0</v>
      </c>
      <c r="DE112" s="113">
        <v>0</v>
      </c>
      <c r="DF112" s="113">
        <v>0</v>
      </c>
      <c r="DG112" s="113">
        <v>0</v>
      </c>
      <c r="DH112" s="113">
        <v>0</v>
      </c>
      <c r="DI112" s="113">
        <v>0</v>
      </c>
      <c r="DJ112" s="113">
        <v>0</v>
      </c>
      <c r="DK112" s="113">
        <v>0</v>
      </c>
      <c r="DL112" s="113">
        <v>0</v>
      </c>
      <c r="DM112" s="113">
        <v>0</v>
      </c>
      <c r="DN112" s="113">
        <v>0</v>
      </c>
      <c r="DO112" s="113">
        <v>0</v>
      </c>
      <c r="DP112" s="113">
        <v>0</v>
      </c>
      <c r="DQ112" s="113">
        <v>0</v>
      </c>
      <c r="DR112" s="113">
        <v>0</v>
      </c>
      <c r="DS112" s="113">
        <v>0</v>
      </c>
      <c r="DT112" s="113">
        <v>0</v>
      </c>
      <c r="DU112" s="113">
        <v>0</v>
      </c>
      <c r="DV112" s="113">
        <v>0</v>
      </c>
      <c r="DW112" s="113">
        <v>0</v>
      </c>
      <c r="DX112" s="113">
        <v>0</v>
      </c>
      <c r="DY112" s="113">
        <v>0</v>
      </c>
      <c r="DZ112" s="113">
        <v>0</v>
      </c>
      <c r="EA112" s="113">
        <v>0</v>
      </c>
      <c r="EB112" s="113">
        <v>0</v>
      </c>
      <c r="EC112" s="113">
        <v>0</v>
      </c>
      <c r="ED112" s="113">
        <v>0</v>
      </c>
      <c r="EE112" s="113">
        <v>0</v>
      </c>
      <c r="EF112" s="113">
        <v>0</v>
      </c>
      <c r="EG112" s="113">
        <v>0</v>
      </c>
      <c r="EH112" s="113">
        <v>0</v>
      </c>
      <c r="EI112" s="113">
        <v>0</v>
      </c>
      <c r="EJ112" s="113">
        <v>0</v>
      </c>
      <c r="EK112" s="113">
        <v>0</v>
      </c>
      <c r="EL112" s="113">
        <v>0</v>
      </c>
      <c r="EM112" s="113">
        <v>0</v>
      </c>
      <c r="EN112" s="113">
        <v>0</v>
      </c>
      <c r="EO112" s="113">
        <v>0</v>
      </c>
      <c r="EP112" s="113">
        <v>0</v>
      </c>
      <c r="EQ112" s="113">
        <v>0</v>
      </c>
      <c r="ER112" s="113">
        <v>0</v>
      </c>
      <c r="ES112" s="113">
        <v>0</v>
      </c>
      <c r="ET112" s="113">
        <v>0</v>
      </c>
      <c r="EU112" s="113">
        <v>0</v>
      </c>
      <c r="EV112" s="113">
        <v>0</v>
      </c>
      <c r="EW112" s="113">
        <v>0</v>
      </c>
      <c r="EX112" s="113">
        <v>0</v>
      </c>
      <c r="EY112" s="113">
        <v>0</v>
      </c>
      <c r="EZ112" s="113">
        <v>0</v>
      </c>
      <c r="FA112" s="113">
        <v>0</v>
      </c>
      <c r="FB112" s="113">
        <v>0</v>
      </c>
      <c r="FC112" s="113">
        <v>0</v>
      </c>
      <c r="FD112" s="113">
        <v>0</v>
      </c>
      <c r="FE112" s="113">
        <v>0</v>
      </c>
      <c r="FF112" s="113">
        <v>0</v>
      </c>
      <c r="FG112" s="113">
        <v>0</v>
      </c>
      <c r="FH112" s="113">
        <v>0</v>
      </c>
      <c r="FI112" s="113">
        <v>0</v>
      </c>
      <c r="FJ112" s="113">
        <v>0</v>
      </c>
      <c r="FK112" s="113">
        <v>0</v>
      </c>
      <c r="FL112" s="113">
        <v>0</v>
      </c>
      <c r="FM112" s="113">
        <v>0</v>
      </c>
      <c r="FN112" s="113">
        <v>0</v>
      </c>
      <c r="FO112" s="113">
        <v>0</v>
      </c>
      <c r="FP112" s="113">
        <v>0</v>
      </c>
      <c r="FQ112" s="113">
        <v>0</v>
      </c>
      <c r="FR112" s="113">
        <v>0</v>
      </c>
      <c r="FS112" s="113">
        <v>0</v>
      </c>
      <c r="FT112" s="113">
        <v>0</v>
      </c>
      <c r="FU112" s="113">
        <v>0</v>
      </c>
      <c r="FV112" s="113">
        <v>0</v>
      </c>
      <c r="FW112" s="113">
        <v>0</v>
      </c>
      <c r="FX112" s="32">
        <v>0</v>
      </c>
      <c r="FY112" s="30">
        <v>0</v>
      </c>
      <c r="FZ112" s="30">
        <v>0</v>
      </c>
    </row>
    <row r="113" spans="1:182" x14ac:dyDescent="0.2">
      <c r="A113" s="28">
        <v>35004</v>
      </c>
      <c r="B113" s="28"/>
      <c r="C113" s="29">
        <v>264293</v>
      </c>
      <c r="D113" s="29">
        <v>97513</v>
      </c>
      <c r="E113" s="29">
        <f t="shared" si="2"/>
        <v>361806</v>
      </c>
      <c r="F113" s="30">
        <v>10261915</v>
      </c>
      <c r="G113" s="30">
        <v>0</v>
      </c>
      <c r="H113" s="30">
        <f t="shared" si="3"/>
        <v>10261915</v>
      </c>
      <c r="I113" s="42" t="s">
        <v>75</v>
      </c>
      <c r="J113" s="42" t="s">
        <v>75</v>
      </c>
      <c r="K113" s="32">
        <v>5430741</v>
      </c>
      <c r="L113" s="31" t="s">
        <v>75</v>
      </c>
      <c r="M113" s="31" t="s">
        <v>75</v>
      </c>
      <c r="N113" s="30">
        <v>16256563</v>
      </c>
      <c r="O113" s="31" t="s">
        <v>75</v>
      </c>
      <c r="P113" s="31" t="s">
        <v>75</v>
      </c>
      <c r="Q113" s="30">
        <v>17271626</v>
      </c>
      <c r="R113" s="31" t="s">
        <v>75</v>
      </c>
      <c r="S113" s="31" t="s">
        <v>75</v>
      </c>
      <c r="T113" s="32">
        <v>114309</v>
      </c>
      <c r="U113" s="31" t="s">
        <v>75</v>
      </c>
      <c r="V113" s="31" t="s">
        <v>75</v>
      </c>
      <c r="W113" s="31" t="s">
        <v>75</v>
      </c>
      <c r="X113" s="31" t="s">
        <v>75</v>
      </c>
      <c r="Y113" s="31" t="s">
        <v>75</v>
      </c>
      <c r="Z113" s="30">
        <v>186774</v>
      </c>
      <c r="AA113" s="31" t="s">
        <v>75</v>
      </c>
      <c r="AB113" s="31" t="s">
        <v>75</v>
      </c>
      <c r="AC113" s="30">
        <v>168588</v>
      </c>
      <c r="AD113" s="31" t="s">
        <v>75</v>
      </c>
      <c r="AE113" s="31" t="s">
        <v>75</v>
      </c>
      <c r="AF113" s="30">
        <v>60947</v>
      </c>
      <c r="AG113" s="42" t="s">
        <v>75</v>
      </c>
      <c r="AH113" s="42" t="s">
        <v>75</v>
      </c>
      <c r="AI113" s="32">
        <v>56116</v>
      </c>
      <c r="AJ113" s="31" t="s">
        <v>75</v>
      </c>
      <c r="AK113" s="31" t="s">
        <v>75</v>
      </c>
      <c r="AL113" s="31" t="s">
        <v>75</v>
      </c>
      <c r="AM113" s="31"/>
      <c r="AN113" s="31"/>
      <c r="AO113" s="31"/>
      <c r="AP113" s="31"/>
      <c r="AQ113" s="31"/>
      <c r="AR113" s="31"/>
      <c r="AS113" s="31" t="s">
        <v>75</v>
      </c>
      <c r="AT113" s="31" t="s">
        <v>75</v>
      </c>
      <c r="AU113" s="31" t="s">
        <v>75</v>
      </c>
      <c r="AV113" s="31" t="s">
        <v>75</v>
      </c>
      <c r="AW113" s="31" t="s">
        <v>75</v>
      </c>
      <c r="AX113" s="31" t="s">
        <v>75</v>
      </c>
      <c r="AY113" s="31" t="s">
        <v>75</v>
      </c>
      <c r="AZ113" s="31" t="s">
        <v>75</v>
      </c>
      <c r="BA113" s="31" t="s">
        <v>75</v>
      </c>
      <c r="BB113" s="31" t="s">
        <v>75</v>
      </c>
      <c r="BC113" s="31" t="s">
        <v>75</v>
      </c>
      <c r="BD113" s="31" t="s">
        <v>75</v>
      </c>
      <c r="BE113" s="113">
        <v>0</v>
      </c>
      <c r="BF113" s="113">
        <v>0</v>
      </c>
      <c r="BG113" s="113">
        <v>0</v>
      </c>
      <c r="BH113" s="113">
        <v>0</v>
      </c>
      <c r="BI113" s="113">
        <v>0</v>
      </c>
      <c r="BJ113" s="113">
        <v>0</v>
      </c>
      <c r="BK113" s="113">
        <v>0</v>
      </c>
      <c r="BL113" s="113">
        <v>0</v>
      </c>
      <c r="BM113" s="113">
        <v>0</v>
      </c>
      <c r="BN113" s="113">
        <v>0</v>
      </c>
      <c r="BO113" s="113">
        <v>0</v>
      </c>
      <c r="BP113" s="113">
        <v>0</v>
      </c>
      <c r="BQ113" s="113">
        <v>0</v>
      </c>
      <c r="BR113" s="113">
        <v>0</v>
      </c>
      <c r="BS113" s="113">
        <v>0</v>
      </c>
      <c r="BT113" s="113">
        <v>0</v>
      </c>
      <c r="BU113" s="113">
        <v>0</v>
      </c>
      <c r="BV113" s="113">
        <v>0</v>
      </c>
      <c r="BW113" s="113"/>
      <c r="BX113" s="113"/>
      <c r="BY113" s="113"/>
      <c r="BZ113" s="113">
        <v>0</v>
      </c>
      <c r="CA113" s="113">
        <v>0</v>
      </c>
      <c r="CB113" s="113">
        <v>0</v>
      </c>
      <c r="CC113" s="113"/>
      <c r="CD113" s="113"/>
      <c r="CE113" s="113"/>
      <c r="CF113" s="113">
        <v>0</v>
      </c>
      <c r="CG113" s="113">
        <v>0</v>
      </c>
      <c r="CH113" s="113">
        <v>0</v>
      </c>
      <c r="CI113" s="113">
        <v>0</v>
      </c>
      <c r="CJ113" s="113">
        <v>0</v>
      </c>
      <c r="CK113" s="113">
        <v>0</v>
      </c>
      <c r="CL113" s="113">
        <v>0</v>
      </c>
      <c r="CM113" s="113">
        <v>0</v>
      </c>
      <c r="CN113" s="113">
        <v>0</v>
      </c>
      <c r="CO113" s="113">
        <v>0</v>
      </c>
      <c r="CP113" s="113">
        <v>0</v>
      </c>
      <c r="CQ113" s="113">
        <v>0</v>
      </c>
      <c r="CR113" s="113">
        <v>0</v>
      </c>
      <c r="CS113" s="113">
        <v>0</v>
      </c>
      <c r="CT113" s="113">
        <v>0</v>
      </c>
      <c r="CU113" s="113">
        <v>0</v>
      </c>
      <c r="CV113" s="113">
        <v>0</v>
      </c>
      <c r="CW113" s="113">
        <v>0</v>
      </c>
      <c r="CX113" s="113">
        <v>0</v>
      </c>
      <c r="CY113" s="113">
        <v>0</v>
      </c>
      <c r="CZ113" s="113">
        <v>0</v>
      </c>
      <c r="DA113" s="113">
        <v>0</v>
      </c>
      <c r="DB113" s="113">
        <v>0</v>
      </c>
      <c r="DC113" s="113">
        <v>0</v>
      </c>
      <c r="DD113" s="113">
        <v>0</v>
      </c>
      <c r="DE113" s="113">
        <v>0</v>
      </c>
      <c r="DF113" s="113">
        <v>0</v>
      </c>
      <c r="DG113" s="113">
        <v>0</v>
      </c>
      <c r="DH113" s="113">
        <v>0</v>
      </c>
      <c r="DI113" s="113">
        <v>0</v>
      </c>
      <c r="DJ113" s="113">
        <v>0</v>
      </c>
      <c r="DK113" s="113">
        <v>0</v>
      </c>
      <c r="DL113" s="113">
        <v>0</v>
      </c>
      <c r="DM113" s="113">
        <v>0</v>
      </c>
      <c r="DN113" s="113">
        <v>0</v>
      </c>
      <c r="DO113" s="113">
        <v>0</v>
      </c>
      <c r="DP113" s="113">
        <v>0</v>
      </c>
      <c r="DQ113" s="113">
        <v>0</v>
      </c>
      <c r="DR113" s="113">
        <v>0</v>
      </c>
      <c r="DS113" s="113">
        <v>0</v>
      </c>
      <c r="DT113" s="113">
        <v>0</v>
      </c>
      <c r="DU113" s="113">
        <v>0</v>
      </c>
      <c r="DV113" s="113">
        <v>0</v>
      </c>
      <c r="DW113" s="113">
        <v>0</v>
      </c>
      <c r="DX113" s="113">
        <v>0</v>
      </c>
      <c r="DY113" s="113">
        <v>0</v>
      </c>
      <c r="DZ113" s="113">
        <v>0</v>
      </c>
      <c r="EA113" s="113">
        <v>0</v>
      </c>
      <c r="EB113" s="113">
        <v>0</v>
      </c>
      <c r="EC113" s="113">
        <v>0</v>
      </c>
      <c r="ED113" s="113">
        <v>0</v>
      </c>
      <c r="EE113" s="113">
        <v>0</v>
      </c>
      <c r="EF113" s="113">
        <v>0</v>
      </c>
      <c r="EG113" s="113">
        <v>0</v>
      </c>
      <c r="EH113" s="113">
        <v>0</v>
      </c>
      <c r="EI113" s="113">
        <v>0</v>
      </c>
      <c r="EJ113" s="113">
        <v>0</v>
      </c>
      <c r="EK113" s="113">
        <v>0</v>
      </c>
      <c r="EL113" s="113">
        <v>0</v>
      </c>
      <c r="EM113" s="113">
        <v>0</v>
      </c>
      <c r="EN113" s="113">
        <v>0</v>
      </c>
      <c r="EO113" s="113">
        <v>0</v>
      </c>
      <c r="EP113" s="113">
        <v>0</v>
      </c>
      <c r="EQ113" s="113">
        <v>0</v>
      </c>
      <c r="ER113" s="113">
        <v>0</v>
      </c>
      <c r="ES113" s="113">
        <v>0</v>
      </c>
      <c r="ET113" s="113">
        <v>0</v>
      </c>
      <c r="EU113" s="113">
        <v>0</v>
      </c>
      <c r="EV113" s="113">
        <v>0</v>
      </c>
      <c r="EW113" s="113">
        <v>0</v>
      </c>
      <c r="EX113" s="113">
        <v>0</v>
      </c>
      <c r="EY113" s="113">
        <v>0</v>
      </c>
      <c r="EZ113" s="113">
        <v>0</v>
      </c>
      <c r="FA113" s="113">
        <v>0</v>
      </c>
      <c r="FB113" s="113">
        <v>0</v>
      </c>
      <c r="FC113" s="113">
        <v>0</v>
      </c>
      <c r="FD113" s="113">
        <v>0</v>
      </c>
      <c r="FE113" s="113">
        <v>0</v>
      </c>
      <c r="FF113" s="113">
        <v>0</v>
      </c>
      <c r="FG113" s="113">
        <v>0</v>
      </c>
      <c r="FH113" s="113">
        <v>0</v>
      </c>
      <c r="FI113" s="113">
        <v>0</v>
      </c>
      <c r="FJ113" s="113">
        <v>0</v>
      </c>
      <c r="FK113" s="113">
        <v>0</v>
      </c>
      <c r="FL113" s="113">
        <v>0</v>
      </c>
      <c r="FM113" s="113">
        <v>0</v>
      </c>
      <c r="FN113" s="113">
        <v>0</v>
      </c>
      <c r="FO113" s="113">
        <v>0</v>
      </c>
      <c r="FP113" s="113">
        <v>0</v>
      </c>
      <c r="FQ113" s="113">
        <v>0</v>
      </c>
      <c r="FR113" s="113">
        <v>0</v>
      </c>
      <c r="FS113" s="113">
        <v>0</v>
      </c>
      <c r="FT113" s="113">
        <v>0</v>
      </c>
      <c r="FU113" s="113">
        <v>0</v>
      </c>
      <c r="FV113" s="113">
        <v>0</v>
      </c>
      <c r="FW113" s="113">
        <v>0</v>
      </c>
      <c r="FX113" s="32">
        <v>0</v>
      </c>
      <c r="FY113" s="30">
        <v>0</v>
      </c>
      <c r="FZ113" s="30">
        <v>0</v>
      </c>
    </row>
    <row r="114" spans="1:182" x14ac:dyDescent="0.2">
      <c r="A114" s="28">
        <v>35034</v>
      </c>
      <c r="B114" s="28"/>
      <c r="C114" s="29">
        <v>302500</v>
      </c>
      <c r="D114" s="29">
        <v>125557</v>
      </c>
      <c r="E114" s="29">
        <f t="shared" si="2"/>
        <v>428057</v>
      </c>
      <c r="F114" s="30">
        <v>13262359</v>
      </c>
      <c r="G114" s="30">
        <v>0</v>
      </c>
      <c r="H114" s="30">
        <f t="shared" si="3"/>
        <v>13262359</v>
      </c>
      <c r="I114" s="42" t="s">
        <v>75</v>
      </c>
      <c r="J114" s="42" t="s">
        <v>75</v>
      </c>
      <c r="K114" s="32">
        <v>5929854</v>
      </c>
      <c r="L114" s="31" t="s">
        <v>75</v>
      </c>
      <c r="M114" s="31" t="s">
        <v>75</v>
      </c>
      <c r="N114" s="30">
        <v>14616370</v>
      </c>
      <c r="O114" s="31" t="s">
        <v>75</v>
      </c>
      <c r="P114" s="31" t="s">
        <v>75</v>
      </c>
      <c r="Q114" s="30">
        <v>22299133</v>
      </c>
      <c r="R114" s="31" t="s">
        <v>75</v>
      </c>
      <c r="S114" s="31" t="s">
        <v>75</v>
      </c>
      <c r="T114" s="32">
        <v>80366</v>
      </c>
      <c r="U114" s="31" t="s">
        <v>75</v>
      </c>
      <c r="V114" s="31" t="s">
        <v>75</v>
      </c>
      <c r="W114" s="31" t="s">
        <v>75</v>
      </c>
      <c r="X114" s="31" t="s">
        <v>75</v>
      </c>
      <c r="Y114" s="31" t="s">
        <v>75</v>
      </c>
      <c r="Z114" s="30">
        <v>118851</v>
      </c>
      <c r="AA114" s="31" t="s">
        <v>75</v>
      </c>
      <c r="AB114" s="31" t="s">
        <v>75</v>
      </c>
      <c r="AC114" s="30">
        <v>273524</v>
      </c>
      <c r="AD114" s="31" t="s">
        <v>75</v>
      </c>
      <c r="AE114" s="31" t="s">
        <v>75</v>
      </c>
      <c r="AF114" s="30">
        <v>99246</v>
      </c>
      <c r="AG114" s="42" t="s">
        <v>75</v>
      </c>
      <c r="AH114" s="42" t="s">
        <v>75</v>
      </c>
      <c r="AI114" s="32">
        <v>76247</v>
      </c>
      <c r="AJ114" s="31" t="s">
        <v>75</v>
      </c>
      <c r="AK114" s="31" t="s">
        <v>75</v>
      </c>
      <c r="AL114" s="31" t="s">
        <v>75</v>
      </c>
      <c r="AM114" s="31"/>
      <c r="AN114" s="31"/>
      <c r="AO114" s="31"/>
      <c r="AP114" s="31"/>
      <c r="AQ114" s="31"/>
      <c r="AR114" s="31"/>
      <c r="AS114" s="31" t="s">
        <v>75</v>
      </c>
      <c r="AT114" s="31" t="s">
        <v>75</v>
      </c>
      <c r="AU114" s="31" t="s">
        <v>75</v>
      </c>
      <c r="AV114" s="31" t="s">
        <v>75</v>
      </c>
      <c r="AW114" s="31" t="s">
        <v>75</v>
      </c>
      <c r="AX114" s="31" t="s">
        <v>75</v>
      </c>
      <c r="AY114" s="31" t="s">
        <v>75</v>
      </c>
      <c r="AZ114" s="31" t="s">
        <v>75</v>
      </c>
      <c r="BA114" s="31" t="s">
        <v>75</v>
      </c>
      <c r="BB114" s="31" t="s">
        <v>75</v>
      </c>
      <c r="BC114" s="31" t="s">
        <v>75</v>
      </c>
      <c r="BD114" s="31" t="s">
        <v>75</v>
      </c>
      <c r="BE114" s="113">
        <v>0</v>
      </c>
      <c r="BF114" s="113">
        <v>0</v>
      </c>
      <c r="BG114" s="113">
        <v>0</v>
      </c>
      <c r="BH114" s="113">
        <v>0</v>
      </c>
      <c r="BI114" s="113">
        <v>0</v>
      </c>
      <c r="BJ114" s="113">
        <v>0</v>
      </c>
      <c r="BK114" s="113">
        <v>0</v>
      </c>
      <c r="BL114" s="113">
        <v>0</v>
      </c>
      <c r="BM114" s="113">
        <v>0</v>
      </c>
      <c r="BN114" s="113">
        <v>0</v>
      </c>
      <c r="BO114" s="113">
        <v>0</v>
      </c>
      <c r="BP114" s="113">
        <v>0</v>
      </c>
      <c r="BQ114" s="113">
        <v>0</v>
      </c>
      <c r="BR114" s="113">
        <v>0</v>
      </c>
      <c r="BS114" s="113">
        <v>0</v>
      </c>
      <c r="BT114" s="113">
        <v>0</v>
      </c>
      <c r="BU114" s="113">
        <v>0</v>
      </c>
      <c r="BV114" s="113">
        <v>0</v>
      </c>
      <c r="BW114" s="113"/>
      <c r="BX114" s="113"/>
      <c r="BY114" s="113"/>
      <c r="BZ114" s="113">
        <v>0</v>
      </c>
      <c r="CA114" s="113">
        <v>0</v>
      </c>
      <c r="CB114" s="113">
        <v>0</v>
      </c>
      <c r="CC114" s="113"/>
      <c r="CD114" s="113"/>
      <c r="CE114" s="113"/>
      <c r="CF114" s="113">
        <v>0</v>
      </c>
      <c r="CG114" s="113">
        <v>0</v>
      </c>
      <c r="CH114" s="113">
        <v>0</v>
      </c>
      <c r="CI114" s="113">
        <v>0</v>
      </c>
      <c r="CJ114" s="113">
        <v>0</v>
      </c>
      <c r="CK114" s="113">
        <v>0</v>
      </c>
      <c r="CL114" s="113">
        <v>0</v>
      </c>
      <c r="CM114" s="113">
        <v>0</v>
      </c>
      <c r="CN114" s="113">
        <v>0</v>
      </c>
      <c r="CO114" s="113">
        <v>0</v>
      </c>
      <c r="CP114" s="113">
        <v>0</v>
      </c>
      <c r="CQ114" s="113">
        <v>0</v>
      </c>
      <c r="CR114" s="113">
        <v>0</v>
      </c>
      <c r="CS114" s="113">
        <v>0</v>
      </c>
      <c r="CT114" s="113">
        <v>0</v>
      </c>
      <c r="CU114" s="113">
        <v>0</v>
      </c>
      <c r="CV114" s="113">
        <v>0</v>
      </c>
      <c r="CW114" s="113">
        <v>0</v>
      </c>
      <c r="CX114" s="113">
        <v>0</v>
      </c>
      <c r="CY114" s="113">
        <v>0</v>
      </c>
      <c r="CZ114" s="113">
        <v>0</v>
      </c>
      <c r="DA114" s="113">
        <v>0</v>
      </c>
      <c r="DB114" s="113">
        <v>0</v>
      </c>
      <c r="DC114" s="113">
        <v>0</v>
      </c>
      <c r="DD114" s="113">
        <v>0</v>
      </c>
      <c r="DE114" s="113">
        <v>0</v>
      </c>
      <c r="DF114" s="113">
        <v>0</v>
      </c>
      <c r="DG114" s="113">
        <v>0</v>
      </c>
      <c r="DH114" s="113">
        <v>0</v>
      </c>
      <c r="DI114" s="113">
        <v>0</v>
      </c>
      <c r="DJ114" s="113">
        <v>0</v>
      </c>
      <c r="DK114" s="113">
        <v>0</v>
      </c>
      <c r="DL114" s="113">
        <v>0</v>
      </c>
      <c r="DM114" s="113">
        <v>0</v>
      </c>
      <c r="DN114" s="113">
        <v>0</v>
      </c>
      <c r="DO114" s="113">
        <v>0</v>
      </c>
      <c r="DP114" s="113">
        <v>0</v>
      </c>
      <c r="DQ114" s="113">
        <v>0</v>
      </c>
      <c r="DR114" s="113">
        <v>0</v>
      </c>
      <c r="DS114" s="113">
        <v>0</v>
      </c>
      <c r="DT114" s="113">
        <v>0</v>
      </c>
      <c r="DU114" s="113">
        <v>0</v>
      </c>
      <c r="DV114" s="113">
        <v>0</v>
      </c>
      <c r="DW114" s="113">
        <v>0</v>
      </c>
      <c r="DX114" s="113">
        <v>0</v>
      </c>
      <c r="DY114" s="113">
        <v>0</v>
      </c>
      <c r="DZ114" s="113">
        <v>0</v>
      </c>
      <c r="EA114" s="113">
        <v>0</v>
      </c>
      <c r="EB114" s="113">
        <v>0</v>
      </c>
      <c r="EC114" s="113">
        <v>0</v>
      </c>
      <c r="ED114" s="113">
        <v>0</v>
      </c>
      <c r="EE114" s="113">
        <v>0</v>
      </c>
      <c r="EF114" s="113">
        <v>0</v>
      </c>
      <c r="EG114" s="113">
        <v>0</v>
      </c>
      <c r="EH114" s="113">
        <v>0</v>
      </c>
      <c r="EI114" s="113">
        <v>0</v>
      </c>
      <c r="EJ114" s="113">
        <v>0</v>
      </c>
      <c r="EK114" s="113">
        <v>0</v>
      </c>
      <c r="EL114" s="113">
        <v>0</v>
      </c>
      <c r="EM114" s="113">
        <v>0</v>
      </c>
      <c r="EN114" s="113">
        <v>0</v>
      </c>
      <c r="EO114" s="113">
        <v>0</v>
      </c>
      <c r="EP114" s="113">
        <v>0</v>
      </c>
      <c r="EQ114" s="113">
        <v>0</v>
      </c>
      <c r="ER114" s="113">
        <v>0</v>
      </c>
      <c r="ES114" s="113">
        <v>0</v>
      </c>
      <c r="ET114" s="113">
        <v>0</v>
      </c>
      <c r="EU114" s="113">
        <v>0</v>
      </c>
      <c r="EV114" s="113">
        <v>0</v>
      </c>
      <c r="EW114" s="113">
        <v>0</v>
      </c>
      <c r="EX114" s="113">
        <v>0</v>
      </c>
      <c r="EY114" s="113">
        <v>0</v>
      </c>
      <c r="EZ114" s="113">
        <v>0</v>
      </c>
      <c r="FA114" s="113">
        <v>0</v>
      </c>
      <c r="FB114" s="113">
        <v>0</v>
      </c>
      <c r="FC114" s="113">
        <v>0</v>
      </c>
      <c r="FD114" s="113">
        <v>0</v>
      </c>
      <c r="FE114" s="113">
        <v>0</v>
      </c>
      <c r="FF114" s="113">
        <v>0</v>
      </c>
      <c r="FG114" s="113">
        <v>0</v>
      </c>
      <c r="FH114" s="113">
        <v>0</v>
      </c>
      <c r="FI114" s="113">
        <v>0</v>
      </c>
      <c r="FJ114" s="113">
        <v>0</v>
      </c>
      <c r="FK114" s="113">
        <v>0</v>
      </c>
      <c r="FL114" s="113">
        <v>0</v>
      </c>
      <c r="FM114" s="113">
        <v>0</v>
      </c>
      <c r="FN114" s="113">
        <v>0</v>
      </c>
      <c r="FO114" s="113">
        <v>0</v>
      </c>
      <c r="FP114" s="113">
        <v>0</v>
      </c>
      <c r="FQ114" s="113">
        <v>0</v>
      </c>
      <c r="FR114" s="113">
        <v>0</v>
      </c>
      <c r="FS114" s="113">
        <v>0</v>
      </c>
      <c r="FT114" s="113">
        <v>0</v>
      </c>
      <c r="FU114" s="113">
        <v>0</v>
      </c>
      <c r="FV114" s="113">
        <v>0</v>
      </c>
      <c r="FW114" s="113">
        <v>0</v>
      </c>
      <c r="FX114" s="32">
        <v>0</v>
      </c>
      <c r="FY114" s="30">
        <v>0</v>
      </c>
      <c r="FZ114" s="30">
        <v>0</v>
      </c>
    </row>
    <row r="115" spans="1:182" x14ac:dyDescent="0.2">
      <c r="A115" s="28">
        <v>35065</v>
      </c>
      <c r="B115" s="28"/>
      <c r="C115" s="29">
        <v>128165</v>
      </c>
      <c r="D115" s="29">
        <v>34303</v>
      </c>
      <c r="E115" s="29">
        <f t="shared" si="2"/>
        <v>162468</v>
      </c>
      <c r="F115" s="30">
        <v>7289322</v>
      </c>
      <c r="G115" s="30">
        <v>0</v>
      </c>
      <c r="H115" s="30">
        <f t="shared" si="3"/>
        <v>7289322</v>
      </c>
      <c r="I115" s="42" t="s">
        <v>75</v>
      </c>
      <c r="J115" s="42" t="s">
        <v>75</v>
      </c>
      <c r="K115" s="32">
        <v>2870137</v>
      </c>
      <c r="L115" s="31" t="s">
        <v>75</v>
      </c>
      <c r="M115" s="31" t="s">
        <v>75</v>
      </c>
      <c r="N115" s="30">
        <v>9957272</v>
      </c>
      <c r="O115" s="31" t="s">
        <v>75</v>
      </c>
      <c r="P115" s="31" t="s">
        <v>75</v>
      </c>
      <c r="Q115" s="30">
        <v>19351886</v>
      </c>
      <c r="R115" s="31" t="s">
        <v>75</v>
      </c>
      <c r="S115" s="31" t="s">
        <v>75</v>
      </c>
      <c r="T115" s="32">
        <v>135619</v>
      </c>
      <c r="U115" s="31" t="s">
        <v>75</v>
      </c>
      <c r="V115" s="31" t="s">
        <v>75</v>
      </c>
      <c r="W115" s="31" t="s">
        <v>75</v>
      </c>
      <c r="X115" s="31" t="s">
        <v>75</v>
      </c>
      <c r="Y115" s="31" t="s">
        <v>75</v>
      </c>
      <c r="Z115" s="30">
        <v>44938</v>
      </c>
      <c r="AA115" s="31" t="s">
        <v>75</v>
      </c>
      <c r="AB115" s="31" t="s">
        <v>75</v>
      </c>
      <c r="AC115" s="30">
        <v>207684</v>
      </c>
      <c r="AD115" s="31" t="s">
        <v>75</v>
      </c>
      <c r="AE115" s="31" t="s">
        <v>75</v>
      </c>
      <c r="AF115" s="30">
        <v>21985</v>
      </c>
      <c r="AG115" s="42" t="s">
        <v>75</v>
      </c>
      <c r="AH115" s="42" t="s">
        <v>75</v>
      </c>
      <c r="AI115" s="32">
        <v>49969</v>
      </c>
      <c r="AJ115" s="31" t="s">
        <v>75</v>
      </c>
      <c r="AK115" s="31" t="s">
        <v>75</v>
      </c>
      <c r="AL115" s="31" t="s">
        <v>75</v>
      </c>
      <c r="AM115" s="31"/>
      <c r="AN115" s="31"/>
      <c r="AO115" s="31"/>
      <c r="AP115" s="31"/>
      <c r="AQ115" s="31"/>
      <c r="AR115" s="31"/>
      <c r="AS115" s="31" t="s">
        <v>75</v>
      </c>
      <c r="AT115" s="31" t="s">
        <v>75</v>
      </c>
      <c r="AU115" s="31" t="s">
        <v>75</v>
      </c>
      <c r="AV115" s="31" t="s">
        <v>75</v>
      </c>
      <c r="AW115" s="31" t="s">
        <v>75</v>
      </c>
      <c r="AX115" s="31" t="s">
        <v>75</v>
      </c>
      <c r="AY115" s="31" t="s">
        <v>75</v>
      </c>
      <c r="AZ115" s="31" t="s">
        <v>75</v>
      </c>
      <c r="BA115" s="31" t="s">
        <v>75</v>
      </c>
      <c r="BB115" s="31" t="s">
        <v>75</v>
      </c>
      <c r="BC115" s="31" t="s">
        <v>75</v>
      </c>
      <c r="BD115" s="31" t="s">
        <v>75</v>
      </c>
      <c r="BE115" s="113">
        <v>0</v>
      </c>
      <c r="BF115" s="113">
        <v>0</v>
      </c>
      <c r="BG115" s="113">
        <v>0</v>
      </c>
      <c r="BH115" s="113">
        <v>0</v>
      </c>
      <c r="BI115" s="113">
        <v>0</v>
      </c>
      <c r="BJ115" s="113">
        <v>0</v>
      </c>
      <c r="BK115" s="113">
        <v>0</v>
      </c>
      <c r="BL115" s="113">
        <v>0</v>
      </c>
      <c r="BM115" s="113">
        <v>0</v>
      </c>
      <c r="BN115" s="113">
        <v>0</v>
      </c>
      <c r="BO115" s="113">
        <v>0</v>
      </c>
      <c r="BP115" s="113">
        <v>0</v>
      </c>
      <c r="BQ115" s="113">
        <v>0</v>
      </c>
      <c r="BR115" s="113">
        <v>0</v>
      </c>
      <c r="BS115" s="113">
        <v>0</v>
      </c>
      <c r="BT115" s="113">
        <v>0</v>
      </c>
      <c r="BU115" s="113">
        <v>0</v>
      </c>
      <c r="BV115" s="113">
        <v>0</v>
      </c>
      <c r="BW115" s="113"/>
      <c r="BX115" s="113"/>
      <c r="BY115" s="113"/>
      <c r="BZ115" s="113">
        <v>0</v>
      </c>
      <c r="CA115" s="113">
        <v>0</v>
      </c>
      <c r="CB115" s="113">
        <v>0</v>
      </c>
      <c r="CC115" s="113"/>
      <c r="CD115" s="113"/>
      <c r="CE115" s="113"/>
      <c r="CF115" s="113">
        <v>0</v>
      </c>
      <c r="CG115" s="113">
        <v>0</v>
      </c>
      <c r="CH115" s="113">
        <v>0</v>
      </c>
      <c r="CI115" s="113">
        <v>0</v>
      </c>
      <c r="CJ115" s="113">
        <v>0</v>
      </c>
      <c r="CK115" s="113">
        <v>0</v>
      </c>
      <c r="CL115" s="113">
        <v>0</v>
      </c>
      <c r="CM115" s="113">
        <v>0</v>
      </c>
      <c r="CN115" s="113">
        <v>0</v>
      </c>
      <c r="CO115" s="113">
        <v>0</v>
      </c>
      <c r="CP115" s="113">
        <v>0</v>
      </c>
      <c r="CQ115" s="113">
        <v>0</v>
      </c>
      <c r="CR115" s="113">
        <v>0</v>
      </c>
      <c r="CS115" s="113">
        <v>0</v>
      </c>
      <c r="CT115" s="113">
        <v>0</v>
      </c>
      <c r="CU115" s="113">
        <v>0</v>
      </c>
      <c r="CV115" s="113">
        <v>0</v>
      </c>
      <c r="CW115" s="113">
        <v>0</v>
      </c>
      <c r="CX115" s="113">
        <v>0</v>
      </c>
      <c r="CY115" s="113">
        <v>0</v>
      </c>
      <c r="CZ115" s="113">
        <v>0</v>
      </c>
      <c r="DA115" s="113">
        <v>0</v>
      </c>
      <c r="DB115" s="113">
        <v>0</v>
      </c>
      <c r="DC115" s="113">
        <v>0</v>
      </c>
      <c r="DD115" s="113">
        <v>0</v>
      </c>
      <c r="DE115" s="113">
        <v>0</v>
      </c>
      <c r="DF115" s="113">
        <v>0</v>
      </c>
      <c r="DG115" s="113">
        <v>0</v>
      </c>
      <c r="DH115" s="113">
        <v>0</v>
      </c>
      <c r="DI115" s="113">
        <v>0</v>
      </c>
      <c r="DJ115" s="113">
        <v>0</v>
      </c>
      <c r="DK115" s="113">
        <v>0</v>
      </c>
      <c r="DL115" s="113">
        <v>0</v>
      </c>
      <c r="DM115" s="113">
        <v>0</v>
      </c>
      <c r="DN115" s="113">
        <v>0</v>
      </c>
      <c r="DO115" s="113">
        <v>0</v>
      </c>
      <c r="DP115" s="113">
        <v>0</v>
      </c>
      <c r="DQ115" s="113">
        <v>0</v>
      </c>
      <c r="DR115" s="113">
        <v>0</v>
      </c>
      <c r="DS115" s="113">
        <v>0</v>
      </c>
      <c r="DT115" s="113">
        <v>0</v>
      </c>
      <c r="DU115" s="113">
        <v>0</v>
      </c>
      <c r="DV115" s="113">
        <v>0</v>
      </c>
      <c r="DW115" s="113">
        <v>0</v>
      </c>
      <c r="DX115" s="113">
        <v>0</v>
      </c>
      <c r="DY115" s="113">
        <v>0</v>
      </c>
      <c r="DZ115" s="113">
        <v>0</v>
      </c>
      <c r="EA115" s="113">
        <v>0</v>
      </c>
      <c r="EB115" s="113">
        <v>0</v>
      </c>
      <c r="EC115" s="113">
        <v>0</v>
      </c>
      <c r="ED115" s="113">
        <v>0</v>
      </c>
      <c r="EE115" s="113">
        <v>0</v>
      </c>
      <c r="EF115" s="113">
        <v>0</v>
      </c>
      <c r="EG115" s="113">
        <v>0</v>
      </c>
      <c r="EH115" s="113">
        <v>0</v>
      </c>
      <c r="EI115" s="113">
        <v>0</v>
      </c>
      <c r="EJ115" s="113">
        <v>0</v>
      </c>
      <c r="EK115" s="113">
        <v>0</v>
      </c>
      <c r="EL115" s="113">
        <v>0</v>
      </c>
      <c r="EM115" s="113">
        <v>0</v>
      </c>
      <c r="EN115" s="113">
        <v>0</v>
      </c>
      <c r="EO115" s="113">
        <v>0</v>
      </c>
      <c r="EP115" s="113">
        <v>0</v>
      </c>
      <c r="EQ115" s="113">
        <v>0</v>
      </c>
      <c r="ER115" s="113">
        <v>0</v>
      </c>
      <c r="ES115" s="113">
        <v>0</v>
      </c>
      <c r="ET115" s="113">
        <v>0</v>
      </c>
      <c r="EU115" s="113">
        <v>0</v>
      </c>
      <c r="EV115" s="113">
        <v>0</v>
      </c>
      <c r="EW115" s="113">
        <v>0</v>
      </c>
      <c r="EX115" s="113">
        <v>0</v>
      </c>
      <c r="EY115" s="113">
        <v>0</v>
      </c>
      <c r="EZ115" s="113">
        <v>0</v>
      </c>
      <c r="FA115" s="113">
        <v>0</v>
      </c>
      <c r="FB115" s="113">
        <v>0</v>
      </c>
      <c r="FC115" s="113">
        <v>0</v>
      </c>
      <c r="FD115" s="113">
        <v>0</v>
      </c>
      <c r="FE115" s="113">
        <v>0</v>
      </c>
      <c r="FF115" s="113">
        <v>0</v>
      </c>
      <c r="FG115" s="113">
        <v>0</v>
      </c>
      <c r="FH115" s="113">
        <v>0</v>
      </c>
      <c r="FI115" s="113">
        <v>0</v>
      </c>
      <c r="FJ115" s="113">
        <v>0</v>
      </c>
      <c r="FK115" s="113">
        <v>0</v>
      </c>
      <c r="FL115" s="113">
        <v>0</v>
      </c>
      <c r="FM115" s="113">
        <v>0</v>
      </c>
      <c r="FN115" s="113">
        <v>0</v>
      </c>
      <c r="FO115" s="113">
        <v>0</v>
      </c>
      <c r="FP115" s="113">
        <v>0</v>
      </c>
      <c r="FQ115" s="113">
        <v>0</v>
      </c>
      <c r="FR115" s="113">
        <v>0</v>
      </c>
      <c r="FS115" s="113">
        <v>0</v>
      </c>
      <c r="FT115" s="113">
        <v>0</v>
      </c>
      <c r="FU115" s="113">
        <v>0</v>
      </c>
      <c r="FV115" s="113">
        <v>0</v>
      </c>
      <c r="FW115" s="113">
        <v>0</v>
      </c>
      <c r="FX115" s="32">
        <v>0</v>
      </c>
      <c r="FY115" s="30">
        <v>0</v>
      </c>
      <c r="FZ115" s="30">
        <v>0</v>
      </c>
    </row>
    <row r="116" spans="1:182" x14ac:dyDescent="0.2">
      <c r="A116" s="28">
        <v>35096</v>
      </c>
      <c r="B116" s="28"/>
      <c r="C116" s="29">
        <v>191663</v>
      </c>
      <c r="D116" s="29">
        <v>44700</v>
      </c>
      <c r="E116" s="29">
        <f t="shared" si="2"/>
        <v>236363</v>
      </c>
      <c r="F116" s="30">
        <v>6801637</v>
      </c>
      <c r="G116" s="30">
        <v>0</v>
      </c>
      <c r="H116" s="30">
        <f t="shared" si="3"/>
        <v>6801637</v>
      </c>
      <c r="I116" s="42" t="s">
        <v>75</v>
      </c>
      <c r="J116" s="42" t="s">
        <v>75</v>
      </c>
      <c r="K116" s="32">
        <v>3753453</v>
      </c>
      <c r="L116" s="31" t="s">
        <v>75</v>
      </c>
      <c r="M116" s="31" t="s">
        <v>75</v>
      </c>
      <c r="N116" s="30">
        <v>10546377</v>
      </c>
      <c r="O116" s="31" t="s">
        <v>75</v>
      </c>
      <c r="P116" s="31" t="s">
        <v>75</v>
      </c>
      <c r="Q116" s="30">
        <v>18316611</v>
      </c>
      <c r="R116" s="31" t="s">
        <v>75</v>
      </c>
      <c r="S116" s="31" t="s">
        <v>75</v>
      </c>
      <c r="T116" s="32">
        <v>132974</v>
      </c>
      <c r="U116" s="31" t="s">
        <v>75</v>
      </c>
      <c r="V116" s="31" t="s">
        <v>75</v>
      </c>
      <c r="W116" s="31" t="s">
        <v>75</v>
      </c>
      <c r="X116" s="31" t="s">
        <v>75</v>
      </c>
      <c r="Y116" s="31" t="s">
        <v>75</v>
      </c>
      <c r="Z116" s="30">
        <v>60505</v>
      </c>
      <c r="AA116" s="31" t="s">
        <v>75</v>
      </c>
      <c r="AB116" s="31" t="s">
        <v>75</v>
      </c>
      <c r="AC116" s="30">
        <v>269758</v>
      </c>
      <c r="AD116" s="31" t="s">
        <v>75</v>
      </c>
      <c r="AE116" s="31" t="s">
        <v>75</v>
      </c>
      <c r="AF116" s="30">
        <v>9507</v>
      </c>
      <c r="AG116" s="42" t="s">
        <v>75</v>
      </c>
      <c r="AH116" s="42" t="s">
        <v>75</v>
      </c>
      <c r="AI116" s="32">
        <v>59836</v>
      </c>
      <c r="AJ116" s="31" t="s">
        <v>75</v>
      </c>
      <c r="AK116" s="31" t="s">
        <v>75</v>
      </c>
      <c r="AL116" s="31" t="s">
        <v>75</v>
      </c>
      <c r="AM116" s="31"/>
      <c r="AN116" s="31"/>
      <c r="AO116" s="31"/>
      <c r="AP116" s="31"/>
      <c r="AQ116" s="31"/>
      <c r="AR116" s="31"/>
      <c r="AS116" s="31" t="s">
        <v>75</v>
      </c>
      <c r="AT116" s="31" t="s">
        <v>75</v>
      </c>
      <c r="AU116" s="31" t="s">
        <v>75</v>
      </c>
      <c r="AV116" s="31" t="s">
        <v>75</v>
      </c>
      <c r="AW116" s="31" t="s">
        <v>75</v>
      </c>
      <c r="AX116" s="31" t="s">
        <v>75</v>
      </c>
      <c r="AY116" s="31" t="s">
        <v>75</v>
      </c>
      <c r="AZ116" s="31" t="s">
        <v>75</v>
      </c>
      <c r="BA116" s="31" t="s">
        <v>75</v>
      </c>
      <c r="BB116" s="31" t="s">
        <v>75</v>
      </c>
      <c r="BC116" s="31" t="s">
        <v>75</v>
      </c>
      <c r="BD116" s="31" t="s">
        <v>75</v>
      </c>
      <c r="BE116" s="113">
        <v>0</v>
      </c>
      <c r="BF116" s="113">
        <v>0</v>
      </c>
      <c r="BG116" s="113">
        <v>0</v>
      </c>
      <c r="BH116" s="113">
        <v>0</v>
      </c>
      <c r="BI116" s="113">
        <v>0</v>
      </c>
      <c r="BJ116" s="113">
        <v>0</v>
      </c>
      <c r="BK116" s="113">
        <v>0</v>
      </c>
      <c r="BL116" s="113">
        <v>0</v>
      </c>
      <c r="BM116" s="113">
        <v>0</v>
      </c>
      <c r="BN116" s="113">
        <v>0</v>
      </c>
      <c r="BO116" s="113">
        <v>0</v>
      </c>
      <c r="BP116" s="113">
        <v>0</v>
      </c>
      <c r="BQ116" s="113">
        <v>0</v>
      </c>
      <c r="BR116" s="113">
        <v>0</v>
      </c>
      <c r="BS116" s="113">
        <v>0</v>
      </c>
      <c r="BT116" s="113">
        <v>0</v>
      </c>
      <c r="BU116" s="113">
        <v>0</v>
      </c>
      <c r="BV116" s="113">
        <v>0</v>
      </c>
      <c r="BW116" s="113"/>
      <c r="BX116" s="113"/>
      <c r="BY116" s="113"/>
      <c r="BZ116" s="113">
        <v>0</v>
      </c>
      <c r="CA116" s="113">
        <v>0</v>
      </c>
      <c r="CB116" s="113">
        <v>0</v>
      </c>
      <c r="CC116" s="113"/>
      <c r="CD116" s="113"/>
      <c r="CE116" s="113"/>
      <c r="CF116" s="113">
        <v>0</v>
      </c>
      <c r="CG116" s="113">
        <v>0</v>
      </c>
      <c r="CH116" s="113">
        <v>0</v>
      </c>
      <c r="CI116" s="113">
        <v>0</v>
      </c>
      <c r="CJ116" s="113">
        <v>0</v>
      </c>
      <c r="CK116" s="113">
        <v>0</v>
      </c>
      <c r="CL116" s="113">
        <v>0</v>
      </c>
      <c r="CM116" s="113">
        <v>0</v>
      </c>
      <c r="CN116" s="113">
        <v>0</v>
      </c>
      <c r="CO116" s="113">
        <v>0</v>
      </c>
      <c r="CP116" s="113">
        <v>0</v>
      </c>
      <c r="CQ116" s="113">
        <v>0</v>
      </c>
      <c r="CR116" s="113">
        <v>0</v>
      </c>
      <c r="CS116" s="113">
        <v>0</v>
      </c>
      <c r="CT116" s="113">
        <v>0</v>
      </c>
      <c r="CU116" s="113">
        <v>0</v>
      </c>
      <c r="CV116" s="113">
        <v>0</v>
      </c>
      <c r="CW116" s="113">
        <v>0</v>
      </c>
      <c r="CX116" s="113">
        <v>0</v>
      </c>
      <c r="CY116" s="113">
        <v>0</v>
      </c>
      <c r="CZ116" s="113">
        <v>0</v>
      </c>
      <c r="DA116" s="113">
        <v>0</v>
      </c>
      <c r="DB116" s="113">
        <v>0</v>
      </c>
      <c r="DC116" s="113">
        <v>0</v>
      </c>
      <c r="DD116" s="113">
        <v>0</v>
      </c>
      <c r="DE116" s="113">
        <v>0</v>
      </c>
      <c r="DF116" s="113">
        <v>0</v>
      </c>
      <c r="DG116" s="113">
        <v>0</v>
      </c>
      <c r="DH116" s="113">
        <v>0</v>
      </c>
      <c r="DI116" s="113">
        <v>0</v>
      </c>
      <c r="DJ116" s="113">
        <v>0</v>
      </c>
      <c r="DK116" s="113">
        <v>0</v>
      </c>
      <c r="DL116" s="113">
        <v>0</v>
      </c>
      <c r="DM116" s="113">
        <v>0</v>
      </c>
      <c r="DN116" s="113">
        <v>0</v>
      </c>
      <c r="DO116" s="113">
        <v>0</v>
      </c>
      <c r="DP116" s="113">
        <v>0</v>
      </c>
      <c r="DQ116" s="113">
        <v>0</v>
      </c>
      <c r="DR116" s="113">
        <v>0</v>
      </c>
      <c r="DS116" s="113">
        <v>0</v>
      </c>
      <c r="DT116" s="113">
        <v>0</v>
      </c>
      <c r="DU116" s="113">
        <v>0</v>
      </c>
      <c r="DV116" s="113">
        <v>0</v>
      </c>
      <c r="DW116" s="113">
        <v>0</v>
      </c>
      <c r="DX116" s="113">
        <v>0</v>
      </c>
      <c r="DY116" s="113">
        <v>0</v>
      </c>
      <c r="DZ116" s="113">
        <v>0</v>
      </c>
      <c r="EA116" s="113">
        <v>0</v>
      </c>
      <c r="EB116" s="113">
        <v>0</v>
      </c>
      <c r="EC116" s="113">
        <v>0</v>
      </c>
      <c r="ED116" s="113">
        <v>0</v>
      </c>
      <c r="EE116" s="113">
        <v>0</v>
      </c>
      <c r="EF116" s="113">
        <v>0</v>
      </c>
      <c r="EG116" s="113">
        <v>0</v>
      </c>
      <c r="EH116" s="113">
        <v>0</v>
      </c>
      <c r="EI116" s="113">
        <v>0</v>
      </c>
      <c r="EJ116" s="113">
        <v>0</v>
      </c>
      <c r="EK116" s="113">
        <v>0</v>
      </c>
      <c r="EL116" s="113">
        <v>0</v>
      </c>
      <c r="EM116" s="113">
        <v>0</v>
      </c>
      <c r="EN116" s="113">
        <v>0</v>
      </c>
      <c r="EO116" s="113">
        <v>0</v>
      </c>
      <c r="EP116" s="113">
        <v>0</v>
      </c>
      <c r="EQ116" s="113">
        <v>0</v>
      </c>
      <c r="ER116" s="113">
        <v>0</v>
      </c>
      <c r="ES116" s="113">
        <v>0</v>
      </c>
      <c r="ET116" s="113">
        <v>0</v>
      </c>
      <c r="EU116" s="113">
        <v>0</v>
      </c>
      <c r="EV116" s="113">
        <v>0</v>
      </c>
      <c r="EW116" s="113">
        <v>0</v>
      </c>
      <c r="EX116" s="113">
        <v>0</v>
      </c>
      <c r="EY116" s="113">
        <v>0</v>
      </c>
      <c r="EZ116" s="113">
        <v>0</v>
      </c>
      <c r="FA116" s="113">
        <v>0</v>
      </c>
      <c r="FB116" s="113">
        <v>0</v>
      </c>
      <c r="FC116" s="113">
        <v>0</v>
      </c>
      <c r="FD116" s="113">
        <v>0</v>
      </c>
      <c r="FE116" s="113">
        <v>0</v>
      </c>
      <c r="FF116" s="113">
        <v>0</v>
      </c>
      <c r="FG116" s="113">
        <v>0</v>
      </c>
      <c r="FH116" s="113">
        <v>0</v>
      </c>
      <c r="FI116" s="113">
        <v>0</v>
      </c>
      <c r="FJ116" s="113">
        <v>0</v>
      </c>
      <c r="FK116" s="113">
        <v>0</v>
      </c>
      <c r="FL116" s="113">
        <v>0</v>
      </c>
      <c r="FM116" s="113">
        <v>0</v>
      </c>
      <c r="FN116" s="113">
        <v>0</v>
      </c>
      <c r="FO116" s="113">
        <v>0</v>
      </c>
      <c r="FP116" s="113">
        <v>0</v>
      </c>
      <c r="FQ116" s="113">
        <v>0</v>
      </c>
      <c r="FR116" s="113">
        <v>0</v>
      </c>
      <c r="FS116" s="113">
        <v>0</v>
      </c>
      <c r="FT116" s="113">
        <v>0</v>
      </c>
      <c r="FU116" s="113">
        <v>0</v>
      </c>
      <c r="FV116" s="113">
        <v>0</v>
      </c>
      <c r="FW116" s="113">
        <v>0</v>
      </c>
      <c r="FX116" s="32">
        <v>0</v>
      </c>
      <c r="FY116" s="30">
        <v>0</v>
      </c>
      <c r="FZ116" s="30">
        <v>0</v>
      </c>
    </row>
    <row r="117" spans="1:182" x14ac:dyDescent="0.2">
      <c r="A117" s="28">
        <v>35125</v>
      </c>
      <c r="B117" s="28"/>
      <c r="C117" s="29">
        <v>214961</v>
      </c>
      <c r="D117" s="29">
        <v>135639</v>
      </c>
      <c r="E117" s="29">
        <f t="shared" si="2"/>
        <v>350600</v>
      </c>
      <c r="F117" s="30">
        <v>5765211</v>
      </c>
      <c r="G117" s="30">
        <v>0</v>
      </c>
      <c r="H117" s="30">
        <f t="shared" si="3"/>
        <v>5765211</v>
      </c>
      <c r="I117" s="42" t="s">
        <v>75</v>
      </c>
      <c r="J117" s="42" t="s">
        <v>75</v>
      </c>
      <c r="K117" s="32">
        <v>3841080</v>
      </c>
      <c r="L117" s="31" t="s">
        <v>75</v>
      </c>
      <c r="M117" s="31" t="s">
        <v>75</v>
      </c>
      <c r="N117" s="30">
        <v>10798324</v>
      </c>
      <c r="O117" s="31" t="s">
        <v>75</v>
      </c>
      <c r="P117" s="31" t="s">
        <v>75</v>
      </c>
      <c r="Q117" s="30">
        <v>16890172</v>
      </c>
      <c r="R117" s="31" t="s">
        <v>75</v>
      </c>
      <c r="S117" s="31" t="s">
        <v>75</v>
      </c>
      <c r="T117" s="32">
        <v>250245</v>
      </c>
      <c r="U117" s="31" t="s">
        <v>75</v>
      </c>
      <c r="V117" s="31" t="s">
        <v>75</v>
      </c>
      <c r="W117" s="31" t="s">
        <v>75</v>
      </c>
      <c r="X117" s="31" t="s">
        <v>75</v>
      </c>
      <c r="Y117" s="31" t="s">
        <v>75</v>
      </c>
      <c r="Z117" s="30">
        <v>65770</v>
      </c>
      <c r="AA117" s="31" t="s">
        <v>75</v>
      </c>
      <c r="AB117" s="31" t="s">
        <v>75</v>
      </c>
      <c r="AC117" s="30">
        <v>281570</v>
      </c>
      <c r="AD117" s="31" t="s">
        <v>75</v>
      </c>
      <c r="AE117" s="31" t="s">
        <v>75</v>
      </c>
      <c r="AF117" s="30">
        <v>11430</v>
      </c>
      <c r="AG117" s="42" t="s">
        <v>75</v>
      </c>
      <c r="AH117" s="42" t="s">
        <v>75</v>
      </c>
      <c r="AI117" s="32">
        <v>90070</v>
      </c>
      <c r="AJ117" s="31" t="s">
        <v>75</v>
      </c>
      <c r="AK117" s="31" t="s">
        <v>75</v>
      </c>
      <c r="AL117" s="31" t="s">
        <v>75</v>
      </c>
      <c r="AM117" s="31"/>
      <c r="AN117" s="31"/>
      <c r="AO117" s="31"/>
      <c r="AP117" s="31"/>
      <c r="AQ117" s="31"/>
      <c r="AR117" s="31"/>
      <c r="AS117" s="31" t="s">
        <v>75</v>
      </c>
      <c r="AT117" s="31" t="s">
        <v>75</v>
      </c>
      <c r="AU117" s="31" t="s">
        <v>75</v>
      </c>
      <c r="AV117" s="31" t="s">
        <v>75</v>
      </c>
      <c r="AW117" s="31" t="s">
        <v>75</v>
      </c>
      <c r="AX117" s="31" t="s">
        <v>75</v>
      </c>
      <c r="AY117" s="31" t="s">
        <v>75</v>
      </c>
      <c r="AZ117" s="31" t="s">
        <v>75</v>
      </c>
      <c r="BA117" s="31" t="s">
        <v>75</v>
      </c>
      <c r="BB117" s="31" t="s">
        <v>75</v>
      </c>
      <c r="BC117" s="31" t="s">
        <v>75</v>
      </c>
      <c r="BD117" s="31" t="s">
        <v>75</v>
      </c>
      <c r="BE117" s="113">
        <v>0</v>
      </c>
      <c r="BF117" s="113">
        <v>0</v>
      </c>
      <c r="BG117" s="113">
        <v>0</v>
      </c>
      <c r="BH117" s="113">
        <v>0</v>
      </c>
      <c r="BI117" s="113">
        <v>0</v>
      </c>
      <c r="BJ117" s="113">
        <v>0</v>
      </c>
      <c r="BK117" s="113">
        <v>0</v>
      </c>
      <c r="BL117" s="113">
        <v>0</v>
      </c>
      <c r="BM117" s="113">
        <v>0</v>
      </c>
      <c r="BN117" s="113">
        <v>0</v>
      </c>
      <c r="BO117" s="113">
        <v>0</v>
      </c>
      <c r="BP117" s="113">
        <v>0</v>
      </c>
      <c r="BQ117" s="113">
        <v>0</v>
      </c>
      <c r="BR117" s="113">
        <v>0</v>
      </c>
      <c r="BS117" s="113">
        <v>0</v>
      </c>
      <c r="BT117" s="113">
        <v>0</v>
      </c>
      <c r="BU117" s="113">
        <v>0</v>
      </c>
      <c r="BV117" s="113">
        <v>0</v>
      </c>
      <c r="BW117" s="113"/>
      <c r="BX117" s="113"/>
      <c r="BY117" s="113"/>
      <c r="BZ117" s="113">
        <v>0</v>
      </c>
      <c r="CA117" s="113">
        <v>0</v>
      </c>
      <c r="CB117" s="113">
        <v>0</v>
      </c>
      <c r="CC117" s="113"/>
      <c r="CD117" s="113"/>
      <c r="CE117" s="113"/>
      <c r="CF117" s="113">
        <v>0</v>
      </c>
      <c r="CG117" s="113">
        <v>0</v>
      </c>
      <c r="CH117" s="113">
        <v>0</v>
      </c>
      <c r="CI117" s="113">
        <v>0</v>
      </c>
      <c r="CJ117" s="113">
        <v>0</v>
      </c>
      <c r="CK117" s="113">
        <v>0</v>
      </c>
      <c r="CL117" s="113">
        <v>0</v>
      </c>
      <c r="CM117" s="113">
        <v>0</v>
      </c>
      <c r="CN117" s="113">
        <v>0</v>
      </c>
      <c r="CO117" s="113">
        <v>0</v>
      </c>
      <c r="CP117" s="113">
        <v>0</v>
      </c>
      <c r="CQ117" s="113">
        <v>0</v>
      </c>
      <c r="CR117" s="113">
        <v>0</v>
      </c>
      <c r="CS117" s="113">
        <v>0</v>
      </c>
      <c r="CT117" s="113">
        <v>0</v>
      </c>
      <c r="CU117" s="113">
        <v>0</v>
      </c>
      <c r="CV117" s="113">
        <v>0</v>
      </c>
      <c r="CW117" s="113">
        <v>0</v>
      </c>
      <c r="CX117" s="113">
        <v>0</v>
      </c>
      <c r="CY117" s="113">
        <v>0</v>
      </c>
      <c r="CZ117" s="113">
        <v>0</v>
      </c>
      <c r="DA117" s="113">
        <v>0</v>
      </c>
      <c r="DB117" s="113">
        <v>0</v>
      </c>
      <c r="DC117" s="113">
        <v>0</v>
      </c>
      <c r="DD117" s="113">
        <v>0</v>
      </c>
      <c r="DE117" s="113">
        <v>0</v>
      </c>
      <c r="DF117" s="113">
        <v>0</v>
      </c>
      <c r="DG117" s="113">
        <v>0</v>
      </c>
      <c r="DH117" s="113">
        <v>0</v>
      </c>
      <c r="DI117" s="113">
        <v>0</v>
      </c>
      <c r="DJ117" s="113">
        <v>0</v>
      </c>
      <c r="DK117" s="113">
        <v>0</v>
      </c>
      <c r="DL117" s="113">
        <v>0</v>
      </c>
      <c r="DM117" s="113">
        <v>0</v>
      </c>
      <c r="DN117" s="113">
        <v>0</v>
      </c>
      <c r="DO117" s="113">
        <v>0</v>
      </c>
      <c r="DP117" s="113">
        <v>0</v>
      </c>
      <c r="DQ117" s="113">
        <v>0</v>
      </c>
      <c r="DR117" s="113">
        <v>0</v>
      </c>
      <c r="DS117" s="113">
        <v>0</v>
      </c>
      <c r="DT117" s="113">
        <v>0</v>
      </c>
      <c r="DU117" s="113">
        <v>0</v>
      </c>
      <c r="DV117" s="113">
        <v>0</v>
      </c>
      <c r="DW117" s="113">
        <v>0</v>
      </c>
      <c r="DX117" s="113">
        <v>0</v>
      </c>
      <c r="DY117" s="113">
        <v>0</v>
      </c>
      <c r="DZ117" s="113">
        <v>0</v>
      </c>
      <c r="EA117" s="113">
        <v>0</v>
      </c>
      <c r="EB117" s="113">
        <v>0</v>
      </c>
      <c r="EC117" s="113">
        <v>0</v>
      </c>
      <c r="ED117" s="113">
        <v>0</v>
      </c>
      <c r="EE117" s="113">
        <v>0</v>
      </c>
      <c r="EF117" s="113">
        <v>0</v>
      </c>
      <c r="EG117" s="113">
        <v>0</v>
      </c>
      <c r="EH117" s="113">
        <v>0</v>
      </c>
      <c r="EI117" s="113">
        <v>0</v>
      </c>
      <c r="EJ117" s="113">
        <v>0</v>
      </c>
      <c r="EK117" s="113">
        <v>0</v>
      </c>
      <c r="EL117" s="113">
        <v>0</v>
      </c>
      <c r="EM117" s="113">
        <v>0</v>
      </c>
      <c r="EN117" s="113">
        <v>0</v>
      </c>
      <c r="EO117" s="113">
        <v>0</v>
      </c>
      <c r="EP117" s="113">
        <v>0</v>
      </c>
      <c r="EQ117" s="113">
        <v>0</v>
      </c>
      <c r="ER117" s="113">
        <v>0</v>
      </c>
      <c r="ES117" s="113">
        <v>0</v>
      </c>
      <c r="ET117" s="113">
        <v>0</v>
      </c>
      <c r="EU117" s="113">
        <v>0</v>
      </c>
      <c r="EV117" s="113">
        <v>0</v>
      </c>
      <c r="EW117" s="113">
        <v>0</v>
      </c>
      <c r="EX117" s="113">
        <v>0</v>
      </c>
      <c r="EY117" s="113">
        <v>0</v>
      </c>
      <c r="EZ117" s="113">
        <v>0</v>
      </c>
      <c r="FA117" s="113">
        <v>0</v>
      </c>
      <c r="FB117" s="113">
        <v>0</v>
      </c>
      <c r="FC117" s="113">
        <v>0</v>
      </c>
      <c r="FD117" s="113">
        <v>0</v>
      </c>
      <c r="FE117" s="113">
        <v>0</v>
      </c>
      <c r="FF117" s="113">
        <v>0</v>
      </c>
      <c r="FG117" s="113">
        <v>0</v>
      </c>
      <c r="FH117" s="113">
        <v>0</v>
      </c>
      <c r="FI117" s="113">
        <v>0</v>
      </c>
      <c r="FJ117" s="113">
        <v>0</v>
      </c>
      <c r="FK117" s="113">
        <v>0</v>
      </c>
      <c r="FL117" s="113">
        <v>0</v>
      </c>
      <c r="FM117" s="113">
        <v>0</v>
      </c>
      <c r="FN117" s="113">
        <v>0</v>
      </c>
      <c r="FO117" s="113">
        <v>0</v>
      </c>
      <c r="FP117" s="113">
        <v>0</v>
      </c>
      <c r="FQ117" s="113">
        <v>0</v>
      </c>
      <c r="FR117" s="113">
        <v>0</v>
      </c>
      <c r="FS117" s="113">
        <v>0</v>
      </c>
      <c r="FT117" s="113">
        <v>0</v>
      </c>
      <c r="FU117" s="113">
        <v>0</v>
      </c>
      <c r="FV117" s="113">
        <v>0</v>
      </c>
      <c r="FW117" s="113">
        <v>0</v>
      </c>
      <c r="FX117" s="32">
        <v>0</v>
      </c>
      <c r="FY117" s="30">
        <v>0</v>
      </c>
      <c r="FZ117" s="30">
        <v>0</v>
      </c>
    </row>
    <row r="118" spans="1:182" x14ac:dyDescent="0.2">
      <c r="A118" s="28">
        <v>35156</v>
      </c>
      <c r="B118" s="28"/>
      <c r="C118" s="29">
        <v>252647</v>
      </c>
      <c r="D118" s="29">
        <v>84625</v>
      </c>
      <c r="E118" s="29">
        <f t="shared" si="2"/>
        <v>337272</v>
      </c>
      <c r="F118" s="30">
        <v>4467156</v>
      </c>
      <c r="G118" s="30">
        <v>0</v>
      </c>
      <c r="H118" s="30">
        <f t="shared" si="3"/>
        <v>4467156</v>
      </c>
      <c r="I118" s="42" t="s">
        <v>75</v>
      </c>
      <c r="J118" s="42" t="s">
        <v>75</v>
      </c>
      <c r="K118" s="32">
        <v>3023978</v>
      </c>
      <c r="L118" s="31" t="s">
        <v>75</v>
      </c>
      <c r="M118" s="31" t="s">
        <v>75</v>
      </c>
      <c r="N118" s="30">
        <v>8827611</v>
      </c>
      <c r="O118" s="31" t="s">
        <v>75</v>
      </c>
      <c r="P118" s="31" t="s">
        <v>75</v>
      </c>
      <c r="Q118" s="30">
        <v>13926224</v>
      </c>
      <c r="R118" s="31" t="s">
        <v>75</v>
      </c>
      <c r="S118" s="31" t="s">
        <v>75</v>
      </c>
      <c r="T118" s="32">
        <v>275375</v>
      </c>
      <c r="U118" s="31" t="s">
        <v>75</v>
      </c>
      <c r="V118" s="31" t="s">
        <v>75</v>
      </c>
      <c r="W118" s="31" t="s">
        <v>75</v>
      </c>
      <c r="X118" s="31" t="s">
        <v>75</v>
      </c>
      <c r="Y118" s="31" t="s">
        <v>75</v>
      </c>
      <c r="Z118" s="30">
        <v>83642</v>
      </c>
      <c r="AA118" s="31" t="s">
        <v>75</v>
      </c>
      <c r="AB118" s="31" t="s">
        <v>75</v>
      </c>
      <c r="AC118" s="30">
        <v>272454</v>
      </c>
      <c r="AD118" s="31" t="s">
        <v>75</v>
      </c>
      <c r="AE118" s="31" t="s">
        <v>75</v>
      </c>
      <c r="AF118" s="30">
        <v>14808</v>
      </c>
      <c r="AG118" s="42" t="s">
        <v>75</v>
      </c>
      <c r="AH118" s="42" t="s">
        <v>75</v>
      </c>
      <c r="AI118" s="32">
        <v>76446</v>
      </c>
      <c r="AJ118" s="31" t="s">
        <v>75</v>
      </c>
      <c r="AK118" s="31" t="s">
        <v>75</v>
      </c>
      <c r="AL118" s="31" t="s">
        <v>75</v>
      </c>
      <c r="AM118" s="31"/>
      <c r="AN118" s="31"/>
      <c r="AO118" s="31"/>
      <c r="AP118" s="31"/>
      <c r="AQ118" s="31"/>
      <c r="AR118" s="31"/>
      <c r="AS118" s="31" t="s">
        <v>75</v>
      </c>
      <c r="AT118" s="31" t="s">
        <v>75</v>
      </c>
      <c r="AU118" s="31" t="s">
        <v>75</v>
      </c>
      <c r="AV118" s="31" t="s">
        <v>75</v>
      </c>
      <c r="AW118" s="31" t="s">
        <v>75</v>
      </c>
      <c r="AX118" s="31" t="s">
        <v>75</v>
      </c>
      <c r="AY118" s="31" t="s">
        <v>75</v>
      </c>
      <c r="AZ118" s="31" t="s">
        <v>75</v>
      </c>
      <c r="BA118" s="31" t="s">
        <v>75</v>
      </c>
      <c r="BB118" s="31" t="s">
        <v>75</v>
      </c>
      <c r="BC118" s="31" t="s">
        <v>75</v>
      </c>
      <c r="BD118" s="31" t="s">
        <v>75</v>
      </c>
      <c r="BE118" s="113">
        <v>0</v>
      </c>
      <c r="BF118" s="113">
        <v>0</v>
      </c>
      <c r="BG118" s="113">
        <v>0</v>
      </c>
      <c r="BH118" s="113">
        <v>0</v>
      </c>
      <c r="BI118" s="113">
        <v>0</v>
      </c>
      <c r="BJ118" s="113">
        <v>0</v>
      </c>
      <c r="BK118" s="113">
        <v>0</v>
      </c>
      <c r="BL118" s="113">
        <v>0</v>
      </c>
      <c r="BM118" s="113">
        <v>0</v>
      </c>
      <c r="BN118" s="113">
        <v>0</v>
      </c>
      <c r="BO118" s="113">
        <v>0</v>
      </c>
      <c r="BP118" s="113">
        <v>0</v>
      </c>
      <c r="BQ118" s="113">
        <v>0</v>
      </c>
      <c r="BR118" s="113">
        <v>0</v>
      </c>
      <c r="BS118" s="113">
        <v>0</v>
      </c>
      <c r="BT118" s="113">
        <v>0</v>
      </c>
      <c r="BU118" s="113">
        <v>0</v>
      </c>
      <c r="BV118" s="113">
        <v>0</v>
      </c>
      <c r="BW118" s="113"/>
      <c r="BX118" s="113"/>
      <c r="BY118" s="113"/>
      <c r="BZ118" s="113">
        <v>0</v>
      </c>
      <c r="CA118" s="113">
        <v>0</v>
      </c>
      <c r="CB118" s="113">
        <v>0</v>
      </c>
      <c r="CC118" s="113"/>
      <c r="CD118" s="113"/>
      <c r="CE118" s="113"/>
      <c r="CF118" s="113">
        <v>0</v>
      </c>
      <c r="CG118" s="113">
        <v>0</v>
      </c>
      <c r="CH118" s="113">
        <v>0</v>
      </c>
      <c r="CI118" s="113">
        <v>0</v>
      </c>
      <c r="CJ118" s="113">
        <v>0</v>
      </c>
      <c r="CK118" s="113">
        <v>0</v>
      </c>
      <c r="CL118" s="113">
        <v>0</v>
      </c>
      <c r="CM118" s="113">
        <v>0</v>
      </c>
      <c r="CN118" s="113">
        <v>0</v>
      </c>
      <c r="CO118" s="113">
        <v>0</v>
      </c>
      <c r="CP118" s="113">
        <v>0</v>
      </c>
      <c r="CQ118" s="113">
        <v>0</v>
      </c>
      <c r="CR118" s="113">
        <v>0</v>
      </c>
      <c r="CS118" s="113">
        <v>0</v>
      </c>
      <c r="CT118" s="113">
        <v>0</v>
      </c>
      <c r="CU118" s="113">
        <v>0</v>
      </c>
      <c r="CV118" s="113">
        <v>0</v>
      </c>
      <c r="CW118" s="113">
        <v>0</v>
      </c>
      <c r="CX118" s="113">
        <v>0</v>
      </c>
      <c r="CY118" s="113">
        <v>0</v>
      </c>
      <c r="CZ118" s="113">
        <v>0</v>
      </c>
      <c r="DA118" s="113">
        <v>0</v>
      </c>
      <c r="DB118" s="113">
        <v>0</v>
      </c>
      <c r="DC118" s="113">
        <v>0</v>
      </c>
      <c r="DD118" s="113">
        <v>0</v>
      </c>
      <c r="DE118" s="113">
        <v>0</v>
      </c>
      <c r="DF118" s="113">
        <v>0</v>
      </c>
      <c r="DG118" s="113">
        <v>0</v>
      </c>
      <c r="DH118" s="113">
        <v>0</v>
      </c>
      <c r="DI118" s="113">
        <v>0</v>
      </c>
      <c r="DJ118" s="113">
        <v>0</v>
      </c>
      <c r="DK118" s="113">
        <v>0</v>
      </c>
      <c r="DL118" s="113">
        <v>0</v>
      </c>
      <c r="DM118" s="113">
        <v>0</v>
      </c>
      <c r="DN118" s="113">
        <v>0</v>
      </c>
      <c r="DO118" s="113">
        <v>0</v>
      </c>
      <c r="DP118" s="113">
        <v>0</v>
      </c>
      <c r="DQ118" s="113">
        <v>0</v>
      </c>
      <c r="DR118" s="113">
        <v>0</v>
      </c>
      <c r="DS118" s="113">
        <v>0</v>
      </c>
      <c r="DT118" s="113">
        <v>0</v>
      </c>
      <c r="DU118" s="113">
        <v>0</v>
      </c>
      <c r="DV118" s="113">
        <v>0</v>
      </c>
      <c r="DW118" s="113">
        <v>0</v>
      </c>
      <c r="DX118" s="113">
        <v>0</v>
      </c>
      <c r="DY118" s="113">
        <v>0</v>
      </c>
      <c r="DZ118" s="113">
        <v>0</v>
      </c>
      <c r="EA118" s="113">
        <v>0</v>
      </c>
      <c r="EB118" s="113">
        <v>0</v>
      </c>
      <c r="EC118" s="113">
        <v>0</v>
      </c>
      <c r="ED118" s="113">
        <v>0</v>
      </c>
      <c r="EE118" s="113">
        <v>0</v>
      </c>
      <c r="EF118" s="113">
        <v>0</v>
      </c>
      <c r="EG118" s="113">
        <v>0</v>
      </c>
      <c r="EH118" s="113">
        <v>0</v>
      </c>
      <c r="EI118" s="113">
        <v>0</v>
      </c>
      <c r="EJ118" s="113">
        <v>0</v>
      </c>
      <c r="EK118" s="113">
        <v>0</v>
      </c>
      <c r="EL118" s="113">
        <v>0</v>
      </c>
      <c r="EM118" s="113">
        <v>0</v>
      </c>
      <c r="EN118" s="113">
        <v>0</v>
      </c>
      <c r="EO118" s="113">
        <v>0</v>
      </c>
      <c r="EP118" s="113">
        <v>0</v>
      </c>
      <c r="EQ118" s="113">
        <v>0</v>
      </c>
      <c r="ER118" s="113">
        <v>0</v>
      </c>
      <c r="ES118" s="113">
        <v>0</v>
      </c>
      <c r="ET118" s="113">
        <v>0</v>
      </c>
      <c r="EU118" s="113">
        <v>0</v>
      </c>
      <c r="EV118" s="113">
        <v>0</v>
      </c>
      <c r="EW118" s="113">
        <v>0</v>
      </c>
      <c r="EX118" s="113">
        <v>0</v>
      </c>
      <c r="EY118" s="113">
        <v>0</v>
      </c>
      <c r="EZ118" s="113">
        <v>0</v>
      </c>
      <c r="FA118" s="113">
        <v>0</v>
      </c>
      <c r="FB118" s="113">
        <v>0</v>
      </c>
      <c r="FC118" s="113">
        <v>0</v>
      </c>
      <c r="FD118" s="113">
        <v>0</v>
      </c>
      <c r="FE118" s="113">
        <v>0</v>
      </c>
      <c r="FF118" s="113">
        <v>0</v>
      </c>
      <c r="FG118" s="113">
        <v>0</v>
      </c>
      <c r="FH118" s="113">
        <v>0</v>
      </c>
      <c r="FI118" s="113">
        <v>0</v>
      </c>
      <c r="FJ118" s="113">
        <v>0</v>
      </c>
      <c r="FK118" s="113">
        <v>0</v>
      </c>
      <c r="FL118" s="113">
        <v>0</v>
      </c>
      <c r="FM118" s="113">
        <v>0</v>
      </c>
      <c r="FN118" s="113">
        <v>0</v>
      </c>
      <c r="FO118" s="113">
        <v>0</v>
      </c>
      <c r="FP118" s="113">
        <v>0</v>
      </c>
      <c r="FQ118" s="113">
        <v>0</v>
      </c>
      <c r="FR118" s="113">
        <v>0</v>
      </c>
      <c r="FS118" s="113">
        <v>0</v>
      </c>
      <c r="FT118" s="113">
        <v>0</v>
      </c>
      <c r="FU118" s="113">
        <v>0</v>
      </c>
      <c r="FV118" s="113">
        <v>0</v>
      </c>
      <c r="FW118" s="113">
        <v>0</v>
      </c>
      <c r="FX118" s="32">
        <v>0</v>
      </c>
      <c r="FY118" s="30">
        <v>0</v>
      </c>
      <c r="FZ118" s="30">
        <v>0</v>
      </c>
    </row>
    <row r="119" spans="1:182" x14ac:dyDescent="0.2">
      <c r="A119" s="28">
        <v>35186</v>
      </c>
      <c r="B119" s="28"/>
      <c r="C119" s="29">
        <v>199892</v>
      </c>
      <c r="D119" s="29">
        <v>139001</v>
      </c>
      <c r="E119" s="29">
        <f t="shared" si="2"/>
        <v>338893</v>
      </c>
      <c r="F119" s="30">
        <v>3458715</v>
      </c>
      <c r="G119" s="30">
        <v>0</v>
      </c>
      <c r="H119" s="30">
        <f t="shared" si="3"/>
        <v>3458715</v>
      </c>
      <c r="I119" s="42" t="s">
        <v>75</v>
      </c>
      <c r="J119" s="42" t="s">
        <v>75</v>
      </c>
      <c r="K119" s="32">
        <v>2609897</v>
      </c>
      <c r="L119" s="31" t="s">
        <v>75</v>
      </c>
      <c r="M119" s="31" t="s">
        <v>75</v>
      </c>
      <c r="N119" s="30">
        <v>8951551</v>
      </c>
      <c r="O119" s="31" t="s">
        <v>75</v>
      </c>
      <c r="P119" s="31" t="s">
        <v>75</v>
      </c>
      <c r="Q119" s="30">
        <v>12363601</v>
      </c>
      <c r="R119" s="31" t="s">
        <v>75</v>
      </c>
      <c r="S119" s="31" t="s">
        <v>75</v>
      </c>
      <c r="T119" s="32">
        <v>289621</v>
      </c>
      <c r="U119" s="31" t="s">
        <v>75</v>
      </c>
      <c r="V119" s="31" t="s">
        <v>75</v>
      </c>
      <c r="W119" s="31" t="s">
        <v>75</v>
      </c>
      <c r="X119" s="31" t="s">
        <v>75</v>
      </c>
      <c r="Y119" s="31" t="s">
        <v>75</v>
      </c>
      <c r="Z119" s="30">
        <v>84126</v>
      </c>
      <c r="AA119" s="31" t="s">
        <v>75</v>
      </c>
      <c r="AB119" s="31" t="s">
        <v>75</v>
      </c>
      <c r="AC119" s="30">
        <v>184317</v>
      </c>
      <c r="AD119" s="31" t="s">
        <v>75</v>
      </c>
      <c r="AE119" s="31" t="s">
        <v>75</v>
      </c>
      <c r="AF119" s="30">
        <v>10049</v>
      </c>
      <c r="AG119" s="42" t="s">
        <v>75</v>
      </c>
      <c r="AH119" s="42" t="s">
        <v>75</v>
      </c>
      <c r="AI119" s="32">
        <v>86526</v>
      </c>
      <c r="AJ119" s="31" t="s">
        <v>75</v>
      </c>
      <c r="AK119" s="31" t="s">
        <v>75</v>
      </c>
      <c r="AL119" s="31" t="s">
        <v>75</v>
      </c>
      <c r="AM119" s="31"/>
      <c r="AN119" s="31"/>
      <c r="AO119" s="31"/>
      <c r="AP119" s="31"/>
      <c r="AQ119" s="31"/>
      <c r="AR119" s="31"/>
      <c r="AS119" s="31" t="s">
        <v>75</v>
      </c>
      <c r="AT119" s="31" t="s">
        <v>75</v>
      </c>
      <c r="AU119" s="31" t="s">
        <v>75</v>
      </c>
      <c r="AV119" s="31" t="s">
        <v>75</v>
      </c>
      <c r="AW119" s="31" t="s">
        <v>75</v>
      </c>
      <c r="AX119" s="31" t="s">
        <v>75</v>
      </c>
      <c r="AY119" s="31" t="s">
        <v>75</v>
      </c>
      <c r="AZ119" s="31" t="s">
        <v>75</v>
      </c>
      <c r="BA119" s="31" t="s">
        <v>75</v>
      </c>
      <c r="BB119" s="31" t="s">
        <v>75</v>
      </c>
      <c r="BC119" s="31" t="s">
        <v>75</v>
      </c>
      <c r="BD119" s="31" t="s">
        <v>75</v>
      </c>
      <c r="BE119" s="113">
        <v>0</v>
      </c>
      <c r="BF119" s="113">
        <v>0</v>
      </c>
      <c r="BG119" s="113">
        <v>0</v>
      </c>
      <c r="BH119" s="113">
        <v>0</v>
      </c>
      <c r="BI119" s="113">
        <v>0</v>
      </c>
      <c r="BJ119" s="113">
        <v>0</v>
      </c>
      <c r="BK119" s="113">
        <v>0</v>
      </c>
      <c r="BL119" s="113">
        <v>0</v>
      </c>
      <c r="BM119" s="113">
        <v>0</v>
      </c>
      <c r="BN119" s="113">
        <v>0</v>
      </c>
      <c r="BO119" s="113">
        <v>0</v>
      </c>
      <c r="BP119" s="113">
        <v>0</v>
      </c>
      <c r="BQ119" s="113">
        <v>0</v>
      </c>
      <c r="BR119" s="113">
        <v>0</v>
      </c>
      <c r="BS119" s="113">
        <v>0</v>
      </c>
      <c r="BT119" s="113">
        <v>0</v>
      </c>
      <c r="BU119" s="113">
        <v>0</v>
      </c>
      <c r="BV119" s="113">
        <v>0</v>
      </c>
      <c r="BW119" s="113"/>
      <c r="BX119" s="113"/>
      <c r="BY119" s="113"/>
      <c r="BZ119" s="113">
        <v>0</v>
      </c>
      <c r="CA119" s="113">
        <v>0</v>
      </c>
      <c r="CB119" s="113">
        <v>0</v>
      </c>
      <c r="CC119" s="113"/>
      <c r="CD119" s="113"/>
      <c r="CE119" s="113"/>
      <c r="CF119" s="113">
        <v>0</v>
      </c>
      <c r="CG119" s="113">
        <v>0</v>
      </c>
      <c r="CH119" s="113">
        <v>0</v>
      </c>
      <c r="CI119" s="113">
        <v>0</v>
      </c>
      <c r="CJ119" s="113">
        <v>0</v>
      </c>
      <c r="CK119" s="113">
        <v>0</v>
      </c>
      <c r="CL119" s="113">
        <v>0</v>
      </c>
      <c r="CM119" s="113">
        <v>0</v>
      </c>
      <c r="CN119" s="113">
        <v>0</v>
      </c>
      <c r="CO119" s="113">
        <v>0</v>
      </c>
      <c r="CP119" s="113">
        <v>0</v>
      </c>
      <c r="CQ119" s="113">
        <v>0</v>
      </c>
      <c r="CR119" s="113">
        <v>0</v>
      </c>
      <c r="CS119" s="113">
        <v>0</v>
      </c>
      <c r="CT119" s="113">
        <v>0</v>
      </c>
      <c r="CU119" s="113">
        <v>0</v>
      </c>
      <c r="CV119" s="113">
        <v>0</v>
      </c>
      <c r="CW119" s="113">
        <v>0</v>
      </c>
      <c r="CX119" s="113">
        <v>0</v>
      </c>
      <c r="CY119" s="113">
        <v>0</v>
      </c>
      <c r="CZ119" s="113">
        <v>0</v>
      </c>
      <c r="DA119" s="113">
        <v>0</v>
      </c>
      <c r="DB119" s="113">
        <v>0</v>
      </c>
      <c r="DC119" s="113">
        <v>0</v>
      </c>
      <c r="DD119" s="113">
        <v>0</v>
      </c>
      <c r="DE119" s="113">
        <v>0</v>
      </c>
      <c r="DF119" s="113">
        <v>0</v>
      </c>
      <c r="DG119" s="113">
        <v>0</v>
      </c>
      <c r="DH119" s="113">
        <v>0</v>
      </c>
      <c r="DI119" s="113">
        <v>0</v>
      </c>
      <c r="DJ119" s="113">
        <v>0</v>
      </c>
      <c r="DK119" s="113">
        <v>0</v>
      </c>
      <c r="DL119" s="113">
        <v>0</v>
      </c>
      <c r="DM119" s="113">
        <v>0</v>
      </c>
      <c r="DN119" s="113">
        <v>0</v>
      </c>
      <c r="DO119" s="113">
        <v>0</v>
      </c>
      <c r="DP119" s="113">
        <v>0</v>
      </c>
      <c r="DQ119" s="113">
        <v>0</v>
      </c>
      <c r="DR119" s="113">
        <v>0</v>
      </c>
      <c r="DS119" s="113">
        <v>0</v>
      </c>
      <c r="DT119" s="113">
        <v>0</v>
      </c>
      <c r="DU119" s="113">
        <v>0</v>
      </c>
      <c r="DV119" s="113">
        <v>0</v>
      </c>
      <c r="DW119" s="113">
        <v>0</v>
      </c>
      <c r="DX119" s="113">
        <v>0</v>
      </c>
      <c r="DY119" s="113">
        <v>0</v>
      </c>
      <c r="DZ119" s="113">
        <v>0</v>
      </c>
      <c r="EA119" s="113">
        <v>0</v>
      </c>
      <c r="EB119" s="113">
        <v>0</v>
      </c>
      <c r="EC119" s="113">
        <v>0</v>
      </c>
      <c r="ED119" s="113">
        <v>0</v>
      </c>
      <c r="EE119" s="113">
        <v>0</v>
      </c>
      <c r="EF119" s="113">
        <v>0</v>
      </c>
      <c r="EG119" s="113">
        <v>0</v>
      </c>
      <c r="EH119" s="113">
        <v>0</v>
      </c>
      <c r="EI119" s="113">
        <v>0</v>
      </c>
      <c r="EJ119" s="113">
        <v>0</v>
      </c>
      <c r="EK119" s="113">
        <v>0</v>
      </c>
      <c r="EL119" s="113">
        <v>0</v>
      </c>
      <c r="EM119" s="113">
        <v>0</v>
      </c>
      <c r="EN119" s="113">
        <v>0</v>
      </c>
      <c r="EO119" s="113">
        <v>0</v>
      </c>
      <c r="EP119" s="113">
        <v>0</v>
      </c>
      <c r="EQ119" s="113">
        <v>0</v>
      </c>
      <c r="ER119" s="113">
        <v>0</v>
      </c>
      <c r="ES119" s="113">
        <v>0</v>
      </c>
      <c r="ET119" s="113">
        <v>0</v>
      </c>
      <c r="EU119" s="113">
        <v>0</v>
      </c>
      <c r="EV119" s="113">
        <v>0</v>
      </c>
      <c r="EW119" s="113">
        <v>0</v>
      </c>
      <c r="EX119" s="113">
        <v>0</v>
      </c>
      <c r="EY119" s="113">
        <v>0</v>
      </c>
      <c r="EZ119" s="113">
        <v>0</v>
      </c>
      <c r="FA119" s="113">
        <v>0</v>
      </c>
      <c r="FB119" s="113">
        <v>0</v>
      </c>
      <c r="FC119" s="113">
        <v>0</v>
      </c>
      <c r="FD119" s="113">
        <v>0</v>
      </c>
      <c r="FE119" s="113">
        <v>0</v>
      </c>
      <c r="FF119" s="113">
        <v>0</v>
      </c>
      <c r="FG119" s="113">
        <v>0</v>
      </c>
      <c r="FH119" s="113">
        <v>0</v>
      </c>
      <c r="FI119" s="113">
        <v>0</v>
      </c>
      <c r="FJ119" s="113">
        <v>0</v>
      </c>
      <c r="FK119" s="113">
        <v>0</v>
      </c>
      <c r="FL119" s="113">
        <v>0</v>
      </c>
      <c r="FM119" s="113">
        <v>0</v>
      </c>
      <c r="FN119" s="113">
        <v>0</v>
      </c>
      <c r="FO119" s="113">
        <v>0</v>
      </c>
      <c r="FP119" s="113">
        <v>0</v>
      </c>
      <c r="FQ119" s="113">
        <v>0</v>
      </c>
      <c r="FR119" s="113">
        <v>0</v>
      </c>
      <c r="FS119" s="113">
        <v>0</v>
      </c>
      <c r="FT119" s="113">
        <v>0</v>
      </c>
      <c r="FU119" s="113">
        <v>0</v>
      </c>
      <c r="FV119" s="113">
        <v>0</v>
      </c>
      <c r="FW119" s="113">
        <v>0</v>
      </c>
      <c r="FX119" s="32">
        <v>0</v>
      </c>
      <c r="FY119" s="30">
        <v>0</v>
      </c>
      <c r="FZ119" s="30">
        <v>0</v>
      </c>
    </row>
    <row r="120" spans="1:182" x14ac:dyDescent="0.2">
      <c r="A120" s="28">
        <v>35217</v>
      </c>
      <c r="B120" s="28"/>
      <c r="C120" s="29">
        <v>290533</v>
      </c>
      <c r="D120" s="29">
        <v>131604</v>
      </c>
      <c r="E120" s="29">
        <f t="shared" si="2"/>
        <v>422137</v>
      </c>
      <c r="F120" s="30">
        <v>2636677</v>
      </c>
      <c r="G120" s="30">
        <v>0</v>
      </c>
      <c r="H120" s="30">
        <f t="shared" si="3"/>
        <v>2636677</v>
      </c>
      <c r="I120" s="42" t="s">
        <v>75</v>
      </c>
      <c r="J120" s="42" t="s">
        <v>75</v>
      </c>
      <c r="K120" s="32">
        <v>2470365</v>
      </c>
      <c r="L120" s="31" t="s">
        <v>75</v>
      </c>
      <c r="M120" s="31" t="s">
        <v>75</v>
      </c>
      <c r="N120" s="30">
        <v>9476326</v>
      </c>
      <c r="O120" s="31" t="s">
        <v>75</v>
      </c>
      <c r="P120" s="31" t="s">
        <v>75</v>
      </c>
      <c r="Q120" s="30">
        <v>10109752</v>
      </c>
      <c r="R120" s="31" t="s">
        <v>75</v>
      </c>
      <c r="S120" s="31" t="s">
        <v>75</v>
      </c>
      <c r="T120" s="32">
        <v>317247</v>
      </c>
      <c r="U120" s="31" t="s">
        <v>75</v>
      </c>
      <c r="V120" s="31" t="s">
        <v>75</v>
      </c>
      <c r="W120" s="31" t="s">
        <v>75</v>
      </c>
      <c r="X120" s="31" t="s">
        <v>75</v>
      </c>
      <c r="Y120" s="31" t="s">
        <v>75</v>
      </c>
      <c r="Z120" s="30">
        <v>110637</v>
      </c>
      <c r="AA120" s="31" t="s">
        <v>75</v>
      </c>
      <c r="AB120" s="31" t="s">
        <v>75</v>
      </c>
      <c r="AC120" s="30">
        <v>254747</v>
      </c>
      <c r="AD120" s="31" t="s">
        <v>75</v>
      </c>
      <c r="AE120" s="31" t="s">
        <v>75</v>
      </c>
      <c r="AF120" s="30">
        <v>12743</v>
      </c>
      <c r="AG120" s="42" t="s">
        <v>75</v>
      </c>
      <c r="AH120" s="42" t="s">
        <v>75</v>
      </c>
      <c r="AI120" s="32">
        <v>86985</v>
      </c>
      <c r="AJ120" s="31" t="s">
        <v>75</v>
      </c>
      <c r="AK120" s="31" t="s">
        <v>75</v>
      </c>
      <c r="AL120" s="31" t="s">
        <v>75</v>
      </c>
      <c r="AM120" s="31"/>
      <c r="AN120" s="31"/>
      <c r="AO120" s="31"/>
      <c r="AP120" s="31"/>
      <c r="AQ120" s="31"/>
      <c r="AR120" s="31"/>
      <c r="AS120" s="31" t="s">
        <v>75</v>
      </c>
      <c r="AT120" s="31" t="s">
        <v>75</v>
      </c>
      <c r="AU120" s="31" t="s">
        <v>75</v>
      </c>
      <c r="AV120" s="31" t="s">
        <v>75</v>
      </c>
      <c r="AW120" s="31" t="s">
        <v>75</v>
      </c>
      <c r="AX120" s="31" t="s">
        <v>75</v>
      </c>
      <c r="AY120" s="31" t="s">
        <v>75</v>
      </c>
      <c r="AZ120" s="31" t="s">
        <v>75</v>
      </c>
      <c r="BA120" s="31" t="s">
        <v>75</v>
      </c>
      <c r="BB120" s="31" t="s">
        <v>75</v>
      </c>
      <c r="BC120" s="31" t="s">
        <v>75</v>
      </c>
      <c r="BD120" s="31" t="s">
        <v>75</v>
      </c>
      <c r="BE120" s="113">
        <v>0</v>
      </c>
      <c r="BF120" s="113">
        <v>0</v>
      </c>
      <c r="BG120" s="113">
        <v>0</v>
      </c>
      <c r="BH120" s="113">
        <v>0</v>
      </c>
      <c r="BI120" s="113">
        <v>0</v>
      </c>
      <c r="BJ120" s="113">
        <v>0</v>
      </c>
      <c r="BK120" s="113">
        <v>0</v>
      </c>
      <c r="BL120" s="113">
        <v>0</v>
      </c>
      <c r="BM120" s="113">
        <v>0</v>
      </c>
      <c r="BN120" s="113">
        <v>0</v>
      </c>
      <c r="BO120" s="113">
        <v>0</v>
      </c>
      <c r="BP120" s="113">
        <v>0</v>
      </c>
      <c r="BQ120" s="113">
        <v>0</v>
      </c>
      <c r="BR120" s="113">
        <v>0</v>
      </c>
      <c r="BS120" s="113">
        <v>0</v>
      </c>
      <c r="BT120" s="113">
        <v>0</v>
      </c>
      <c r="BU120" s="113">
        <v>0</v>
      </c>
      <c r="BV120" s="113">
        <v>0</v>
      </c>
      <c r="BW120" s="113"/>
      <c r="BX120" s="113"/>
      <c r="BY120" s="113"/>
      <c r="BZ120" s="113">
        <v>0</v>
      </c>
      <c r="CA120" s="113">
        <v>0</v>
      </c>
      <c r="CB120" s="113">
        <v>0</v>
      </c>
      <c r="CC120" s="113"/>
      <c r="CD120" s="113"/>
      <c r="CE120" s="113"/>
      <c r="CF120" s="113">
        <v>0</v>
      </c>
      <c r="CG120" s="113">
        <v>0</v>
      </c>
      <c r="CH120" s="113">
        <v>0</v>
      </c>
      <c r="CI120" s="113">
        <v>0</v>
      </c>
      <c r="CJ120" s="113">
        <v>0</v>
      </c>
      <c r="CK120" s="113">
        <v>0</v>
      </c>
      <c r="CL120" s="113">
        <v>0</v>
      </c>
      <c r="CM120" s="113">
        <v>0</v>
      </c>
      <c r="CN120" s="113">
        <v>0</v>
      </c>
      <c r="CO120" s="113">
        <v>0</v>
      </c>
      <c r="CP120" s="113">
        <v>0</v>
      </c>
      <c r="CQ120" s="113">
        <v>0</v>
      </c>
      <c r="CR120" s="113">
        <v>0</v>
      </c>
      <c r="CS120" s="113">
        <v>0</v>
      </c>
      <c r="CT120" s="113">
        <v>0</v>
      </c>
      <c r="CU120" s="113">
        <v>0</v>
      </c>
      <c r="CV120" s="113">
        <v>0</v>
      </c>
      <c r="CW120" s="113">
        <v>0</v>
      </c>
      <c r="CX120" s="113">
        <v>0</v>
      </c>
      <c r="CY120" s="113">
        <v>0</v>
      </c>
      <c r="CZ120" s="113">
        <v>0</v>
      </c>
      <c r="DA120" s="113">
        <v>0</v>
      </c>
      <c r="DB120" s="113">
        <v>0</v>
      </c>
      <c r="DC120" s="113">
        <v>0</v>
      </c>
      <c r="DD120" s="113">
        <v>0</v>
      </c>
      <c r="DE120" s="113">
        <v>0</v>
      </c>
      <c r="DF120" s="113">
        <v>0</v>
      </c>
      <c r="DG120" s="113">
        <v>0</v>
      </c>
      <c r="DH120" s="113">
        <v>0</v>
      </c>
      <c r="DI120" s="113">
        <v>0</v>
      </c>
      <c r="DJ120" s="113">
        <v>0</v>
      </c>
      <c r="DK120" s="113">
        <v>0</v>
      </c>
      <c r="DL120" s="113">
        <v>0</v>
      </c>
      <c r="DM120" s="113">
        <v>0</v>
      </c>
      <c r="DN120" s="113">
        <v>0</v>
      </c>
      <c r="DO120" s="113">
        <v>0</v>
      </c>
      <c r="DP120" s="113">
        <v>0</v>
      </c>
      <c r="DQ120" s="113">
        <v>0</v>
      </c>
      <c r="DR120" s="113">
        <v>0</v>
      </c>
      <c r="DS120" s="113">
        <v>0</v>
      </c>
      <c r="DT120" s="113">
        <v>0</v>
      </c>
      <c r="DU120" s="113">
        <v>0</v>
      </c>
      <c r="DV120" s="113">
        <v>0</v>
      </c>
      <c r="DW120" s="113">
        <v>0</v>
      </c>
      <c r="DX120" s="113">
        <v>0</v>
      </c>
      <c r="DY120" s="113">
        <v>0</v>
      </c>
      <c r="DZ120" s="113">
        <v>0</v>
      </c>
      <c r="EA120" s="113">
        <v>0</v>
      </c>
      <c r="EB120" s="113">
        <v>0</v>
      </c>
      <c r="EC120" s="113">
        <v>0</v>
      </c>
      <c r="ED120" s="113">
        <v>0</v>
      </c>
      <c r="EE120" s="113">
        <v>0</v>
      </c>
      <c r="EF120" s="113">
        <v>0</v>
      </c>
      <c r="EG120" s="113">
        <v>0</v>
      </c>
      <c r="EH120" s="113">
        <v>0</v>
      </c>
      <c r="EI120" s="113">
        <v>0</v>
      </c>
      <c r="EJ120" s="113">
        <v>0</v>
      </c>
      <c r="EK120" s="113">
        <v>0</v>
      </c>
      <c r="EL120" s="113">
        <v>0</v>
      </c>
      <c r="EM120" s="113">
        <v>0</v>
      </c>
      <c r="EN120" s="113">
        <v>0</v>
      </c>
      <c r="EO120" s="113">
        <v>0</v>
      </c>
      <c r="EP120" s="113">
        <v>0</v>
      </c>
      <c r="EQ120" s="113">
        <v>0</v>
      </c>
      <c r="ER120" s="113">
        <v>0</v>
      </c>
      <c r="ES120" s="113">
        <v>0</v>
      </c>
      <c r="ET120" s="113">
        <v>0</v>
      </c>
      <c r="EU120" s="113">
        <v>0</v>
      </c>
      <c r="EV120" s="113">
        <v>0</v>
      </c>
      <c r="EW120" s="113">
        <v>0</v>
      </c>
      <c r="EX120" s="113">
        <v>0</v>
      </c>
      <c r="EY120" s="113">
        <v>0</v>
      </c>
      <c r="EZ120" s="113">
        <v>0</v>
      </c>
      <c r="FA120" s="113">
        <v>0</v>
      </c>
      <c r="FB120" s="113">
        <v>0</v>
      </c>
      <c r="FC120" s="113">
        <v>0</v>
      </c>
      <c r="FD120" s="113">
        <v>0</v>
      </c>
      <c r="FE120" s="113">
        <v>0</v>
      </c>
      <c r="FF120" s="113">
        <v>0</v>
      </c>
      <c r="FG120" s="113">
        <v>0</v>
      </c>
      <c r="FH120" s="113">
        <v>0</v>
      </c>
      <c r="FI120" s="113">
        <v>0</v>
      </c>
      <c r="FJ120" s="113">
        <v>0</v>
      </c>
      <c r="FK120" s="113">
        <v>0</v>
      </c>
      <c r="FL120" s="113">
        <v>0</v>
      </c>
      <c r="FM120" s="113">
        <v>0</v>
      </c>
      <c r="FN120" s="113">
        <v>0</v>
      </c>
      <c r="FO120" s="113">
        <v>0</v>
      </c>
      <c r="FP120" s="113">
        <v>0</v>
      </c>
      <c r="FQ120" s="113">
        <v>0</v>
      </c>
      <c r="FR120" s="113">
        <v>0</v>
      </c>
      <c r="FS120" s="113">
        <v>0</v>
      </c>
      <c r="FT120" s="113">
        <v>0</v>
      </c>
      <c r="FU120" s="113">
        <v>0</v>
      </c>
      <c r="FV120" s="113">
        <v>0</v>
      </c>
      <c r="FW120" s="113">
        <v>0</v>
      </c>
      <c r="FX120" s="32">
        <v>0</v>
      </c>
      <c r="FY120" s="30">
        <v>0</v>
      </c>
      <c r="FZ120" s="30">
        <v>0</v>
      </c>
    </row>
    <row r="121" spans="1:182" x14ac:dyDescent="0.2">
      <c r="A121" s="28">
        <v>35247</v>
      </c>
      <c r="B121" s="28"/>
      <c r="C121" s="29">
        <v>175876</v>
      </c>
      <c r="D121" s="29">
        <v>144805</v>
      </c>
      <c r="E121" s="29">
        <f t="shared" si="2"/>
        <v>320681</v>
      </c>
      <c r="F121" s="30">
        <v>2361044</v>
      </c>
      <c r="G121" s="30">
        <v>0</v>
      </c>
      <c r="H121" s="30">
        <f t="shared" si="3"/>
        <v>2361044</v>
      </c>
      <c r="I121" s="42" t="s">
        <v>75</v>
      </c>
      <c r="J121" s="42" t="s">
        <v>75</v>
      </c>
      <c r="K121" s="32">
        <v>2308630</v>
      </c>
      <c r="L121" s="31" t="s">
        <v>75</v>
      </c>
      <c r="M121" s="31" t="s">
        <v>75</v>
      </c>
      <c r="N121" s="30">
        <v>7886108</v>
      </c>
      <c r="O121" s="31" t="s">
        <v>75</v>
      </c>
      <c r="P121" s="31" t="s">
        <v>75</v>
      </c>
      <c r="Q121" s="30">
        <v>11174540</v>
      </c>
      <c r="R121" s="31" t="s">
        <v>75</v>
      </c>
      <c r="S121" s="31" t="s">
        <v>75</v>
      </c>
      <c r="T121" s="32">
        <v>303981</v>
      </c>
      <c r="U121" s="31" t="s">
        <v>75</v>
      </c>
      <c r="V121" s="31" t="s">
        <v>75</v>
      </c>
      <c r="W121" s="31" t="s">
        <v>75</v>
      </c>
      <c r="X121" s="31" t="s">
        <v>75</v>
      </c>
      <c r="Y121" s="31" t="s">
        <v>75</v>
      </c>
      <c r="Z121" s="30">
        <v>65693</v>
      </c>
      <c r="AA121" s="31" t="s">
        <v>75</v>
      </c>
      <c r="AB121" s="31" t="s">
        <v>75</v>
      </c>
      <c r="AC121" s="30">
        <v>247734</v>
      </c>
      <c r="AD121" s="31" t="s">
        <v>75</v>
      </c>
      <c r="AE121" s="31" t="s">
        <v>75</v>
      </c>
      <c r="AF121" s="30">
        <v>9852</v>
      </c>
      <c r="AG121" s="42" t="s">
        <v>75</v>
      </c>
      <c r="AH121" s="42" t="s">
        <v>75</v>
      </c>
      <c r="AI121" s="32">
        <v>131621</v>
      </c>
      <c r="AJ121" s="31" t="s">
        <v>75</v>
      </c>
      <c r="AK121" s="31" t="s">
        <v>75</v>
      </c>
      <c r="AL121" s="31" t="s">
        <v>75</v>
      </c>
      <c r="AM121" s="31"/>
      <c r="AN121" s="31"/>
      <c r="AO121" s="31"/>
      <c r="AP121" s="31"/>
      <c r="AQ121" s="31"/>
      <c r="AR121" s="31"/>
      <c r="AS121" s="31" t="s">
        <v>75</v>
      </c>
      <c r="AT121" s="31" t="s">
        <v>75</v>
      </c>
      <c r="AU121" s="31" t="s">
        <v>75</v>
      </c>
      <c r="AV121" s="31" t="s">
        <v>75</v>
      </c>
      <c r="AW121" s="31" t="s">
        <v>75</v>
      </c>
      <c r="AX121" s="31" t="s">
        <v>75</v>
      </c>
      <c r="AY121" s="31" t="s">
        <v>75</v>
      </c>
      <c r="AZ121" s="31" t="s">
        <v>75</v>
      </c>
      <c r="BA121" s="31" t="s">
        <v>75</v>
      </c>
      <c r="BB121" s="31" t="s">
        <v>75</v>
      </c>
      <c r="BC121" s="31" t="s">
        <v>75</v>
      </c>
      <c r="BD121" s="31" t="s">
        <v>75</v>
      </c>
      <c r="BE121" s="113">
        <v>0</v>
      </c>
      <c r="BF121" s="113">
        <v>0</v>
      </c>
      <c r="BG121" s="113">
        <v>0</v>
      </c>
      <c r="BH121" s="113">
        <v>0</v>
      </c>
      <c r="BI121" s="113">
        <v>0</v>
      </c>
      <c r="BJ121" s="113">
        <v>0</v>
      </c>
      <c r="BK121" s="113">
        <v>0</v>
      </c>
      <c r="BL121" s="113">
        <v>0</v>
      </c>
      <c r="BM121" s="113">
        <v>0</v>
      </c>
      <c r="BN121" s="113">
        <v>0</v>
      </c>
      <c r="BO121" s="113">
        <v>0</v>
      </c>
      <c r="BP121" s="113">
        <v>0</v>
      </c>
      <c r="BQ121" s="113">
        <v>0</v>
      </c>
      <c r="BR121" s="113">
        <v>0</v>
      </c>
      <c r="BS121" s="113">
        <v>0</v>
      </c>
      <c r="BT121" s="113">
        <v>0</v>
      </c>
      <c r="BU121" s="113">
        <v>0</v>
      </c>
      <c r="BV121" s="113">
        <v>0</v>
      </c>
      <c r="BW121" s="113"/>
      <c r="BX121" s="113"/>
      <c r="BY121" s="113"/>
      <c r="BZ121" s="113">
        <v>0</v>
      </c>
      <c r="CA121" s="113">
        <v>0</v>
      </c>
      <c r="CB121" s="113">
        <v>0</v>
      </c>
      <c r="CC121" s="113"/>
      <c r="CD121" s="113"/>
      <c r="CE121" s="113"/>
      <c r="CF121" s="113">
        <v>0</v>
      </c>
      <c r="CG121" s="113">
        <v>0</v>
      </c>
      <c r="CH121" s="113">
        <v>0</v>
      </c>
      <c r="CI121" s="113">
        <v>0</v>
      </c>
      <c r="CJ121" s="113">
        <v>0</v>
      </c>
      <c r="CK121" s="113">
        <v>0</v>
      </c>
      <c r="CL121" s="113">
        <v>0</v>
      </c>
      <c r="CM121" s="113">
        <v>0</v>
      </c>
      <c r="CN121" s="113">
        <v>0</v>
      </c>
      <c r="CO121" s="113">
        <v>0</v>
      </c>
      <c r="CP121" s="113">
        <v>0</v>
      </c>
      <c r="CQ121" s="113">
        <v>0</v>
      </c>
      <c r="CR121" s="113">
        <v>0</v>
      </c>
      <c r="CS121" s="113">
        <v>0</v>
      </c>
      <c r="CT121" s="113">
        <v>0</v>
      </c>
      <c r="CU121" s="113">
        <v>0</v>
      </c>
      <c r="CV121" s="113">
        <v>0</v>
      </c>
      <c r="CW121" s="113">
        <v>0</v>
      </c>
      <c r="CX121" s="113">
        <v>0</v>
      </c>
      <c r="CY121" s="113">
        <v>0</v>
      </c>
      <c r="CZ121" s="113">
        <v>0</v>
      </c>
      <c r="DA121" s="113">
        <v>0</v>
      </c>
      <c r="DB121" s="113">
        <v>0</v>
      </c>
      <c r="DC121" s="113">
        <v>0</v>
      </c>
      <c r="DD121" s="113">
        <v>0</v>
      </c>
      <c r="DE121" s="113">
        <v>0</v>
      </c>
      <c r="DF121" s="113">
        <v>0</v>
      </c>
      <c r="DG121" s="113">
        <v>0</v>
      </c>
      <c r="DH121" s="113">
        <v>0</v>
      </c>
      <c r="DI121" s="113">
        <v>0</v>
      </c>
      <c r="DJ121" s="113">
        <v>0</v>
      </c>
      <c r="DK121" s="113">
        <v>0</v>
      </c>
      <c r="DL121" s="113">
        <v>0</v>
      </c>
      <c r="DM121" s="113">
        <v>0</v>
      </c>
      <c r="DN121" s="113">
        <v>0</v>
      </c>
      <c r="DO121" s="113">
        <v>0</v>
      </c>
      <c r="DP121" s="113">
        <v>0</v>
      </c>
      <c r="DQ121" s="113">
        <v>0</v>
      </c>
      <c r="DR121" s="113">
        <v>0</v>
      </c>
      <c r="DS121" s="113">
        <v>0</v>
      </c>
      <c r="DT121" s="113">
        <v>0</v>
      </c>
      <c r="DU121" s="113">
        <v>0</v>
      </c>
      <c r="DV121" s="113">
        <v>0</v>
      </c>
      <c r="DW121" s="113">
        <v>0</v>
      </c>
      <c r="DX121" s="113">
        <v>0</v>
      </c>
      <c r="DY121" s="113">
        <v>0</v>
      </c>
      <c r="DZ121" s="113">
        <v>0</v>
      </c>
      <c r="EA121" s="113">
        <v>0</v>
      </c>
      <c r="EB121" s="113">
        <v>0</v>
      </c>
      <c r="EC121" s="113">
        <v>0</v>
      </c>
      <c r="ED121" s="113">
        <v>0</v>
      </c>
      <c r="EE121" s="113">
        <v>0</v>
      </c>
      <c r="EF121" s="113">
        <v>0</v>
      </c>
      <c r="EG121" s="113">
        <v>0</v>
      </c>
      <c r="EH121" s="113">
        <v>0</v>
      </c>
      <c r="EI121" s="113">
        <v>0</v>
      </c>
      <c r="EJ121" s="113">
        <v>0</v>
      </c>
      <c r="EK121" s="113">
        <v>0</v>
      </c>
      <c r="EL121" s="113">
        <v>0</v>
      </c>
      <c r="EM121" s="113">
        <v>0</v>
      </c>
      <c r="EN121" s="113">
        <v>0</v>
      </c>
      <c r="EO121" s="113">
        <v>0</v>
      </c>
      <c r="EP121" s="113">
        <v>0</v>
      </c>
      <c r="EQ121" s="113">
        <v>0</v>
      </c>
      <c r="ER121" s="113">
        <v>0</v>
      </c>
      <c r="ES121" s="113">
        <v>0</v>
      </c>
      <c r="ET121" s="113">
        <v>0</v>
      </c>
      <c r="EU121" s="113">
        <v>0</v>
      </c>
      <c r="EV121" s="113">
        <v>0</v>
      </c>
      <c r="EW121" s="113">
        <v>0</v>
      </c>
      <c r="EX121" s="113">
        <v>0</v>
      </c>
      <c r="EY121" s="113">
        <v>0</v>
      </c>
      <c r="EZ121" s="113">
        <v>0</v>
      </c>
      <c r="FA121" s="113">
        <v>0</v>
      </c>
      <c r="FB121" s="113">
        <v>0</v>
      </c>
      <c r="FC121" s="113">
        <v>0</v>
      </c>
      <c r="FD121" s="113">
        <v>0</v>
      </c>
      <c r="FE121" s="113">
        <v>0</v>
      </c>
      <c r="FF121" s="113">
        <v>0</v>
      </c>
      <c r="FG121" s="113">
        <v>0</v>
      </c>
      <c r="FH121" s="113">
        <v>0</v>
      </c>
      <c r="FI121" s="113">
        <v>0</v>
      </c>
      <c r="FJ121" s="113">
        <v>0</v>
      </c>
      <c r="FK121" s="113">
        <v>0</v>
      </c>
      <c r="FL121" s="113">
        <v>0</v>
      </c>
      <c r="FM121" s="113">
        <v>0</v>
      </c>
      <c r="FN121" s="113">
        <v>0</v>
      </c>
      <c r="FO121" s="113">
        <v>0</v>
      </c>
      <c r="FP121" s="113">
        <v>0</v>
      </c>
      <c r="FQ121" s="113">
        <v>0</v>
      </c>
      <c r="FR121" s="113">
        <v>0</v>
      </c>
      <c r="FS121" s="113">
        <v>0</v>
      </c>
      <c r="FT121" s="113">
        <v>0</v>
      </c>
      <c r="FU121" s="113">
        <v>0</v>
      </c>
      <c r="FV121" s="113">
        <v>0</v>
      </c>
      <c r="FW121" s="113">
        <v>0</v>
      </c>
      <c r="FX121" s="32">
        <v>0</v>
      </c>
      <c r="FY121" s="30">
        <v>0</v>
      </c>
      <c r="FZ121" s="30">
        <v>0</v>
      </c>
    </row>
    <row r="122" spans="1:182" x14ac:dyDescent="0.2">
      <c r="A122" s="28">
        <v>35278</v>
      </c>
      <c r="B122" s="28"/>
      <c r="C122" s="29">
        <v>353912</v>
      </c>
      <c r="D122" s="29">
        <v>114280</v>
      </c>
      <c r="E122" s="29">
        <f t="shared" si="2"/>
        <v>468192</v>
      </c>
      <c r="F122" s="30">
        <v>4662971</v>
      </c>
      <c r="G122" s="30">
        <v>0</v>
      </c>
      <c r="H122" s="30">
        <f t="shared" si="3"/>
        <v>4662971</v>
      </c>
      <c r="I122" s="42" t="s">
        <v>75</v>
      </c>
      <c r="J122" s="42" t="s">
        <v>75</v>
      </c>
      <c r="K122" s="32">
        <v>2869785</v>
      </c>
      <c r="L122" s="31" t="s">
        <v>75</v>
      </c>
      <c r="M122" s="31" t="s">
        <v>75</v>
      </c>
      <c r="N122" s="30">
        <v>9186788</v>
      </c>
      <c r="O122" s="31" t="s">
        <v>75</v>
      </c>
      <c r="P122" s="31" t="s">
        <v>75</v>
      </c>
      <c r="Q122" s="30">
        <v>13557853</v>
      </c>
      <c r="R122" s="31" t="s">
        <v>75</v>
      </c>
      <c r="S122" s="31" t="s">
        <v>75</v>
      </c>
      <c r="T122" s="32">
        <v>309640</v>
      </c>
      <c r="U122" s="31" t="s">
        <v>75</v>
      </c>
      <c r="V122" s="31" t="s">
        <v>75</v>
      </c>
      <c r="W122" s="31" t="s">
        <v>75</v>
      </c>
      <c r="X122" s="31" t="s">
        <v>75</v>
      </c>
      <c r="Y122" s="31" t="s">
        <v>75</v>
      </c>
      <c r="Z122" s="30">
        <v>116490</v>
      </c>
      <c r="AA122" s="31" t="s">
        <v>75</v>
      </c>
      <c r="AB122" s="31" t="s">
        <v>75</v>
      </c>
      <c r="AC122" s="30">
        <v>235095</v>
      </c>
      <c r="AD122" s="31" t="s">
        <v>75</v>
      </c>
      <c r="AE122" s="31" t="s">
        <v>75</v>
      </c>
      <c r="AF122" s="30">
        <v>13555</v>
      </c>
      <c r="AG122" s="42" t="s">
        <v>75</v>
      </c>
      <c r="AH122" s="42" t="s">
        <v>75</v>
      </c>
      <c r="AI122" s="32">
        <v>164547</v>
      </c>
      <c r="AJ122" s="31" t="s">
        <v>75</v>
      </c>
      <c r="AK122" s="31" t="s">
        <v>75</v>
      </c>
      <c r="AL122" s="31" t="s">
        <v>75</v>
      </c>
      <c r="AM122" s="31"/>
      <c r="AN122" s="31"/>
      <c r="AO122" s="31"/>
      <c r="AP122" s="31"/>
      <c r="AQ122" s="31"/>
      <c r="AR122" s="31"/>
      <c r="AS122" s="31" t="s">
        <v>75</v>
      </c>
      <c r="AT122" s="31" t="s">
        <v>75</v>
      </c>
      <c r="AU122" s="31" t="s">
        <v>75</v>
      </c>
      <c r="AV122" s="31" t="s">
        <v>75</v>
      </c>
      <c r="AW122" s="31" t="s">
        <v>75</v>
      </c>
      <c r="AX122" s="31" t="s">
        <v>75</v>
      </c>
      <c r="AY122" s="31" t="s">
        <v>75</v>
      </c>
      <c r="AZ122" s="31" t="s">
        <v>75</v>
      </c>
      <c r="BA122" s="31" t="s">
        <v>75</v>
      </c>
      <c r="BB122" s="31" t="s">
        <v>75</v>
      </c>
      <c r="BC122" s="31" t="s">
        <v>75</v>
      </c>
      <c r="BD122" s="31" t="s">
        <v>75</v>
      </c>
      <c r="BE122" s="113">
        <v>0</v>
      </c>
      <c r="BF122" s="113">
        <v>0</v>
      </c>
      <c r="BG122" s="113">
        <v>0</v>
      </c>
      <c r="BH122" s="113">
        <v>0</v>
      </c>
      <c r="BI122" s="113">
        <v>0</v>
      </c>
      <c r="BJ122" s="113">
        <v>0</v>
      </c>
      <c r="BK122" s="113">
        <v>0</v>
      </c>
      <c r="BL122" s="113">
        <v>0</v>
      </c>
      <c r="BM122" s="113">
        <v>0</v>
      </c>
      <c r="BN122" s="113">
        <v>0</v>
      </c>
      <c r="BO122" s="113">
        <v>0</v>
      </c>
      <c r="BP122" s="113">
        <v>0</v>
      </c>
      <c r="BQ122" s="113">
        <v>0</v>
      </c>
      <c r="BR122" s="113">
        <v>0</v>
      </c>
      <c r="BS122" s="113">
        <v>0</v>
      </c>
      <c r="BT122" s="113">
        <v>0</v>
      </c>
      <c r="BU122" s="113">
        <v>0</v>
      </c>
      <c r="BV122" s="113">
        <v>0</v>
      </c>
      <c r="BW122" s="113"/>
      <c r="BX122" s="113"/>
      <c r="BY122" s="113"/>
      <c r="BZ122" s="113">
        <v>0</v>
      </c>
      <c r="CA122" s="113">
        <v>0</v>
      </c>
      <c r="CB122" s="113">
        <v>0</v>
      </c>
      <c r="CC122" s="113"/>
      <c r="CD122" s="113"/>
      <c r="CE122" s="113"/>
      <c r="CF122" s="113">
        <v>0</v>
      </c>
      <c r="CG122" s="113">
        <v>0</v>
      </c>
      <c r="CH122" s="113">
        <v>0</v>
      </c>
      <c r="CI122" s="113">
        <v>0</v>
      </c>
      <c r="CJ122" s="113">
        <v>0</v>
      </c>
      <c r="CK122" s="113">
        <v>0</v>
      </c>
      <c r="CL122" s="113">
        <v>0</v>
      </c>
      <c r="CM122" s="113">
        <v>0</v>
      </c>
      <c r="CN122" s="113">
        <v>0</v>
      </c>
      <c r="CO122" s="113">
        <v>0</v>
      </c>
      <c r="CP122" s="113">
        <v>0</v>
      </c>
      <c r="CQ122" s="113">
        <v>0</v>
      </c>
      <c r="CR122" s="113">
        <v>0</v>
      </c>
      <c r="CS122" s="113">
        <v>0</v>
      </c>
      <c r="CT122" s="113">
        <v>0</v>
      </c>
      <c r="CU122" s="113">
        <v>0</v>
      </c>
      <c r="CV122" s="113">
        <v>0</v>
      </c>
      <c r="CW122" s="113">
        <v>0</v>
      </c>
      <c r="CX122" s="113">
        <v>0</v>
      </c>
      <c r="CY122" s="113">
        <v>0</v>
      </c>
      <c r="CZ122" s="113">
        <v>0</v>
      </c>
      <c r="DA122" s="113">
        <v>0</v>
      </c>
      <c r="DB122" s="113">
        <v>0</v>
      </c>
      <c r="DC122" s="113">
        <v>0</v>
      </c>
      <c r="DD122" s="113">
        <v>0</v>
      </c>
      <c r="DE122" s="113">
        <v>0</v>
      </c>
      <c r="DF122" s="113">
        <v>0</v>
      </c>
      <c r="DG122" s="113">
        <v>0</v>
      </c>
      <c r="DH122" s="113">
        <v>0</v>
      </c>
      <c r="DI122" s="113">
        <v>0</v>
      </c>
      <c r="DJ122" s="113">
        <v>0</v>
      </c>
      <c r="DK122" s="113">
        <v>0</v>
      </c>
      <c r="DL122" s="113">
        <v>0</v>
      </c>
      <c r="DM122" s="113">
        <v>0</v>
      </c>
      <c r="DN122" s="113">
        <v>0</v>
      </c>
      <c r="DO122" s="113">
        <v>0</v>
      </c>
      <c r="DP122" s="113">
        <v>0</v>
      </c>
      <c r="DQ122" s="113">
        <v>0</v>
      </c>
      <c r="DR122" s="113">
        <v>0</v>
      </c>
      <c r="DS122" s="113">
        <v>0</v>
      </c>
      <c r="DT122" s="113">
        <v>0</v>
      </c>
      <c r="DU122" s="113">
        <v>0</v>
      </c>
      <c r="DV122" s="113">
        <v>0</v>
      </c>
      <c r="DW122" s="113">
        <v>0</v>
      </c>
      <c r="DX122" s="113">
        <v>0</v>
      </c>
      <c r="DY122" s="113">
        <v>0</v>
      </c>
      <c r="DZ122" s="113">
        <v>0</v>
      </c>
      <c r="EA122" s="113">
        <v>0</v>
      </c>
      <c r="EB122" s="113">
        <v>0</v>
      </c>
      <c r="EC122" s="113">
        <v>0</v>
      </c>
      <c r="ED122" s="113">
        <v>0</v>
      </c>
      <c r="EE122" s="113">
        <v>0</v>
      </c>
      <c r="EF122" s="113">
        <v>0</v>
      </c>
      <c r="EG122" s="113">
        <v>0</v>
      </c>
      <c r="EH122" s="113">
        <v>0</v>
      </c>
      <c r="EI122" s="113">
        <v>0</v>
      </c>
      <c r="EJ122" s="113">
        <v>0</v>
      </c>
      <c r="EK122" s="113">
        <v>0</v>
      </c>
      <c r="EL122" s="113">
        <v>0</v>
      </c>
      <c r="EM122" s="113">
        <v>0</v>
      </c>
      <c r="EN122" s="113">
        <v>0</v>
      </c>
      <c r="EO122" s="113">
        <v>0</v>
      </c>
      <c r="EP122" s="113">
        <v>0</v>
      </c>
      <c r="EQ122" s="113">
        <v>0</v>
      </c>
      <c r="ER122" s="113">
        <v>0</v>
      </c>
      <c r="ES122" s="113">
        <v>0</v>
      </c>
      <c r="ET122" s="113">
        <v>0</v>
      </c>
      <c r="EU122" s="113">
        <v>0</v>
      </c>
      <c r="EV122" s="113">
        <v>0</v>
      </c>
      <c r="EW122" s="113">
        <v>0</v>
      </c>
      <c r="EX122" s="113">
        <v>0</v>
      </c>
      <c r="EY122" s="113">
        <v>0</v>
      </c>
      <c r="EZ122" s="113">
        <v>0</v>
      </c>
      <c r="FA122" s="113">
        <v>0</v>
      </c>
      <c r="FB122" s="113">
        <v>0</v>
      </c>
      <c r="FC122" s="113">
        <v>0</v>
      </c>
      <c r="FD122" s="113">
        <v>0</v>
      </c>
      <c r="FE122" s="113">
        <v>0</v>
      </c>
      <c r="FF122" s="113">
        <v>0</v>
      </c>
      <c r="FG122" s="113">
        <v>0</v>
      </c>
      <c r="FH122" s="113">
        <v>0</v>
      </c>
      <c r="FI122" s="113">
        <v>0</v>
      </c>
      <c r="FJ122" s="113">
        <v>0</v>
      </c>
      <c r="FK122" s="113">
        <v>0</v>
      </c>
      <c r="FL122" s="113">
        <v>0</v>
      </c>
      <c r="FM122" s="113">
        <v>0</v>
      </c>
      <c r="FN122" s="113">
        <v>0</v>
      </c>
      <c r="FO122" s="113">
        <v>0</v>
      </c>
      <c r="FP122" s="113">
        <v>0</v>
      </c>
      <c r="FQ122" s="113">
        <v>0</v>
      </c>
      <c r="FR122" s="113">
        <v>0</v>
      </c>
      <c r="FS122" s="113">
        <v>0</v>
      </c>
      <c r="FT122" s="113">
        <v>0</v>
      </c>
      <c r="FU122" s="113">
        <v>0</v>
      </c>
      <c r="FV122" s="113">
        <v>0</v>
      </c>
      <c r="FW122" s="113">
        <v>0</v>
      </c>
      <c r="FX122" s="32">
        <v>0</v>
      </c>
      <c r="FY122" s="30">
        <v>0</v>
      </c>
      <c r="FZ122" s="30">
        <v>0</v>
      </c>
    </row>
    <row r="123" spans="1:182" x14ac:dyDescent="0.2">
      <c r="A123" s="28">
        <v>35309</v>
      </c>
      <c r="B123" s="28"/>
      <c r="C123" s="29">
        <v>197113</v>
      </c>
      <c r="D123" s="29">
        <v>121485</v>
      </c>
      <c r="E123" s="29">
        <f t="shared" si="2"/>
        <v>318598</v>
      </c>
      <c r="F123" s="30">
        <v>6621259</v>
      </c>
      <c r="G123" s="30">
        <v>0</v>
      </c>
      <c r="H123" s="30">
        <f t="shared" si="3"/>
        <v>6621259</v>
      </c>
      <c r="I123" s="42" t="s">
        <v>75</v>
      </c>
      <c r="J123" s="42" t="s">
        <v>75</v>
      </c>
      <c r="K123" s="32">
        <v>2932089</v>
      </c>
      <c r="L123" s="31" t="s">
        <v>75</v>
      </c>
      <c r="M123" s="31" t="s">
        <v>75</v>
      </c>
      <c r="N123" s="30">
        <v>8814749</v>
      </c>
      <c r="O123" s="31" t="s">
        <v>75</v>
      </c>
      <c r="P123" s="31" t="s">
        <v>75</v>
      </c>
      <c r="Q123" s="30">
        <v>13183627</v>
      </c>
      <c r="R123" s="31" t="s">
        <v>75</v>
      </c>
      <c r="S123" s="31" t="s">
        <v>75</v>
      </c>
      <c r="T123" s="32">
        <v>220855</v>
      </c>
      <c r="U123" s="31" t="s">
        <v>75</v>
      </c>
      <c r="V123" s="31" t="s">
        <v>75</v>
      </c>
      <c r="W123" s="31" t="s">
        <v>75</v>
      </c>
      <c r="X123" s="31" t="s">
        <v>75</v>
      </c>
      <c r="Y123" s="31" t="s">
        <v>75</v>
      </c>
      <c r="Z123" s="30">
        <v>81858</v>
      </c>
      <c r="AA123" s="31" t="s">
        <v>75</v>
      </c>
      <c r="AB123" s="31" t="s">
        <v>75</v>
      </c>
      <c r="AC123" s="30">
        <v>159627</v>
      </c>
      <c r="AD123" s="31" t="s">
        <v>75</v>
      </c>
      <c r="AE123" s="31" t="s">
        <v>75</v>
      </c>
      <c r="AF123" s="30">
        <v>14034</v>
      </c>
      <c r="AG123" s="42" t="s">
        <v>75</v>
      </c>
      <c r="AH123" s="42" t="s">
        <v>75</v>
      </c>
      <c r="AI123" s="32">
        <v>67669</v>
      </c>
      <c r="AJ123" s="31" t="s">
        <v>75</v>
      </c>
      <c r="AK123" s="31" t="s">
        <v>75</v>
      </c>
      <c r="AL123" s="31" t="s">
        <v>75</v>
      </c>
      <c r="AM123" s="31"/>
      <c r="AN123" s="31"/>
      <c r="AO123" s="31"/>
      <c r="AP123" s="31"/>
      <c r="AQ123" s="31"/>
      <c r="AR123" s="31"/>
      <c r="AS123" s="31" t="s">
        <v>75</v>
      </c>
      <c r="AT123" s="31" t="s">
        <v>75</v>
      </c>
      <c r="AU123" s="31" t="s">
        <v>75</v>
      </c>
      <c r="AV123" s="31" t="s">
        <v>75</v>
      </c>
      <c r="AW123" s="31" t="s">
        <v>75</v>
      </c>
      <c r="AX123" s="31" t="s">
        <v>75</v>
      </c>
      <c r="AY123" s="31" t="s">
        <v>75</v>
      </c>
      <c r="AZ123" s="31" t="s">
        <v>75</v>
      </c>
      <c r="BA123" s="31" t="s">
        <v>75</v>
      </c>
      <c r="BB123" s="31" t="s">
        <v>75</v>
      </c>
      <c r="BC123" s="31" t="s">
        <v>75</v>
      </c>
      <c r="BD123" s="31" t="s">
        <v>75</v>
      </c>
      <c r="BE123" s="113">
        <v>0</v>
      </c>
      <c r="BF123" s="113">
        <v>0</v>
      </c>
      <c r="BG123" s="113">
        <v>0</v>
      </c>
      <c r="BH123" s="113">
        <v>0</v>
      </c>
      <c r="BI123" s="113">
        <v>0</v>
      </c>
      <c r="BJ123" s="113">
        <v>0</v>
      </c>
      <c r="BK123" s="113">
        <v>0</v>
      </c>
      <c r="BL123" s="113">
        <v>0</v>
      </c>
      <c r="BM123" s="113">
        <v>0</v>
      </c>
      <c r="BN123" s="113">
        <v>0</v>
      </c>
      <c r="BO123" s="113">
        <v>0</v>
      </c>
      <c r="BP123" s="113">
        <v>0</v>
      </c>
      <c r="BQ123" s="113">
        <v>0</v>
      </c>
      <c r="BR123" s="113">
        <v>0</v>
      </c>
      <c r="BS123" s="113">
        <v>0</v>
      </c>
      <c r="BT123" s="113">
        <v>0</v>
      </c>
      <c r="BU123" s="113">
        <v>0</v>
      </c>
      <c r="BV123" s="113">
        <v>0</v>
      </c>
      <c r="BW123" s="113"/>
      <c r="BX123" s="113"/>
      <c r="BY123" s="113"/>
      <c r="BZ123" s="113">
        <v>0</v>
      </c>
      <c r="CA123" s="113">
        <v>0</v>
      </c>
      <c r="CB123" s="113">
        <v>0</v>
      </c>
      <c r="CC123" s="113"/>
      <c r="CD123" s="113"/>
      <c r="CE123" s="113"/>
      <c r="CF123" s="113">
        <v>0</v>
      </c>
      <c r="CG123" s="113">
        <v>0</v>
      </c>
      <c r="CH123" s="113">
        <v>0</v>
      </c>
      <c r="CI123" s="113">
        <v>0</v>
      </c>
      <c r="CJ123" s="113">
        <v>0</v>
      </c>
      <c r="CK123" s="113">
        <v>0</v>
      </c>
      <c r="CL123" s="113">
        <v>0</v>
      </c>
      <c r="CM123" s="113">
        <v>0</v>
      </c>
      <c r="CN123" s="113">
        <v>0</v>
      </c>
      <c r="CO123" s="113">
        <v>0</v>
      </c>
      <c r="CP123" s="113">
        <v>0</v>
      </c>
      <c r="CQ123" s="113">
        <v>0</v>
      </c>
      <c r="CR123" s="113">
        <v>0</v>
      </c>
      <c r="CS123" s="113">
        <v>0</v>
      </c>
      <c r="CT123" s="113">
        <v>0</v>
      </c>
      <c r="CU123" s="113">
        <v>0</v>
      </c>
      <c r="CV123" s="113">
        <v>0</v>
      </c>
      <c r="CW123" s="113">
        <v>0</v>
      </c>
      <c r="CX123" s="113">
        <v>0</v>
      </c>
      <c r="CY123" s="113">
        <v>0</v>
      </c>
      <c r="CZ123" s="113">
        <v>0</v>
      </c>
      <c r="DA123" s="113">
        <v>0</v>
      </c>
      <c r="DB123" s="113">
        <v>0</v>
      </c>
      <c r="DC123" s="113">
        <v>0</v>
      </c>
      <c r="DD123" s="113">
        <v>0</v>
      </c>
      <c r="DE123" s="113">
        <v>0</v>
      </c>
      <c r="DF123" s="113">
        <v>0</v>
      </c>
      <c r="DG123" s="113">
        <v>0</v>
      </c>
      <c r="DH123" s="113">
        <v>0</v>
      </c>
      <c r="DI123" s="113">
        <v>0</v>
      </c>
      <c r="DJ123" s="113">
        <v>0</v>
      </c>
      <c r="DK123" s="113">
        <v>0</v>
      </c>
      <c r="DL123" s="113">
        <v>0</v>
      </c>
      <c r="DM123" s="113">
        <v>0</v>
      </c>
      <c r="DN123" s="113">
        <v>0</v>
      </c>
      <c r="DO123" s="113">
        <v>0</v>
      </c>
      <c r="DP123" s="113">
        <v>0</v>
      </c>
      <c r="DQ123" s="113">
        <v>0</v>
      </c>
      <c r="DR123" s="113">
        <v>0</v>
      </c>
      <c r="DS123" s="113">
        <v>0</v>
      </c>
      <c r="DT123" s="113">
        <v>0</v>
      </c>
      <c r="DU123" s="113">
        <v>0</v>
      </c>
      <c r="DV123" s="113">
        <v>0</v>
      </c>
      <c r="DW123" s="113">
        <v>0</v>
      </c>
      <c r="DX123" s="113">
        <v>0</v>
      </c>
      <c r="DY123" s="113">
        <v>0</v>
      </c>
      <c r="DZ123" s="113">
        <v>0</v>
      </c>
      <c r="EA123" s="113">
        <v>0</v>
      </c>
      <c r="EB123" s="113">
        <v>0</v>
      </c>
      <c r="EC123" s="113">
        <v>0</v>
      </c>
      <c r="ED123" s="113">
        <v>0</v>
      </c>
      <c r="EE123" s="113">
        <v>0</v>
      </c>
      <c r="EF123" s="113">
        <v>0</v>
      </c>
      <c r="EG123" s="113">
        <v>0</v>
      </c>
      <c r="EH123" s="113">
        <v>0</v>
      </c>
      <c r="EI123" s="113">
        <v>0</v>
      </c>
      <c r="EJ123" s="113">
        <v>0</v>
      </c>
      <c r="EK123" s="113">
        <v>0</v>
      </c>
      <c r="EL123" s="113">
        <v>0</v>
      </c>
      <c r="EM123" s="113">
        <v>0</v>
      </c>
      <c r="EN123" s="113">
        <v>0</v>
      </c>
      <c r="EO123" s="113">
        <v>0</v>
      </c>
      <c r="EP123" s="113">
        <v>0</v>
      </c>
      <c r="EQ123" s="113">
        <v>0</v>
      </c>
      <c r="ER123" s="113">
        <v>0</v>
      </c>
      <c r="ES123" s="113">
        <v>0</v>
      </c>
      <c r="ET123" s="113">
        <v>0</v>
      </c>
      <c r="EU123" s="113">
        <v>0</v>
      </c>
      <c r="EV123" s="113">
        <v>0</v>
      </c>
      <c r="EW123" s="113">
        <v>0</v>
      </c>
      <c r="EX123" s="113">
        <v>0</v>
      </c>
      <c r="EY123" s="113">
        <v>0</v>
      </c>
      <c r="EZ123" s="113">
        <v>0</v>
      </c>
      <c r="FA123" s="113">
        <v>0</v>
      </c>
      <c r="FB123" s="113">
        <v>0</v>
      </c>
      <c r="FC123" s="113">
        <v>0</v>
      </c>
      <c r="FD123" s="113">
        <v>0</v>
      </c>
      <c r="FE123" s="113">
        <v>0</v>
      </c>
      <c r="FF123" s="113">
        <v>0</v>
      </c>
      <c r="FG123" s="113">
        <v>0</v>
      </c>
      <c r="FH123" s="113">
        <v>0</v>
      </c>
      <c r="FI123" s="113">
        <v>0</v>
      </c>
      <c r="FJ123" s="113">
        <v>0</v>
      </c>
      <c r="FK123" s="113">
        <v>0</v>
      </c>
      <c r="FL123" s="113">
        <v>0</v>
      </c>
      <c r="FM123" s="113">
        <v>0</v>
      </c>
      <c r="FN123" s="113">
        <v>0</v>
      </c>
      <c r="FO123" s="113">
        <v>0</v>
      </c>
      <c r="FP123" s="113">
        <v>0</v>
      </c>
      <c r="FQ123" s="113">
        <v>0</v>
      </c>
      <c r="FR123" s="113">
        <v>0</v>
      </c>
      <c r="FS123" s="113">
        <v>0</v>
      </c>
      <c r="FT123" s="113">
        <v>0</v>
      </c>
      <c r="FU123" s="113">
        <v>0</v>
      </c>
      <c r="FV123" s="113">
        <v>0</v>
      </c>
      <c r="FW123" s="113">
        <v>0</v>
      </c>
      <c r="FX123" s="32">
        <v>0</v>
      </c>
      <c r="FY123" s="30">
        <v>0</v>
      </c>
      <c r="FZ123" s="30">
        <v>0</v>
      </c>
    </row>
    <row r="124" spans="1:182" x14ac:dyDescent="0.2">
      <c r="A124" s="28">
        <v>35339</v>
      </c>
      <c r="B124" s="28"/>
      <c r="C124" s="29">
        <v>282742</v>
      </c>
      <c r="D124" s="29">
        <v>144764</v>
      </c>
      <c r="E124" s="29">
        <f t="shared" si="2"/>
        <v>427506</v>
      </c>
      <c r="F124" s="30">
        <v>10193129</v>
      </c>
      <c r="G124" s="30">
        <v>0</v>
      </c>
      <c r="H124" s="30">
        <f t="shared" si="3"/>
        <v>10193129</v>
      </c>
      <c r="I124" s="42" t="s">
        <v>75</v>
      </c>
      <c r="J124" s="42" t="s">
        <v>75</v>
      </c>
      <c r="K124" s="32">
        <v>3096249</v>
      </c>
      <c r="L124" s="31" t="s">
        <v>75</v>
      </c>
      <c r="M124" s="31" t="s">
        <v>75</v>
      </c>
      <c r="N124" s="30">
        <v>9738196</v>
      </c>
      <c r="O124" s="31" t="s">
        <v>75</v>
      </c>
      <c r="P124" s="31" t="s">
        <v>75</v>
      </c>
      <c r="Q124" s="30">
        <v>14637030</v>
      </c>
      <c r="R124" s="31" t="s">
        <v>75</v>
      </c>
      <c r="S124" s="31" t="s">
        <v>75</v>
      </c>
      <c r="T124" s="32">
        <v>192020</v>
      </c>
      <c r="U124" s="31" t="s">
        <v>75</v>
      </c>
      <c r="V124" s="31" t="s">
        <v>75</v>
      </c>
      <c r="W124" s="31" t="s">
        <v>75</v>
      </c>
      <c r="X124" s="31" t="s">
        <v>75</v>
      </c>
      <c r="Y124" s="31" t="s">
        <v>75</v>
      </c>
      <c r="Z124" s="30">
        <v>216787</v>
      </c>
      <c r="AA124" s="31" t="s">
        <v>75</v>
      </c>
      <c r="AB124" s="31" t="s">
        <v>75</v>
      </c>
      <c r="AC124" s="30">
        <v>203370</v>
      </c>
      <c r="AD124" s="31" t="s">
        <v>75</v>
      </c>
      <c r="AE124" s="31" t="s">
        <v>75</v>
      </c>
      <c r="AF124" s="30">
        <v>42157</v>
      </c>
      <c r="AG124" s="42" t="s">
        <v>75</v>
      </c>
      <c r="AH124" s="42" t="s">
        <v>75</v>
      </c>
      <c r="AI124" s="32">
        <v>92592</v>
      </c>
      <c r="AJ124" s="31" t="s">
        <v>75</v>
      </c>
      <c r="AK124" s="31" t="s">
        <v>75</v>
      </c>
      <c r="AL124" s="31" t="s">
        <v>75</v>
      </c>
      <c r="AM124" s="31"/>
      <c r="AN124" s="31"/>
      <c r="AO124" s="31"/>
      <c r="AP124" s="31"/>
      <c r="AQ124" s="31"/>
      <c r="AR124" s="31"/>
      <c r="AS124" s="31" t="s">
        <v>75</v>
      </c>
      <c r="AT124" s="31" t="s">
        <v>75</v>
      </c>
      <c r="AU124" s="31" t="s">
        <v>75</v>
      </c>
      <c r="AV124" s="31" t="s">
        <v>75</v>
      </c>
      <c r="AW124" s="31" t="s">
        <v>75</v>
      </c>
      <c r="AX124" s="31" t="s">
        <v>75</v>
      </c>
      <c r="AY124" s="31" t="s">
        <v>75</v>
      </c>
      <c r="AZ124" s="31" t="s">
        <v>75</v>
      </c>
      <c r="BA124" s="31" t="s">
        <v>75</v>
      </c>
      <c r="BB124" s="31" t="s">
        <v>75</v>
      </c>
      <c r="BC124" s="31" t="s">
        <v>75</v>
      </c>
      <c r="BD124" s="31" t="s">
        <v>75</v>
      </c>
      <c r="BE124" s="113">
        <v>0</v>
      </c>
      <c r="BF124" s="113">
        <v>0</v>
      </c>
      <c r="BG124" s="113">
        <v>0</v>
      </c>
      <c r="BH124" s="113">
        <v>0</v>
      </c>
      <c r="BI124" s="113">
        <v>0</v>
      </c>
      <c r="BJ124" s="113">
        <v>0</v>
      </c>
      <c r="BK124" s="113">
        <v>0</v>
      </c>
      <c r="BL124" s="113">
        <v>0</v>
      </c>
      <c r="BM124" s="113">
        <v>0</v>
      </c>
      <c r="BN124" s="113">
        <v>0</v>
      </c>
      <c r="BO124" s="113">
        <v>0</v>
      </c>
      <c r="BP124" s="113">
        <v>0</v>
      </c>
      <c r="BQ124" s="113">
        <v>0</v>
      </c>
      <c r="BR124" s="113">
        <v>0</v>
      </c>
      <c r="BS124" s="113">
        <v>0</v>
      </c>
      <c r="BT124" s="113">
        <v>0</v>
      </c>
      <c r="BU124" s="113">
        <v>0</v>
      </c>
      <c r="BV124" s="113">
        <v>0</v>
      </c>
      <c r="BW124" s="113"/>
      <c r="BX124" s="113"/>
      <c r="BY124" s="113"/>
      <c r="BZ124" s="113">
        <v>0</v>
      </c>
      <c r="CA124" s="113">
        <v>0</v>
      </c>
      <c r="CB124" s="113">
        <v>0</v>
      </c>
      <c r="CC124" s="113"/>
      <c r="CD124" s="113"/>
      <c r="CE124" s="113"/>
      <c r="CF124" s="113">
        <v>0</v>
      </c>
      <c r="CG124" s="113">
        <v>0</v>
      </c>
      <c r="CH124" s="113">
        <v>0</v>
      </c>
      <c r="CI124" s="113">
        <v>0</v>
      </c>
      <c r="CJ124" s="113">
        <v>0</v>
      </c>
      <c r="CK124" s="113">
        <v>0</v>
      </c>
      <c r="CL124" s="113">
        <v>0</v>
      </c>
      <c r="CM124" s="113">
        <v>0</v>
      </c>
      <c r="CN124" s="113">
        <v>0</v>
      </c>
      <c r="CO124" s="113">
        <v>0</v>
      </c>
      <c r="CP124" s="113">
        <v>0</v>
      </c>
      <c r="CQ124" s="113">
        <v>0</v>
      </c>
      <c r="CR124" s="113">
        <v>0</v>
      </c>
      <c r="CS124" s="113">
        <v>0</v>
      </c>
      <c r="CT124" s="113">
        <v>0</v>
      </c>
      <c r="CU124" s="113">
        <v>0</v>
      </c>
      <c r="CV124" s="113">
        <v>0</v>
      </c>
      <c r="CW124" s="113">
        <v>0</v>
      </c>
      <c r="CX124" s="113">
        <v>0</v>
      </c>
      <c r="CY124" s="113">
        <v>0</v>
      </c>
      <c r="CZ124" s="113">
        <v>0</v>
      </c>
      <c r="DA124" s="113">
        <v>0</v>
      </c>
      <c r="DB124" s="113">
        <v>0</v>
      </c>
      <c r="DC124" s="113">
        <v>0</v>
      </c>
      <c r="DD124" s="113">
        <v>0</v>
      </c>
      <c r="DE124" s="113">
        <v>0</v>
      </c>
      <c r="DF124" s="113">
        <v>0</v>
      </c>
      <c r="DG124" s="113">
        <v>0</v>
      </c>
      <c r="DH124" s="113">
        <v>0</v>
      </c>
      <c r="DI124" s="113">
        <v>0</v>
      </c>
      <c r="DJ124" s="113">
        <v>0</v>
      </c>
      <c r="DK124" s="113">
        <v>0</v>
      </c>
      <c r="DL124" s="113">
        <v>0</v>
      </c>
      <c r="DM124" s="113">
        <v>0</v>
      </c>
      <c r="DN124" s="113">
        <v>0</v>
      </c>
      <c r="DO124" s="113">
        <v>0</v>
      </c>
      <c r="DP124" s="113">
        <v>0</v>
      </c>
      <c r="DQ124" s="113">
        <v>0</v>
      </c>
      <c r="DR124" s="113">
        <v>0</v>
      </c>
      <c r="DS124" s="113">
        <v>0</v>
      </c>
      <c r="DT124" s="113">
        <v>0</v>
      </c>
      <c r="DU124" s="113">
        <v>0</v>
      </c>
      <c r="DV124" s="113">
        <v>0</v>
      </c>
      <c r="DW124" s="113">
        <v>0</v>
      </c>
      <c r="DX124" s="113">
        <v>0</v>
      </c>
      <c r="DY124" s="113">
        <v>0</v>
      </c>
      <c r="DZ124" s="113">
        <v>0</v>
      </c>
      <c r="EA124" s="113">
        <v>0</v>
      </c>
      <c r="EB124" s="113">
        <v>0</v>
      </c>
      <c r="EC124" s="113">
        <v>0</v>
      </c>
      <c r="ED124" s="113">
        <v>0</v>
      </c>
      <c r="EE124" s="113">
        <v>0</v>
      </c>
      <c r="EF124" s="113">
        <v>0</v>
      </c>
      <c r="EG124" s="113">
        <v>0</v>
      </c>
      <c r="EH124" s="113">
        <v>0</v>
      </c>
      <c r="EI124" s="113">
        <v>0</v>
      </c>
      <c r="EJ124" s="113">
        <v>0</v>
      </c>
      <c r="EK124" s="113">
        <v>0</v>
      </c>
      <c r="EL124" s="113">
        <v>0</v>
      </c>
      <c r="EM124" s="113">
        <v>0</v>
      </c>
      <c r="EN124" s="113">
        <v>0</v>
      </c>
      <c r="EO124" s="113">
        <v>0</v>
      </c>
      <c r="EP124" s="113">
        <v>0</v>
      </c>
      <c r="EQ124" s="113">
        <v>0</v>
      </c>
      <c r="ER124" s="113">
        <v>0</v>
      </c>
      <c r="ES124" s="113">
        <v>0</v>
      </c>
      <c r="ET124" s="113">
        <v>0</v>
      </c>
      <c r="EU124" s="113">
        <v>0</v>
      </c>
      <c r="EV124" s="113">
        <v>0</v>
      </c>
      <c r="EW124" s="113">
        <v>0</v>
      </c>
      <c r="EX124" s="113">
        <v>0</v>
      </c>
      <c r="EY124" s="113">
        <v>0</v>
      </c>
      <c r="EZ124" s="113">
        <v>0</v>
      </c>
      <c r="FA124" s="113">
        <v>0</v>
      </c>
      <c r="FB124" s="113">
        <v>0</v>
      </c>
      <c r="FC124" s="113">
        <v>0</v>
      </c>
      <c r="FD124" s="113">
        <v>0</v>
      </c>
      <c r="FE124" s="113">
        <v>0</v>
      </c>
      <c r="FF124" s="113">
        <v>0</v>
      </c>
      <c r="FG124" s="113">
        <v>0</v>
      </c>
      <c r="FH124" s="113">
        <v>0</v>
      </c>
      <c r="FI124" s="113">
        <v>0</v>
      </c>
      <c r="FJ124" s="113">
        <v>0</v>
      </c>
      <c r="FK124" s="113">
        <v>0</v>
      </c>
      <c r="FL124" s="113">
        <v>0</v>
      </c>
      <c r="FM124" s="113">
        <v>0</v>
      </c>
      <c r="FN124" s="113">
        <v>0</v>
      </c>
      <c r="FO124" s="113">
        <v>0</v>
      </c>
      <c r="FP124" s="113">
        <v>0</v>
      </c>
      <c r="FQ124" s="113">
        <v>0</v>
      </c>
      <c r="FR124" s="113">
        <v>0</v>
      </c>
      <c r="FS124" s="113">
        <v>0</v>
      </c>
      <c r="FT124" s="113">
        <v>0</v>
      </c>
      <c r="FU124" s="113">
        <v>0</v>
      </c>
      <c r="FV124" s="113">
        <v>0</v>
      </c>
      <c r="FW124" s="113">
        <v>0</v>
      </c>
      <c r="FX124" s="32">
        <v>0</v>
      </c>
      <c r="FY124" s="30">
        <v>0</v>
      </c>
      <c r="FZ124" s="30">
        <v>0</v>
      </c>
    </row>
    <row r="125" spans="1:182" x14ac:dyDescent="0.2">
      <c r="A125" s="28">
        <v>35370</v>
      </c>
      <c r="B125" s="28"/>
      <c r="C125" s="29">
        <v>277719</v>
      </c>
      <c r="D125" s="29">
        <v>212763</v>
      </c>
      <c r="E125" s="29">
        <f t="shared" si="2"/>
        <v>490482</v>
      </c>
      <c r="F125" s="30">
        <v>10027327</v>
      </c>
      <c r="G125" s="30">
        <v>0</v>
      </c>
      <c r="H125" s="30">
        <f t="shared" si="3"/>
        <v>10027327</v>
      </c>
      <c r="I125" s="42" t="s">
        <v>75</v>
      </c>
      <c r="J125" s="42" t="s">
        <v>75</v>
      </c>
      <c r="K125" s="32">
        <v>4338844</v>
      </c>
      <c r="L125" s="31" t="s">
        <v>75</v>
      </c>
      <c r="M125" s="31" t="s">
        <v>75</v>
      </c>
      <c r="N125" s="30">
        <v>12423735</v>
      </c>
      <c r="O125" s="31" t="s">
        <v>75</v>
      </c>
      <c r="P125" s="31" t="s">
        <v>75</v>
      </c>
      <c r="Q125" s="30">
        <v>18524461</v>
      </c>
      <c r="R125" s="31" t="s">
        <v>75</v>
      </c>
      <c r="S125" s="31" t="s">
        <v>75</v>
      </c>
      <c r="T125" s="32">
        <v>172414</v>
      </c>
      <c r="U125" s="31" t="s">
        <v>75</v>
      </c>
      <c r="V125" s="31" t="s">
        <v>75</v>
      </c>
      <c r="W125" s="31" t="s">
        <v>75</v>
      </c>
      <c r="X125" s="31" t="s">
        <v>75</v>
      </c>
      <c r="Y125" s="31" t="s">
        <v>75</v>
      </c>
      <c r="Z125" s="30">
        <v>134802</v>
      </c>
      <c r="AA125" s="31" t="s">
        <v>75</v>
      </c>
      <c r="AB125" s="31" t="s">
        <v>75</v>
      </c>
      <c r="AC125" s="30">
        <v>151697</v>
      </c>
      <c r="AD125" s="31" t="s">
        <v>75</v>
      </c>
      <c r="AE125" s="31" t="s">
        <v>75</v>
      </c>
      <c r="AF125" s="30">
        <v>66742</v>
      </c>
      <c r="AG125" s="42" t="s">
        <v>75</v>
      </c>
      <c r="AH125" s="42" t="s">
        <v>75</v>
      </c>
      <c r="AI125" s="32">
        <v>79683</v>
      </c>
      <c r="AJ125" s="31" t="s">
        <v>75</v>
      </c>
      <c r="AK125" s="31" t="s">
        <v>75</v>
      </c>
      <c r="AL125" s="31" t="s">
        <v>75</v>
      </c>
      <c r="AM125" s="31"/>
      <c r="AN125" s="31"/>
      <c r="AO125" s="31"/>
      <c r="AP125" s="31"/>
      <c r="AQ125" s="31"/>
      <c r="AR125" s="31"/>
      <c r="AS125" s="31" t="s">
        <v>75</v>
      </c>
      <c r="AT125" s="31" t="s">
        <v>75</v>
      </c>
      <c r="AU125" s="31" t="s">
        <v>75</v>
      </c>
      <c r="AV125" s="31" t="s">
        <v>75</v>
      </c>
      <c r="AW125" s="31" t="s">
        <v>75</v>
      </c>
      <c r="AX125" s="31" t="s">
        <v>75</v>
      </c>
      <c r="AY125" s="31" t="s">
        <v>75</v>
      </c>
      <c r="AZ125" s="31" t="s">
        <v>75</v>
      </c>
      <c r="BA125" s="31" t="s">
        <v>75</v>
      </c>
      <c r="BB125" s="31" t="s">
        <v>75</v>
      </c>
      <c r="BC125" s="31" t="s">
        <v>75</v>
      </c>
      <c r="BD125" s="31" t="s">
        <v>75</v>
      </c>
      <c r="BE125" s="113">
        <v>0</v>
      </c>
      <c r="BF125" s="113">
        <v>0</v>
      </c>
      <c r="BG125" s="113">
        <v>0</v>
      </c>
      <c r="BH125" s="113">
        <v>0</v>
      </c>
      <c r="BI125" s="113">
        <v>0</v>
      </c>
      <c r="BJ125" s="113">
        <v>0</v>
      </c>
      <c r="BK125" s="113">
        <v>0</v>
      </c>
      <c r="BL125" s="113">
        <v>0</v>
      </c>
      <c r="BM125" s="113">
        <v>0</v>
      </c>
      <c r="BN125" s="113">
        <v>0</v>
      </c>
      <c r="BO125" s="113">
        <v>0</v>
      </c>
      <c r="BP125" s="113">
        <v>0</v>
      </c>
      <c r="BQ125" s="113">
        <v>0</v>
      </c>
      <c r="BR125" s="113">
        <v>0</v>
      </c>
      <c r="BS125" s="113">
        <v>0</v>
      </c>
      <c r="BT125" s="113">
        <v>0</v>
      </c>
      <c r="BU125" s="113">
        <v>0</v>
      </c>
      <c r="BV125" s="113">
        <v>0</v>
      </c>
      <c r="BW125" s="113"/>
      <c r="BX125" s="113"/>
      <c r="BY125" s="113"/>
      <c r="BZ125" s="113">
        <v>0</v>
      </c>
      <c r="CA125" s="113">
        <v>0</v>
      </c>
      <c r="CB125" s="113">
        <v>0</v>
      </c>
      <c r="CC125" s="113"/>
      <c r="CD125" s="113"/>
      <c r="CE125" s="113"/>
      <c r="CF125" s="113">
        <v>0</v>
      </c>
      <c r="CG125" s="113">
        <v>0</v>
      </c>
      <c r="CH125" s="113">
        <v>0</v>
      </c>
      <c r="CI125" s="113">
        <v>0</v>
      </c>
      <c r="CJ125" s="113">
        <v>0</v>
      </c>
      <c r="CK125" s="113">
        <v>0</v>
      </c>
      <c r="CL125" s="113">
        <v>0</v>
      </c>
      <c r="CM125" s="113">
        <v>0</v>
      </c>
      <c r="CN125" s="113">
        <v>0</v>
      </c>
      <c r="CO125" s="113">
        <v>0</v>
      </c>
      <c r="CP125" s="113">
        <v>0</v>
      </c>
      <c r="CQ125" s="113">
        <v>0</v>
      </c>
      <c r="CR125" s="113">
        <v>0</v>
      </c>
      <c r="CS125" s="113">
        <v>0</v>
      </c>
      <c r="CT125" s="113">
        <v>0</v>
      </c>
      <c r="CU125" s="113">
        <v>0</v>
      </c>
      <c r="CV125" s="113">
        <v>0</v>
      </c>
      <c r="CW125" s="113">
        <v>0</v>
      </c>
      <c r="CX125" s="113">
        <v>0</v>
      </c>
      <c r="CY125" s="113">
        <v>0</v>
      </c>
      <c r="CZ125" s="113">
        <v>0</v>
      </c>
      <c r="DA125" s="113">
        <v>0</v>
      </c>
      <c r="DB125" s="113">
        <v>0</v>
      </c>
      <c r="DC125" s="113">
        <v>0</v>
      </c>
      <c r="DD125" s="113">
        <v>0</v>
      </c>
      <c r="DE125" s="113">
        <v>0</v>
      </c>
      <c r="DF125" s="113">
        <v>0</v>
      </c>
      <c r="DG125" s="113">
        <v>0</v>
      </c>
      <c r="DH125" s="113">
        <v>0</v>
      </c>
      <c r="DI125" s="113">
        <v>0</v>
      </c>
      <c r="DJ125" s="113">
        <v>0</v>
      </c>
      <c r="DK125" s="113">
        <v>0</v>
      </c>
      <c r="DL125" s="113">
        <v>0</v>
      </c>
      <c r="DM125" s="113">
        <v>0</v>
      </c>
      <c r="DN125" s="113">
        <v>0</v>
      </c>
      <c r="DO125" s="113">
        <v>0</v>
      </c>
      <c r="DP125" s="113">
        <v>0</v>
      </c>
      <c r="DQ125" s="113">
        <v>0</v>
      </c>
      <c r="DR125" s="113">
        <v>0</v>
      </c>
      <c r="DS125" s="113">
        <v>0</v>
      </c>
      <c r="DT125" s="113">
        <v>0</v>
      </c>
      <c r="DU125" s="113">
        <v>0</v>
      </c>
      <c r="DV125" s="113">
        <v>0</v>
      </c>
      <c r="DW125" s="113">
        <v>0</v>
      </c>
      <c r="DX125" s="113">
        <v>0</v>
      </c>
      <c r="DY125" s="113">
        <v>0</v>
      </c>
      <c r="DZ125" s="113">
        <v>0</v>
      </c>
      <c r="EA125" s="113">
        <v>0</v>
      </c>
      <c r="EB125" s="113">
        <v>0</v>
      </c>
      <c r="EC125" s="113">
        <v>0</v>
      </c>
      <c r="ED125" s="113">
        <v>0</v>
      </c>
      <c r="EE125" s="113">
        <v>0</v>
      </c>
      <c r="EF125" s="113">
        <v>0</v>
      </c>
      <c r="EG125" s="113">
        <v>0</v>
      </c>
      <c r="EH125" s="113">
        <v>0</v>
      </c>
      <c r="EI125" s="113">
        <v>0</v>
      </c>
      <c r="EJ125" s="113">
        <v>0</v>
      </c>
      <c r="EK125" s="113">
        <v>0</v>
      </c>
      <c r="EL125" s="113">
        <v>0</v>
      </c>
      <c r="EM125" s="113">
        <v>0</v>
      </c>
      <c r="EN125" s="113">
        <v>0</v>
      </c>
      <c r="EO125" s="113">
        <v>0</v>
      </c>
      <c r="EP125" s="113">
        <v>0</v>
      </c>
      <c r="EQ125" s="113">
        <v>0</v>
      </c>
      <c r="ER125" s="113">
        <v>0</v>
      </c>
      <c r="ES125" s="113">
        <v>0</v>
      </c>
      <c r="ET125" s="113">
        <v>0</v>
      </c>
      <c r="EU125" s="113">
        <v>0</v>
      </c>
      <c r="EV125" s="113">
        <v>0</v>
      </c>
      <c r="EW125" s="113">
        <v>0</v>
      </c>
      <c r="EX125" s="113">
        <v>0</v>
      </c>
      <c r="EY125" s="113">
        <v>0</v>
      </c>
      <c r="EZ125" s="113">
        <v>0</v>
      </c>
      <c r="FA125" s="113">
        <v>0</v>
      </c>
      <c r="FB125" s="113">
        <v>0</v>
      </c>
      <c r="FC125" s="113">
        <v>0</v>
      </c>
      <c r="FD125" s="113">
        <v>0</v>
      </c>
      <c r="FE125" s="113">
        <v>0</v>
      </c>
      <c r="FF125" s="113">
        <v>0</v>
      </c>
      <c r="FG125" s="113">
        <v>0</v>
      </c>
      <c r="FH125" s="113">
        <v>0</v>
      </c>
      <c r="FI125" s="113">
        <v>0</v>
      </c>
      <c r="FJ125" s="113">
        <v>0</v>
      </c>
      <c r="FK125" s="113">
        <v>0</v>
      </c>
      <c r="FL125" s="113">
        <v>0</v>
      </c>
      <c r="FM125" s="113">
        <v>0</v>
      </c>
      <c r="FN125" s="113">
        <v>0</v>
      </c>
      <c r="FO125" s="113">
        <v>0</v>
      </c>
      <c r="FP125" s="113">
        <v>0</v>
      </c>
      <c r="FQ125" s="113">
        <v>0</v>
      </c>
      <c r="FR125" s="113">
        <v>0</v>
      </c>
      <c r="FS125" s="113">
        <v>0</v>
      </c>
      <c r="FT125" s="113">
        <v>0</v>
      </c>
      <c r="FU125" s="113">
        <v>0</v>
      </c>
      <c r="FV125" s="113">
        <v>0</v>
      </c>
      <c r="FW125" s="113">
        <v>0</v>
      </c>
      <c r="FX125" s="32">
        <v>0</v>
      </c>
      <c r="FY125" s="30">
        <v>0</v>
      </c>
      <c r="FZ125" s="30">
        <v>0</v>
      </c>
    </row>
    <row r="126" spans="1:182" x14ac:dyDescent="0.2">
      <c r="A126" s="28">
        <v>35400</v>
      </c>
      <c r="B126" s="28"/>
      <c r="C126" s="29">
        <v>331594</v>
      </c>
      <c r="D126" s="29">
        <v>223966</v>
      </c>
      <c r="E126" s="29">
        <f t="shared" si="2"/>
        <v>555560</v>
      </c>
      <c r="F126" s="30">
        <v>12262023</v>
      </c>
      <c r="G126" s="30">
        <v>0</v>
      </c>
      <c r="H126" s="30">
        <f t="shared" si="3"/>
        <v>12262023</v>
      </c>
      <c r="I126" s="42" t="s">
        <v>75</v>
      </c>
      <c r="J126" s="42" t="s">
        <v>75</v>
      </c>
      <c r="K126" s="32">
        <v>5513520</v>
      </c>
      <c r="L126" s="31" t="s">
        <v>75</v>
      </c>
      <c r="M126" s="31" t="s">
        <v>75</v>
      </c>
      <c r="N126" s="30">
        <v>17229413</v>
      </c>
      <c r="O126" s="31" t="s">
        <v>75</v>
      </c>
      <c r="P126" s="31" t="s">
        <v>75</v>
      </c>
      <c r="Q126" s="30">
        <v>21301491</v>
      </c>
      <c r="R126" s="31" t="s">
        <v>75</v>
      </c>
      <c r="S126" s="31" t="s">
        <v>75</v>
      </c>
      <c r="T126" s="32">
        <v>126849</v>
      </c>
      <c r="U126" s="31" t="s">
        <v>75</v>
      </c>
      <c r="V126" s="31" t="s">
        <v>75</v>
      </c>
      <c r="W126" s="31" t="s">
        <v>75</v>
      </c>
      <c r="X126" s="31" t="s">
        <v>75</v>
      </c>
      <c r="Y126" s="31" t="s">
        <v>75</v>
      </c>
      <c r="Z126" s="30">
        <v>186451</v>
      </c>
      <c r="AA126" s="31" t="s">
        <v>75</v>
      </c>
      <c r="AB126" s="31" t="s">
        <v>75</v>
      </c>
      <c r="AC126" s="30">
        <v>203498</v>
      </c>
      <c r="AD126" s="31" t="s">
        <v>75</v>
      </c>
      <c r="AE126" s="31" t="s">
        <v>75</v>
      </c>
      <c r="AF126" s="30">
        <v>79935</v>
      </c>
      <c r="AG126" s="42" t="s">
        <v>75</v>
      </c>
      <c r="AH126" s="42" t="s">
        <v>75</v>
      </c>
      <c r="AI126" s="32">
        <v>92688</v>
      </c>
      <c r="AJ126" s="31" t="s">
        <v>75</v>
      </c>
      <c r="AK126" s="31" t="s">
        <v>75</v>
      </c>
      <c r="AL126" s="31" t="s">
        <v>75</v>
      </c>
      <c r="AM126" s="31"/>
      <c r="AN126" s="31"/>
      <c r="AO126" s="31"/>
      <c r="AP126" s="31"/>
      <c r="AQ126" s="31"/>
      <c r="AR126" s="31"/>
      <c r="AS126" s="31" t="s">
        <v>75</v>
      </c>
      <c r="AT126" s="31" t="s">
        <v>75</v>
      </c>
      <c r="AU126" s="31" t="s">
        <v>75</v>
      </c>
      <c r="AV126" s="31" t="s">
        <v>75</v>
      </c>
      <c r="AW126" s="31" t="s">
        <v>75</v>
      </c>
      <c r="AX126" s="31" t="s">
        <v>75</v>
      </c>
      <c r="AY126" s="31" t="s">
        <v>75</v>
      </c>
      <c r="AZ126" s="31" t="s">
        <v>75</v>
      </c>
      <c r="BA126" s="31" t="s">
        <v>75</v>
      </c>
      <c r="BB126" s="31" t="s">
        <v>75</v>
      </c>
      <c r="BC126" s="31" t="s">
        <v>75</v>
      </c>
      <c r="BD126" s="31" t="s">
        <v>75</v>
      </c>
      <c r="BE126" s="113">
        <v>0</v>
      </c>
      <c r="BF126" s="113">
        <v>0</v>
      </c>
      <c r="BG126" s="113">
        <v>0</v>
      </c>
      <c r="BH126" s="113">
        <v>0</v>
      </c>
      <c r="BI126" s="113">
        <v>0</v>
      </c>
      <c r="BJ126" s="113">
        <v>0</v>
      </c>
      <c r="BK126" s="113">
        <v>0</v>
      </c>
      <c r="BL126" s="113">
        <v>0</v>
      </c>
      <c r="BM126" s="113">
        <v>0</v>
      </c>
      <c r="BN126" s="113">
        <v>0</v>
      </c>
      <c r="BO126" s="113">
        <v>0</v>
      </c>
      <c r="BP126" s="113">
        <v>0</v>
      </c>
      <c r="BQ126" s="113">
        <v>0</v>
      </c>
      <c r="BR126" s="113">
        <v>0</v>
      </c>
      <c r="BS126" s="113">
        <v>0</v>
      </c>
      <c r="BT126" s="113">
        <v>0</v>
      </c>
      <c r="BU126" s="113">
        <v>0</v>
      </c>
      <c r="BV126" s="113">
        <v>0</v>
      </c>
      <c r="BW126" s="113"/>
      <c r="BX126" s="113"/>
      <c r="BY126" s="113"/>
      <c r="BZ126" s="113">
        <v>0</v>
      </c>
      <c r="CA126" s="113">
        <v>0</v>
      </c>
      <c r="CB126" s="113">
        <v>0</v>
      </c>
      <c r="CC126" s="113"/>
      <c r="CD126" s="113"/>
      <c r="CE126" s="113"/>
      <c r="CF126" s="113">
        <v>0</v>
      </c>
      <c r="CG126" s="113">
        <v>0</v>
      </c>
      <c r="CH126" s="113">
        <v>0</v>
      </c>
      <c r="CI126" s="113">
        <v>0</v>
      </c>
      <c r="CJ126" s="113">
        <v>0</v>
      </c>
      <c r="CK126" s="113">
        <v>0</v>
      </c>
      <c r="CL126" s="113">
        <v>0</v>
      </c>
      <c r="CM126" s="113">
        <v>0</v>
      </c>
      <c r="CN126" s="113">
        <v>0</v>
      </c>
      <c r="CO126" s="113">
        <v>0</v>
      </c>
      <c r="CP126" s="113">
        <v>0</v>
      </c>
      <c r="CQ126" s="113">
        <v>0</v>
      </c>
      <c r="CR126" s="113">
        <v>0</v>
      </c>
      <c r="CS126" s="113">
        <v>0</v>
      </c>
      <c r="CT126" s="113">
        <v>0</v>
      </c>
      <c r="CU126" s="113">
        <v>0</v>
      </c>
      <c r="CV126" s="113">
        <v>0</v>
      </c>
      <c r="CW126" s="113">
        <v>0</v>
      </c>
      <c r="CX126" s="113">
        <v>0</v>
      </c>
      <c r="CY126" s="113">
        <v>0</v>
      </c>
      <c r="CZ126" s="113">
        <v>0</v>
      </c>
      <c r="DA126" s="113">
        <v>0</v>
      </c>
      <c r="DB126" s="113">
        <v>0</v>
      </c>
      <c r="DC126" s="113">
        <v>0</v>
      </c>
      <c r="DD126" s="113">
        <v>0</v>
      </c>
      <c r="DE126" s="113">
        <v>0</v>
      </c>
      <c r="DF126" s="113">
        <v>0</v>
      </c>
      <c r="DG126" s="113">
        <v>0</v>
      </c>
      <c r="DH126" s="113">
        <v>0</v>
      </c>
      <c r="DI126" s="113">
        <v>0</v>
      </c>
      <c r="DJ126" s="113">
        <v>0</v>
      </c>
      <c r="DK126" s="113">
        <v>0</v>
      </c>
      <c r="DL126" s="113">
        <v>0</v>
      </c>
      <c r="DM126" s="113">
        <v>0</v>
      </c>
      <c r="DN126" s="113">
        <v>0</v>
      </c>
      <c r="DO126" s="113">
        <v>0</v>
      </c>
      <c r="DP126" s="113">
        <v>0</v>
      </c>
      <c r="DQ126" s="113">
        <v>0</v>
      </c>
      <c r="DR126" s="113">
        <v>0</v>
      </c>
      <c r="DS126" s="113">
        <v>0</v>
      </c>
      <c r="DT126" s="113">
        <v>0</v>
      </c>
      <c r="DU126" s="113">
        <v>0</v>
      </c>
      <c r="DV126" s="113">
        <v>0</v>
      </c>
      <c r="DW126" s="113">
        <v>0</v>
      </c>
      <c r="DX126" s="113">
        <v>0</v>
      </c>
      <c r="DY126" s="113">
        <v>0</v>
      </c>
      <c r="DZ126" s="113">
        <v>0</v>
      </c>
      <c r="EA126" s="113">
        <v>0</v>
      </c>
      <c r="EB126" s="113">
        <v>0</v>
      </c>
      <c r="EC126" s="113">
        <v>0</v>
      </c>
      <c r="ED126" s="113">
        <v>0</v>
      </c>
      <c r="EE126" s="113">
        <v>0</v>
      </c>
      <c r="EF126" s="113">
        <v>0</v>
      </c>
      <c r="EG126" s="113">
        <v>0</v>
      </c>
      <c r="EH126" s="113">
        <v>0</v>
      </c>
      <c r="EI126" s="113">
        <v>0</v>
      </c>
      <c r="EJ126" s="113">
        <v>0</v>
      </c>
      <c r="EK126" s="113">
        <v>0</v>
      </c>
      <c r="EL126" s="113">
        <v>0</v>
      </c>
      <c r="EM126" s="113">
        <v>0</v>
      </c>
      <c r="EN126" s="113">
        <v>0</v>
      </c>
      <c r="EO126" s="113">
        <v>0</v>
      </c>
      <c r="EP126" s="113">
        <v>0</v>
      </c>
      <c r="EQ126" s="113">
        <v>0</v>
      </c>
      <c r="ER126" s="113">
        <v>0</v>
      </c>
      <c r="ES126" s="113">
        <v>0</v>
      </c>
      <c r="ET126" s="113">
        <v>0</v>
      </c>
      <c r="EU126" s="113">
        <v>0</v>
      </c>
      <c r="EV126" s="113">
        <v>0</v>
      </c>
      <c r="EW126" s="113">
        <v>0</v>
      </c>
      <c r="EX126" s="113">
        <v>0</v>
      </c>
      <c r="EY126" s="113">
        <v>0</v>
      </c>
      <c r="EZ126" s="113">
        <v>0</v>
      </c>
      <c r="FA126" s="113">
        <v>0</v>
      </c>
      <c r="FB126" s="113">
        <v>0</v>
      </c>
      <c r="FC126" s="113">
        <v>0</v>
      </c>
      <c r="FD126" s="113">
        <v>0</v>
      </c>
      <c r="FE126" s="113">
        <v>0</v>
      </c>
      <c r="FF126" s="113">
        <v>0</v>
      </c>
      <c r="FG126" s="113">
        <v>0</v>
      </c>
      <c r="FH126" s="113">
        <v>0</v>
      </c>
      <c r="FI126" s="113">
        <v>0</v>
      </c>
      <c r="FJ126" s="113">
        <v>0</v>
      </c>
      <c r="FK126" s="113">
        <v>0</v>
      </c>
      <c r="FL126" s="113">
        <v>0</v>
      </c>
      <c r="FM126" s="113">
        <v>0</v>
      </c>
      <c r="FN126" s="113">
        <v>0</v>
      </c>
      <c r="FO126" s="113">
        <v>0</v>
      </c>
      <c r="FP126" s="113">
        <v>0</v>
      </c>
      <c r="FQ126" s="113">
        <v>0</v>
      </c>
      <c r="FR126" s="113">
        <v>0</v>
      </c>
      <c r="FS126" s="113">
        <v>0</v>
      </c>
      <c r="FT126" s="113">
        <v>0</v>
      </c>
      <c r="FU126" s="113">
        <v>0</v>
      </c>
      <c r="FV126" s="113">
        <v>0</v>
      </c>
      <c r="FW126" s="113">
        <v>0</v>
      </c>
      <c r="FX126" s="32">
        <v>0</v>
      </c>
      <c r="FY126" s="30">
        <v>0</v>
      </c>
      <c r="FZ126" s="30">
        <v>0</v>
      </c>
    </row>
    <row r="127" spans="1:182" x14ac:dyDescent="0.2">
      <c r="A127" s="28">
        <v>35431</v>
      </c>
      <c r="B127" s="28"/>
      <c r="C127" s="29">
        <v>174150</v>
      </c>
      <c r="D127" s="29">
        <v>73613</v>
      </c>
      <c r="E127" s="29">
        <f t="shared" si="2"/>
        <v>247763</v>
      </c>
      <c r="F127" s="30">
        <v>8800649</v>
      </c>
      <c r="G127" s="30">
        <v>347374</v>
      </c>
      <c r="H127" s="30">
        <f t="shared" si="3"/>
        <v>9148023</v>
      </c>
      <c r="I127" s="42" t="s">
        <v>75</v>
      </c>
      <c r="J127" s="42" t="s">
        <v>75</v>
      </c>
      <c r="K127" s="32">
        <v>4591451</v>
      </c>
      <c r="L127" s="31" t="s">
        <v>75</v>
      </c>
      <c r="M127" s="31" t="s">
        <v>75</v>
      </c>
      <c r="N127" s="30">
        <v>11460201</v>
      </c>
      <c r="O127" s="31" t="s">
        <v>75</v>
      </c>
      <c r="P127" s="31" t="s">
        <v>75</v>
      </c>
      <c r="Q127" s="30">
        <v>25804250</v>
      </c>
      <c r="R127" s="31" t="s">
        <v>75</v>
      </c>
      <c r="S127" s="31" t="s">
        <v>75</v>
      </c>
      <c r="T127" s="32">
        <v>141425</v>
      </c>
      <c r="U127" s="31" t="s">
        <v>75</v>
      </c>
      <c r="V127" s="31" t="s">
        <v>75</v>
      </c>
      <c r="W127" s="31" t="s">
        <v>75</v>
      </c>
      <c r="X127" s="31" t="s">
        <v>75</v>
      </c>
      <c r="Y127" s="31" t="s">
        <v>75</v>
      </c>
      <c r="Z127" s="30">
        <v>53678</v>
      </c>
      <c r="AA127" s="31" t="s">
        <v>75</v>
      </c>
      <c r="AB127" s="31" t="s">
        <v>75</v>
      </c>
      <c r="AC127" s="30">
        <v>131868</v>
      </c>
      <c r="AD127" s="31" t="s">
        <v>75</v>
      </c>
      <c r="AE127" s="31" t="s">
        <v>75</v>
      </c>
      <c r="AF127" s="30">
        <v>27409</v>
      </c>
      <c r="AG127" s="42" t="s">
        <v>75</v>
      </c>
      <c r="AH127" s="42" t="s">
        <v>75</v>
      </c>
      <c r="AI127" s="32">
        <v>62844</v>
      </c>
      <c r="AJ127" s="31" t="s">
        <v>75</v>
      </c>
      <c r="AK127" s="31" t="s">
        <v>75</v>
      </c>
      <c r="AL127" s="31" t="s">
        <v>75</v>
      </c>
      <c r="AM127" s="31"/>
      <c r="AN127" s="31"/>
      <c r="AO127" s="31"/>
      <c r="AP127" s="31"/>
      <c r="AQ127" s="31"/>
      <c r="AR127" s="31"/>
      <c r="AS127" s="31" t="s">
        <v>75</v>
      </c>
      <c r="AT127" s="31" t="s">
        <v>75</v>
      </c>
      <c r="AU127" s="31" t="s">
        <v>75</v>
      </c>
      <c r="AV127" s="31" t="s">
        <v>75</v>
      </c>
      <c r="AW127" s="31" t="s">
        <v>75</v>
      </c>
      <c r="AX127" s="31" t="s">
        <v>75</v>
      </c>
      <c r="AY127" s="31" t="s">
        <v>75</v>
      </c>
      <c r="AZ127" s="31" t="s">
        <v>75</v>
      </c>
      <c r="BA127" s="31" t="s">
        <v>75</v>
      </c>
      <c r="BB127" s="31" t="s">
        <v>75</v>
      </c>
      <c r="BC127" s="31" t="s">
        <v>75</v>
      </c>
      <c r="BD127" s="31" t="s">
        <v>75</v>
      </c>
      <c r="BE127" s="113">
        <v>0</v>
      </c>
      <c r="BF127" s="113">
        <v>0</v>
      </c>
      <c r="BG127" s="113">
        <v>0</v>
      </c>
      <c r="BH127" s="113">
        <v>0</v>
      </c>
      <c r="BI127" s="113">
        <v>0</v>
      </c>
      <c r="BJ127" s="113">
        <v>0</v>
      </c>
      <c r="BK127" s="113">
        <v>0</v>
      </c>
      <c r="BL127" s="113">
        <v>0</v>
      </c>
      <c r="BM127" s="113">
        <v>0</v>
      </c>
      <c r="BN127" s="113">
        <v>0</v>
      </c>
      <c r="BO127" s="113">
        <v>0</v>
      </c>
      <c r="BP127" s="113">
        <v>0</v>
      </c>
      <c r="BQ127" s="113">
        <v>0</v>
      </c>
      <c r="BR127" s="113">
        <v>0</v>
      </c>
      <c r="BS127" s="113">
        <v>0</v>
      </c>
      <c r="BT127" s="113">
        <v>0</v>
      </c>
      <c r="BU127" s="113">
        <v>0</v>
      </c>
      <c r="BV127" s="113">
        <v>0</v>
      </c>
      <c r="BW127" s="113"/>
      <c r="BX127" s="113"/>
      <c r="BY127" s="113"/>
      <c r="BZ127" s="113">
        <v>0</v>
      </c>
      <c r="CA127" s="113">
        <v>0</v>
      </c>
      <c r="CB127" s="113">
        <v>0</v>
      </c>
      <c r="CC127" s="113"/>
      <c r="CD127" s="113"/>
      <c r="CE127" s="113"/>
      <c r="CF127" s="113">
        <v>0</v>
      </c>
      <c r="CG127" s="113">
        <v>0</v>
      </c>
      <c r="CH127" s="113">
        <v>0</v>
      </c>
      <c r="CI127" s="113">
        <v>0</v>
      </c>
      <c r="CJ127" s="113">
        <v>0</v>
      </c>
      <c r="CK127" s="113">
        <v>0</v>
      </c>
      <c r="CL127" s="113">
        <v>0</v>
      </c>
      <c r="CM127" s="113">
        <v>0</v>
      </c>
      <c r="CN127" s="113">
        <v>0</v>
      </c>
      <c r="CO127" s="113">
        <v>0</v>
      </c>
      <c r="CP127" s="113">
        <v>0</v>
      </c>
      <c r="CQ127" s="113">
        <v>0</v>
      </c>
      <c r="CR127" s="113">
        <v>0</v>
      </c>
      <c r="CS127" s="113">
        <v>0</v>
      </c>
      <c r="CT127" s="113">
        <v>0</v>
      </c>
      <c r="CU127" s="113">
        <v>0</v>
      </c>
      <c r="CV127" s="113">
        <v>0</v>
      </c>
      <c r="CW127" s="113">
        <v>0</v>
      </c>
      <c r="CX127" s="113">
        <v>0</v>
      </c>
      <c r="CY127" s="113">
        <v>0</v>
      </c>
      <c r="CZ127" s="113">
        <v>0</v>
      </c>
      <c r="DA127" s="113">
        <v>0</v>
      </c>
      <c r="DB127" s="113">
        <v>0</v>
      </c>
      <c r="DC127" s="113">
        <v>0</v>
      </c>
      <c r="DD127" s="113">
        <v>0</v>
      </c>
      <c r="DE127" s="113">
        <v>0</v>
      </c>
      <c r="DF127" s="113">
        <v>0</v>
      </c>
      <c r="DG127" s="113">
        <v>0</v>
      </c>
      <c r="DH127" s="113">
        <v>0</v>
      </c>
      <c r="DI127" s="113">
        <v>0</v>
      </c>
      <c r="DJ127" s="113">
        <v>0</v>
      </c>
      <c r="DK127" s="113">
        <v>0</v>
      </c>
      <c r="DL127" s="113">
        <v>0</v>
      </c>
      <c r="DM127" s="113">
        <v>0</v>
      </c>
      <c r="DN127" s="113">
        <v>0</v>
      </c>
      <c r="DO127" s="113">
        <v>0</v>
      </c>
      <c r="DP127" s="113">
        <v>0</v>
      </c>
      <c r="DQ127" s="113">
        <v>0</v>
      </c>
      <c r="DR127" s="113">
        <v>0</v>
      </c>
      <c r="DS127" s="113">
        <v>0</v>
      </c>
      <c r="DT127" s="113">
        <v>0</v>
      </c>
      <c r="DU127" s="113">
        <v>0</v>
      </c>
      <c r="DV127" s="113">
        <v>0</v>
      </c>
      <c r="DW127" s="113">
        <v>0</v>
      </c>
      <c r="DX127" s="113">
        <v>0</v>
      </c>
      <c r="DY127" s="113">
        <v>0</v>
      </c>
      <c r="DZ127" s="113">
        <v>0</v>
      </c>
      <c r="EA127" s="113">
        <v>0</v>
      </c>
      <c r="EB127" s="113">
        <v>0</v>
      </c>
      <c r="EC127" s="113">
        <v>0</v>
      </c>
      <c r="ED127" s="113">
        <v>0</v>
      </c>
      <c r="EE127" s="113">
        <v>0</v>
      </c>
      <c r="EF127" s="113">
        <v>0</v>
      </c>
      <c r="EG127" s="113">
        <v>0</v>
      </c>
      <c r="EH127" s="113">
        <v>0</v>
      </c>
      <c r="EI127" s="113">
        <v>0</v>
      </c>
      <c r="EJ127" s="113">
        <v>0</v>
      </c>
      <c r="EK127" s="113">
        <v>0</v>
      </c>
      <c r="EL127" s="113">
        <v>0</v>
      </c>
      <c r="EM127" s="113">
        <v>0</v>
      </c>
      <c r="EN127" s="113">
        <v>0</v>
      </c>
      <c r="EO127" s="113">
        <v>0</v>
      </c>
      <c r="EP127" s="113">
        <v>0</v>
      </c>
      <c r="EQ127" s="113">
        <v>0</v>
      </c>
      <c r="ER127" s="113">
        <v>0</v>
      </c>
      <c r="ES127" s="113">
        <v>0</v>
      </c>
      <c r="ET127" s="113">
        <v>0</v>
      </c>
      <c r="EU127" s="113">
        <v>0</v>
      </c>
      <c r="EV127" s="113">
        <v>0</v>
      </c>
      <c r="EW127" s="113">
        <v>0</v>
      </c>
      <c r="EX127" s="113">
        <v>0</v>
      </c>
      <c r="EY127" s="113">
        <v>0</v>
      </c>
      <c r="EZ127" s="113">
        <v>0</v>
      </c>
      <c r="FA127" s="113">
        <v>0</v>
      </c>
      <c r="FB127" s="113">
        <v>0</v>
      </c>
      <c r="FC127" s="113">
        <v>0</v>
      </c>
      <c r="FD127" s="113">
        <v>0</v>
      </c>
      <c r="FE127" s="113">
        <v>0</v>
      </c>
      <c r="FF127" s="113">
        <v>0</v>
      </c>
      <c r="FG127" s="113">
        <v>0</v>
      </c>
      <c r="FH127" s="113">
        <v>0</v>
      </c>
      <c r="FI127" s="113">
        <v>0</v>
      </c>
      <c r="FJ127" s="113">
        <v>0</v>
      </c>
      <c r="FK127" s="113">
        <v>0</v>
      </c>
      <c r="FL127" s="113">
        <v>0</v>
      </c>
      <c r="FM127" s="113">
        <v>0</v>
      </c>
      <c r="FN127" s="113">
        <v>0</v>
      </c>
      <c r="FO127" s="113">
        <v>0</v>
      </c>
      <c r="FP127" s="113">
        <v>0</v>
      </c>
      <c r="FQ127" s="113">
        <v>0</v>
      </c>
      <c r="FR127" s="113">
        <v>0</v>
      </c>
      <c r="FS127" s="113">
        <v>0</v>
      </c>
      <c r="FT127" s="113">
        <v>0</v>
      </c>
      <c r="FU127" s="113">
        <v>0</v>
      </c>
      <c r="FV127" s="113">
        <v>0</v>
      </c>
      <c r="FW127" s="113">
        <v>0</v>
      </c>
      <c r="FX127" s="32">
        <v>0</v>
      </c>
      <c r="FY127" s="30">
        <v>0</v>
      </c>
      <c r="FZ127" s="30">
        <v>0</v>
      </c>
    </row>
    <row r="128" spans="1:182" x14ac:dyDescent="0.2">
      <c r="A128" s="28">
        <v>35462</v>
      </c>
      <c r="B128" s="28"/>
      <c r="C128" s="29">
        <v>173535</v>
      </c>
      <c r="D128" s="29">
        <v>86965</v>
      </c>
      <c r="E128" s="29">
        <f t="shared" si="2"/>
        <v>260500</v>
      </c>
      <c r="F128" s="30">
        <v>7175144</v>
      </c>
      <c r="G128" s="30">
        <v>182678</v>
      </c>
      <c r="H128" s="30">
        <f t="shared" si="3"/>
        <v>7357822</v>
      </c>
      <c r="I128" s="42" t="s">
        <v>75</v>
      </c>
      <c r="J128" s="42" t="s">
        <v>75</v>
      </c>
      <c r="K128" s="32">
        <v>3957086</v>
      </c>
      <c r="L128" s="31" t="s">
        <v>75</v>
      </c>
      <c r="M128" s="31" t="s">
        <v>75</v>
      </c>
      <c r="N128" s="30">
        <v>11374459</v>
      </c>
      <c r="O128" s="31" t="s">
        <v>75</v>
      </c>
      <c r="P128" s="31" t="s">
        <v>75</v>
      </c>
      <c r="Q128" s="30">
        <v>19174516</v>
      </c>
      <c r="R128" s="31" t="s">
        <v>75</v>
      </c>
      <c r="S128" s="31" t="s">
        <v>75</v>
      </c>
      <c r="T128" s="32">
        <v>183753</v>
      </c>
      <c r="U128" s="31" t="s">
        <v>75</v>
      </c>
      <c r="V128" s="31" t="s">
        <v>75</v>
      </c>
      <c r="W128" s="31" t="s">
        <v>75</v>
      </c>
      <c r="X128" s="31" t="s">
        <v>75</v>
      </c>
      <c r="Y128" s="31" t="s">
        <v>75</v>
      </c>
      <c r="Z128" s="30">
        <v>57118</v>
      </c>
      <c r="AA128" s="31" t="s">
        <v>75</v>
      </c>
      <c r="AB128" s="31" t="s">
        <v>75</v>
      </c>
      <c r="AC128" s="30">
        <v>140318</v>
      </c>
      <c r="AD128" s="31" t="s">
        <v>75</v>
      </c>
      <c r="AE128" s="31" t="s">
        <v>75</v>
      </c>
      <c r="AF128" s="30">
        <v>10233</v>
      </c>
      <c r="AG128" s="42" t="s">
        <v>75</v>
      </c>
      <c r="AH128" s="42" t="s">
        <v>75</v>
      </c>
      <c r="AI128" s="32">
        <v>64487</v>
      </c>
      <c r="AJ128" s="31" t="s">
        <v>75</v>
      </c>
      <c r="AK128" s="31" t="s">
        <v>75</v>
      </c>
      <c r="AL128" s="31" t="s">
        <v>75</v>
      </c>
      <c r="AM128" s="31"/>
      <c r="AN128" s="31"/>
      <c r="AO128" s="31"/>
      <c r="AP128" s="31"/>
      <c r="AQ128" s="31"/>
      <c r="AR128" s="31"/>
      <c r="AS128" s="31" t="s">
        <v>75</v>
      </c>
      <c r="AT128" s="31" t="s">
        <v>75</v>
      </c>
      <c r="AU128" s="31" t="s">
        <v>75</v>
      </c>
      <c r="AV128" s="31" t="s">
        <v>75</v>
      </c>
      <c r="AW128" s="31" t="s">
        <v>75</v>
      </c>
      <c r="AX128" s="31" t="s">
        <v>75</v>
      </c>
      <c r="AY128" s="31" t="s">
        <v>75</v>
      </c>
      <c r="AZ128" s="31" t="s">
        <v>75</v>
      </c>
      <c r="BA128" s="31" t="s">
        <v>75</v>
      </c>
      <c r="BB128" s="31" t="s">
        <v>75</v>
      </c>
      <c r="BC128" s="31" t="s">
        <v>75</v>
      </c>
      <c r="BD128" s="31" t="s">
        <v>75</v>
      </c>
      <c r="BE128" s="113">
        <v>0</v>
      </c>
      <c r="BF128" s="113">
        <v>0</v>
      </c>
      <c r="BG128" s="113">
        <v>0</v>
      </c>
      <c r="BH128" s="113">
        <v>0</v>
      </c>
      <c r="BI128" s="113">
        <v>0</v>
      </c>
      <c r="BJ128" s="113">
        <v>0</v>
      </c>
      <c r="BK128" s="113">
        <v>0</v>
      </c>
      <c r="BL128" s="113">
        <v>0</v>
      </c>
      <c r="BM128" s="113">
        <v>0</v>
      </c>
      <c r="BN128" s="113">
        <v>0</v>
      </c>
      <c r="BO128" s="113">
        <v>0</v>
      </c>
      <c r="BP128" s="113">
        <v>0</v>
      </c>
      <c r="BQ128" s="113">
        <v>0</v>
      </c>
      <c r="BR128" s="113">
        <v>0</v>
      </c>
      <c r="BS128" s="113">
        <v>0</v>
      </c>
      <c r="BT128" s="113">
        <v>0</v>
      </c>
      <c r="BU128" s="113">
        <v>0</v>
      </c>
      <c r="BV128" s="113">
        <v>0</v>
      </c>
      <c r="BW128" s="113"/>
      <c r="BX128" s="113"/>
      <c r="BY128" s="113"/>
      <c r="BZ128" s="113">
        <v>0</v>
      </c>
      <c r="CA128" s="113">
        <v>0</v>
      </c>
      <c r="CB128" s="113">
        <v>0</v>
      </c>
      <c r="CC128" s="113"/>
      <c r="CD128" s="113"/>
      <c r="CE128" s="113"/>
      <c r="CF128" s="113">
        <v>0</v>
      </c>
      <c r="CG128" s="113">
        <v>0</v>
      </c>
      <c r="CH128" s="113">
        <v>0</v>
      </c>
      <c r="CI128" s="113">
        <v>0</v>
      </c>
      <c r="CJ128" s="113">
        <v>0</v>
      </c>
      <c r="CK128" s="113">
        <v>0</v>
      </c>
      <c r="CL128" s="113">
        <v>0</v>
      </c>
      <c r="CM128" s="113">
        <v>0</v>
      </c>
      <c r="CN128" s="113">
        <v>0</v>
      </c>
      <c r="CO128" s="113">
        <v>0</v>
      </c>
      <c r="CP128" s="113">
        <v>0</v>
      </c>
      <c r="CQ128" s="113">
        <v>0</v>
      </c>
      <c r="CR128" s="113">
        <v>0</v>
      </c>
      <c r="CS128" s="113">
        <v>0</v>
      </c>
      <c r="CT128" s="113">
        <v>0</v>
      </c>
      <c r="CU128" s="113">
        <v>0</v>
      </c>
      <c r="CV128" s="113">
        <v>0</v>
      </c>
      <c r="CW128" s="113">
        <v>0</v>
      </c>
      <c r="CX128" s="113">
        <v>0</v>
      </c>
      <c r="CY128" s="113">
        <v>0</v>
      </c>
      <c r="CZ128" s="113">
        <v>0</v>
      </c>
      <c r="DA128" s="113">
        <v>0</v>
      </c>
      <c r="DB128" s="113">
        <v>0</v>
      </c>
      <c r="DC128" s="113">
        <v>0</v>
      </c>
      <c r="DD128" s="113">
        <v>0</v>
      </c>
      <c r="DE128" s="113">
        <v>0</v>
      </c>
      <c r="DF128" s="113">
        <v>0</v>
      </c>
      <c r="DG128" s="113">
        <v>0</v>
      </c>
      <c r="DH128" s="113">
        <v>0</v>
      </c>
      <c r="DI128" s="113">
        <v>0</v>
      </c>
      <c r="DJ128" s="113">
        <v>0</v>
      </c>
      <c r="DK128" s="113">
        <v>0</v>
      </c>
      <c r="DL128" s="113">
        <v>0</v>
      </c>
      <c r="DM128" s="113">
        <v>0</v>
      </c>
      <c r="DN128" s="113">
        <v>0</v>
      </c>
      <c r="DO128" s="113">
        <v>0</v>
      </c>
      <c r="DP128" s="113">
        <v>0</v>
      </c>
      <c r="DQ128" s="113">
        <v>0</v>
      </c>
      <c r="DR128" s="113">
        <v>0</v>
      </c>
      <c r="DS128" s="113">
        <v>0</v>
      </c>
      <c r="DT128" s="113">
        <v>0</v>
      </c>
      <c r="DU128" s="113">
        <v>0</v>
      </c>
      <c r="DV128" s="113">
        <v>0</v>
      </c>
      <c r="DW128" s="113">
        <v>0</v>
      </c>
      <c r="DX128" s="113">
        <v>0</v>
      </c>
      <c r="DY128" s="113">
        <v>0</v>
      </c>
      <c r="DZ128" s="113">
        <v>0</v>
      </c>
      <c r="EA128" s="113">
        <v>0</v>
      </c>
      <c r="EB128" s="113">
        <v>0</v>
      </c>
      <c r="EC128" s="113">
        <v>0</v>
      </c>
      <c r="ED128" s="113">
        <v>0</v>
      </c>
      <c r="EE128" s="113">
        <v>0</v>
      </c>
      <c r="EF128" s="113">
        <v>0</v>
      </c>
      <c r="EG128" s="113">
        <v>0</v>
      </c>
      <c r="EH128" s="113">
        <v>0</v>
      </c>
      <c r="EI128" s="113">
        <v>0</v>
      </c>
      <c r="EJ128" s="113">
        <v>0</v>
      </c>
      <c r="EK128" s="113">
        <v>0</v>
      </c>
      <c r="EL128" s="113">
        <v>0</v>
      </c>
      <c r="EM128" s="113">
        <v>0</v>
      </c>
      <c r="EN128" s="113">
        <v>0</v>
      </c>
      <c r="EO128" s="113">
        <v>0</v>
      </c>
      <c r="EP128" s="113">
        <v>0</v>
      </c>
      <c r="EQ128" s="113">
        <v>0</v>
      </c>
      <c r="ER128" s="113">
        <v>0</v>
      </c>
      <c r="ES128" s="113">
        <v>0</v>
      </c>
      <c r="ET128" s="113">
        <v>0</v>
      </c>
      <c r="EU128" s="113">
        <v>0</v>
      </c>
      <c r="EV128" s="113">
        <v>0</v>
      </c>
      <c r="EW128" s="113">
        <v>0</v>
      </c>
      <c r="EX128" s="113">
        <v>0</v>
      </c>
      <c r="EY128" s="113">
        <v>0</v>
      </c>
      <c r="EZ128" s="113">
        <v>0</v>
      </c>
      <c r="FA128" s="113">
        <v>0</v>
      </c>
      <c r="FB128" s="113">
        <v>0</v>
      </c>
      <c r="FC128" s="113">
        <v>0</v>
      </c>
      <c r="FD128" s="113">
        <v>0</v>
      </c>
      <c r="FE128" s="113">
        <v>0</v>
      </c>
      <c r="FF128" s="113">
        <v>0</v>
      </c>
      <c r="FG128" s="113">
        <v>0</v>
      </c>
      <c r="FH128" s="113">
        <v>0</v>
      </c>
      <c r="FI128" s="113">
        <v>0</v>
      </c>
      <c r="FJ128" s="113">
        <v>0</v>
      </c>
      <c r="FK128" s="113">
        <v>0</v>
      </c>
      <c r="FL128" s="113">
        <v>0</v>
      </c>
      <c r="FM128" s="113">
        <v>0</v>
      </c>
      <c r="FN128" s="113">
        <v>0</v>
      </c>
      <c r="FO128" s="113">
        <v>0</v>
      </c>
      <c r="FP128" s="113">
        <v>0</v>
      </c>
      <c r="FQ128" s="113">
        <v>0</v>
      </c>
      <c r="FR128" s="113">
        <v>0</v>
      </c>
      <c r="FS128" s="113">
        <v>0</v>
      </c>
      <c r="FT128" s="113">
        <v>0</v>
      </c>
      <c r="FU128" s="113">
        <v>0</v>
      </c>
      <c r="FV128" s="113">
        <v>0</v>
      </c>
      <c r="FW128" s="113">
        <v>0</v>
      </c>
      <c r="FX128" s="32">
        <v>0</v>
      </c>
      <c r="FY128" s="30">
        <v>0</v>
      </c>
      <c r="FZ128" s="30">
        <v>0</v>
      </c>
    </row>
    <row r="129" spans="1:182" x14ac:dyDescent="0.2">
      <c r="A129" s="28">
        <v>35490</v>
      </c>
      <c r="B129" s="28"/>
      <c r="C129" s="29">
        <v>185823</v>
      </c>
      <c r="D129" s="29">
        <v>103060</v>
      </c>
      <c r="E129" s="29">
        <f t="shared" si="2"/>
        <v>288883</v>
      </c>
      <c r="F129" s="30">
        <v>6245687</v>
      </c>
      <c r="G129" s="30">
        <v>150332</v>
      </c>
      <c r="H129" s="30">
        <f t="shared" si="3"/>
        <v>6396019</v>
      </c>
      <c r="I129" s="42" t="s">
        <v>75</v>
      </c>
      <c r="J129" s="42" t="s">
        <v>75</v>
      </c>
      <c r="K129" s="32">
        <v>3683663</v>
      </c>
      <c r="L129" s="31" t="s">
        <v>75</v>
      </c>
      <c r="M129" s="31" t="s">
        <v>75</v>
      </c>
      <c r="N129" s="30">
        <v>11134464</v>
      </c>
      <c r="O129" s="31" t="s">
        <v>75</v>
      </c>
      <c r="P129" s="31" t="s">
        <v>75</v>
      </c>
      <c r="Q129" s="30">
        <v>16892950</v>
      </c>
      <c r="R129" s="31" t="s">
        <v>75</v>
      </c>
      <c r="S129" s="31" t="s">
        <v>75</v>
      </c>
      <c r="T129" s="32">
        <v>123300</v>
      </c>
      <c r="U129" s="31" t="s">
        <v>75</v>
      </c>
      <c r="V129" s="31" t="s">
        <v>75</v>
      </c>
      <c r="W129" s="31" t="s">
        <v>75</v>
      </c>
      <c r="X129" s="31" t="s">
        <v>75</v>
      </c>
      <c r="Y129" s="31" t="s">
        <v>75</v>
      </c>
      <c r="Z129" s="30">
        <v>55411</v>
      </c>
      <c r="AA129" s="31" t="s">
        <v>75</v>
      </c>
      <c r="AB129" s="31" t="s">
        <v>75</v>
      </c>
      <c r="AC129" s="30">
        <v>161262</v>
      </c>
      <c r="AD129" s="31" t="s">
        <v>75</v>
      </c>
      <c r="AE129" s="31" t="s">
        <v>75</v>
      </c>
      <c r="AF129" s="30">
        <v>9339</v>
      </c>
      <c r="AG129" s="42" t="s">
        <v>75</v>
      </c>
      <c r="AH129" s="42" t="s">
        <v>75</v>
      </c>
      <c r="AI129" s="32">
        <v>93065</v>
      </c>
      <c r="AJ129" s="31" t="s">
        <v>75</v>
      </c>
      <c r="AK129" s="31" t="s">
        <v>75</v>
      </c>
      <c r="AL129" s="31" t="s">
        <v>75</v>
      </c>
      <c r="AM129" s="31"/>
      <c r="AN129" s="31"/>
      <c r="AO129" s="31"/>
      <c r="AP129" s="31"/>
      <c r="AQ129" s="31"/>
      <c r="AR129" s="31"/>
      <c r="AS129" s="31" t="s">
        <v>75</v>
      </c>
      <c r="AT129" s="31" t="s">
        <v>75</v>
      </c>
      <c r="AU129" s="31" t="s">
        <v>75</v>
      </c>
      <c r="AV129" s="31" t="s">
        <v>75</v>
      </c>
      <c r="AW129" s="31" t="s">
        <v>75</v>
      </c>
      <c r="AX129" s="31" t="s">
        <v>75</v>
      </c>
      <c r="AY129" s="31" t="s">
        <v>75</v>
      </c>
      <c r="AZ129" s="31" t="s">
        <v>75</v>
      </c>
      <c r="BA129" s="31" t="s">
        <v>75</v>
      </c>
      <c r="BB129" s="31" t="s">
        <v>75</v>
      </c>
      <c r="BC129" s="31" t="s">
        <v>75</v>
      </c>
      <c r="BD129" s="31" t="s">
        <v>75</v>
      </c>
      <c r="BE129" s="113">
        <v>0</v>
      </c>
      <c r="BF129" s="113">
        <v>0</v>
      </c>
      <c r="BG129" s="113">
        <v>0</v>
      </c>
      <c r="BH129" s="113">
        <v>0</v>
      </c>
      <c r="BI129" s="113">
        <v>0</v>
      </c>
      <c r="BJ129" s="113">
        <v>0</v>
      </c>
      <c r="BK129" s="113">
        <v>0</v>
      </c>
      <c r="BL129" s="113">
        <v>0</v>
      </c>
      <c r="BM129" s="113">
        <v>0</v>
      </c>
      <c r="BN129" s="113">
        <v>0</v>
      </c>
      <c r="BO129" s="113">
        <v>0</v>
      </c>
      <c r="BP129" s="113">
        <v>0</v>
      </c>
      <c r="BQ129" s="113">
        <v>0</v>
      </c>
      <c r="BR129" s="113">
        <v>0</v>
      </c>
      <c r="BS129" s="113">
        <v>0</v>
      </c>
      <c r="BT129" s="113">
        <v>0</v>
      </c>
      <c r="BU129" s="113">
        <v>0</v>
      </c>
      <c r="BV129" s="113">
        <v>0</v>
      </c>
      <c r="BW129" s="113"/>
      <c r="BX129" s="113"/>
      <c r="BY129" s="113"/>
      <c r="BZ129" s="113">
        <v>0</v>
      </c>
      <c r="CA129" s="113">
        <v>0</v>
      </c>
      <c r="CB129" s="113">
        <v>0</v>
      </c>
      <c r="CC129" s="113"/>
      <c r="CD129" s="113"/>
      <c r="CE129" s="113"/>
      <c r="CF129" s="113">
        <v>0</v>
      </c>
      <c r="CG129" s="113">
        <v>0</v>
      </c>
      <c r="CH129" s="113">
        <v>0</v>
      </c>
      <c r="CI129" s="113">
        <v>0</v>
      </c>
      <c r="CJ129" s="113">
        <v>0</v>
      </c>
      <c r="CK129" s="113">
        <v>0</v>
      </c>
      <c r="CL129" s="113">
        <v>0</v>
      </c>
      <c r="CM129" s="113">
        <v>0</v>
      </c>
      <c r="CN129" s="113">
        <v>0</v>
      </c>
      <c r="CO129" s="113">
        <v>0</v>
      </c>
      <c r="CP129" s="113">
        <v>0</v>
      </c>
      <c r="CQ129" s="113">
        <v>0</v>
      </c>
      <c r="CR129" s="113">
        <v>0</v>
      </c>
      <c r="CS129" s="113">
        <v>0</v>
      </c>
      <c r="CT129" s="113">
        <v>0</v>
      </c>
      <c r="CU129" s="113">
        <v>0</v>
      </c>
      <c r="CV129" s="113">
        <v>0</v>
      </c>
      <c r="CW129" s="113">
        <v>0</v>
      </c>
      <c r="CX129" s="113">
        <v>0</v>
      </c>
      <c r="CY129" s="113">
        <v>0</v>
      </c>
      <c r="CZ129" s="113">
        <v>0</v>
      </c>
      <c r="DA129" s="113">
        <v>0</v>
      </c>
      <c r="DB129" s="113">
        <v>0</v>
      </c>
      <c r="DC129" s="113">
        <v>0</v>
      </c>
      <c r="DD129" s="113">
        <v>0</v>
      </c>
      <c r="DE129" s="113">
        <v>0</v>
      </c>
      <c r="DF129" s="113">
        <v>0</v>
      </c>
      <c r="DG129" s="113">
        <v>0</v>
      </c>
      <c r="DH129" s="113">
        <v>0</v>
      </c>
      <c r="DI129" s="113">
        <v>0</v>
      </c>
      <c r="DJ129" s="113">
        <v>0</v>
      </c>
      <c r="DK129" s="113">
        <v>0</v>
      </c>
      <c r="DL129" s="113">
        <v>0</v>
      </c>
      <c r="DM129" s="113">
        <v>0</v>
      </c>
      <c r="DN129" s="113">
        <v>0</v>
      </c>
      <c r="DO129" s="113">
        <v>0</v>
      </c>
      <c r="DP129" s="113">
        <v>0</v>
      </c>
      <c r="DQ129" s="113">
        <v>0</v>
      </c>
      <c r="DR129" s="113">
        <v>0</v>
      </c>
      <c r="DS129" s="113">
        <v>0</v>
      </c>
      <c r="DT129" s="113">
        <v>0</v>
      </c>
      <c r="DU129" s="113">
        <v>0</v>
      </c>
      <c r="DV129" s="113">
        <v>0</v>
      </c>
      <c r="DW129" s="113">
        <v>0</v>
      </c>
      <c r="DX129" s="113">
        <v>0</v>
      </c>
      <c r="DY129" s="113">
        <v>0</v>
      </c>
      <c r="DZ129" s="113">
        <v>0</v>
      </c>
      <c r="EA129" s="113">
        <v>0</v>
      </c>
      <c r="EB129" s="113">
        <v>0</v>
      </c>
      <c r="EC129" s="113">
        <v>0</v>
      </c>
      <c r="ED129" s="113">
        <v>0</v>
      </c>
      <c r="EE129" s="113">
        <v>0</v>
      </c>
      <c r="EF129" s="113">
        <v>0</v>
      </c>
      <c r="EG129" s="113">
        <v>0</v>
      </c>
      <c r="EH129" s="113">
        <v>0</v>
      </c>
      <c r="EI129" s="113">
        <v>0</v>
      </c>
      <c r="EJ129" s="113">
        <v>0</v>
      </c>
      <c r="EK129" s="113">
        <v>0</v>
      </c>
      <c r="EL129" s="113">
        <v>0</v>
      </c>
      <c r="EM129" s="113">
        <v>0</v>
      </c>
      <c r="EN129" s="113">
        <v>0</v>
      </c>
      <c r="EO129" s="113">
        <v>0</v>
      </c>
      <c r="EP129" s="113">
        <v>0</v>
      </c>
      <c r="EQ129" s="113">
        <v>0</v>
      </c>
      <c r="ER129" s="113">
        <v>0</v>
      </c>
      <c r="ES129" s="113">
        <v>0</v>
      </c>
      <c r="ET129" s="113">
        <v>0</v>
      </c>
      <c r="EU129" s="113">
        <v>0</v>
      </c>
      <c r="EV129" s="113">
        <v>0</v>
      </c>
      <c r="EW129" s="113">
        <v>0</v>
      </c>
      <c r="EX129" s="113">
        <v>0</v>
      </c>
      <c r="EY129" s="113">
        <v>0</v>
      </c>
      <c r="EZ129" s="113">
        <v>0</v>
      </c>
      <c r="FA129" s="113">
        <v>0</v>
      </c>
      <c r="FB129" s="113">
        <v>0</v>
      </c>
      <c r="FC129" s="113">
        <v>0</v>
      </c>
      <c r="FD129" s="113">
        <v>0</v>
      </c>
      <c r="FE129" s="113">
        <v>0</v>
      </c>
      <c r="FF129" s="113">
        <v>0</v>
      </c>
      <c r="FG129" s="113">
        <v>0</v>
      </c>
      <c r="FH129" s="113">
        <v>0</v>
      </c>
      <c r="FI129" s="113">
        <v>0</v>
      </c>
      <c r="FJ129" s="113">
        <v>0</v>
      </c>
      <c r="FK129" s="113">
        <v>0</v>
      </c>
      <c r="FL129" s="113">
        <v>0</v>
      </c>
      <c r="FM129" s="113">
        <v>0</v>
      </c>
      <c r="FN129" s="113">
        <v>0</v>
      </c>
      <c r="FO129" s="113">
        <v>0</v>
      </c>
      <c r="FP129" s="113">
        <v>0</v>
      </c>
      <c r="FQ129" s="113">
        <v>0</v>
      </c>
      <c r="FR129" s="113">
        <v>0</v>
      </c>
      <c r="FS129" s="113">
        <v>0</v>
      </c>
      <c r="FT129" s="113">
        <v>0</v>
      </c>
      <c r="FU129" s="113">
        <v>0</v>
      </c>
      <c r="FV129" s="113">
        <v>0</v>
      </c>
      <c r="FW129" s="113">
        <v>0</v>
      </c>
      <c r="FX129" s="32">
        <v>0</v>
      </c>
      <c r="FY129" s="30">
        <v>0</v>
      </c>
      <c r="FZ129" s="30">
        <v>0</v>
      </c>
    </row>
    <row r="130" spans="1:182" x14ac:dyDescent="0.2">
      <c r="A130" s="28">
        <v>35521</v>
      </c>
      <c r="B130" s="28"/>
      <c r="C130" s="29">
        <v>313311</v>
      </c>
      <c r="D130" s="29">
        <v>174630</v>
      </c>
      <c r="E130" s="29">
        <f t="shared" si="2"/>
        <v>487941</v>
      </c>
      <c r="F130" s="30">
        <v>5063899</v>
      </c>
      <c r="G130" s="30">
        <v>168274</v>
      </c>
      <c r="H130" s="30">
        <f t="shared" si="3"/>
        <v>5232173</v>
      </c>
      <c r="I130" s="42" t="s">
        <v>75</v>
      </c>
      <c r="J130" s="42" t="s">
        <v>75</v>
      </c>
      <c r="K130" s="32">
        <v>3588679</v>
      </c>
      <c r="L130" s="31" t="s">
        <v>75</v>
      </c>
      <c r="M130" s="31" t="s">
        <v>75</v>
      </c>
      <c r="N130" s="30">
        <v>11525124</v>
      </c>
      <c r="O130" s="31" t="s">
        <v>75</v>
      </c>
      <c r="P130" s="31" t="s">
        <v>75</v>
      </c>
      <c r="Q130" s="30">
        <v>18137244</v>
      </c>
      <c r="R130" s="31" t="s">
        <v>75</v>
      </c>
      <c r="S130" s="31" t="s">
        <v>75</v>
      </c>
      <c r="T130" s="32">
        <v>304992</v>
      </c>
      <c r="U130" s="31" t="s">
        <v>75</v>
      </c>
      <c r="V130" s="31" t="s">
        <v>75</v>
      </c>
      <c r="W130" s="31" t="s">
        <v>75</v>
      </c>
      <c r="X130" s="31" t="s">
        <v>75</v>
      </c>
      <c r="Y130" s="31" t="s">
        <v>75</v>
      </c>
      <c r="Z130" s="30">
        <v>92141</v>
      </c>
      <c r="AA130" s="31" t="s">
        <v>75</v>
      </c>
      <c r="AB130" s="31" t="s">
        <v>75</v>
      </c>
      <c r="AC130" s="30">
        <v>208301</v>
      </c>
      <c r="AD130" s="31" t="s">
        <v>75</v>
      </c>
      <c r="AE130" s="31" t="s">
        <v>75</v>
      </c>
      <c r="AF130" s="30">
        <v>7702</v>
      </c>
      <c r="AG130" s="42" t="s">
        <v>75</v>
      </c>
      <c r="AH130" s="42" t="s">
        <v>75</v>
      </c>
      <c r="AI130" s="32">
        <v>83331</v>
      </c>
      <c r="AJ130" s="31" t="s">
        <v>75</v>
      </c>
      <c r="AK130" s="31" t="s">
        <v>75</v>
      </c>
      <c r="AL130" s="31" t="s">
        <v>75</v>
      </c>
      <c r="AM130" s="31"/>
      <c r="AN130" s="31"/>
      <c r="AO130" s="31"/>
      <c r="AP130" s="31"/>
      <c r="AQ130" s="31"/>
      <c r="AR130" s="31"/>
      <c r="AS130" s="31" t="s">
        <v>75</v>
      </c>
      <c r="AT130" s="31" t="s">
        <v>75</v>
      </c>
      <c r="AU130" s="31" t="s">
        <v>75</v>
      </c>
      <c r="AV130" s="31" t="s">
        <v>75</v>
      </c>
      <c r="AW130" s="31" t="s">
        <v>75</v>
      </c>
      <c r="AX130" s="31" t="s">
        <v>75</v>
      </c>
      <c r="AY130" s="31" t="s">
        <v>75</v>
      </c>
      <c r="AZ130" s="31" t="s">
        <v>75</v>
      </c>
      <c r="BA130" s="31" t="s">
        <v>75</v>
      </c>
      <c r="BB130" s="31" t="s">
        <v>75</v>
      </c>
      <c r="BC130" s="31" t="s">
        <v>75</v>
      </c>
      <c r="BD130" s="31" t="s">
        <v>75</v>
      </c>
      <c r="BE130" s="113">
        <v>0</v>
      </c>
      <c r="BF130" s="113">
        <v>0</v>
      </c>
      <c r="BG130" s="113">
        <v>0</v>
      </c>
      <c r="BH130" s="113">
        <v>0</v>
      </c>
      <c r="BI130" s="113">
        <v>0</v>
      </c>
      <c r="BJ130" s="113">
        <v>0</v>
      </c>
      <c r="BK130" s="113">
        <v>0</v>
      </c>
      <c r="BL130" s="113">
        <v>0</v>
      </c>
      <c r="BM130" s="113">
        <v>0</v>
      </c>
      <c r="BN130" s="113">
        <v>0</v>
      </c>
      <c r="BO130" s="113">
        <v>0</v>
      </c>
      <c r="BP130" s="113">
        <v>0</v>
      </c>
      <c r="BQ130" s="113">
        <v>0</v>
      </c>
      <c r="BR130" s="113">
        <v>0</v>
      </c>
      <c r="BS130" s="113">
        <v>0</v>
      </c>
      <c r="BT130" s="113">
        <v>0</v>
      </c>
      <c r="BU130" s="113">
        <v>0</v>
      </c>
      <c r="BV130" s="113">
        <v>0</v>
      </c>
      <c r="BW130" s="113"/>
      <c r="BX130" s="113"/>
      <c r="BY130" s="113"/>
      <c r="BZ130" s="113">
        <v>0</v>
      </c>
      <c r="CA130" s="113">
        <v>0</v>
      </c>
      <c r="CB130" s="113">
        <v>0</v>
      </c>
      <c r="CC130" s="113"/>
      <c r="CD130" s="113"/>
      <c r="CE130" s="113"/>
      <c r="CF130" s="113">
        <v>0</v>
      </c>
      <c r="CG130" s="113">
        <v>0</v>
      </c>
      <c r="CH130" s="113">
        <v>0</v>
      </c>
      <c r="CI130" s="113">
        <v>0</v>
      </c>
      <c r="CJ130" s="113">
        <v>0</v>
      </c>
      <c r="CK130" s="113">
        <v>0</v>
      </c>
      <c r="CL130" s="113">
        <v>0</v>
      </c>
      <c r="CM130" s="113">
        <v>0</v>
      </c>
      <c r="CN130" s="113">
        <v>0</v>
      </c>
      <c r="CO130" s="113">
        <v>0</v>
      </c>
      <c r="CP130" s="113">
        <v>0</v>
      </c>
      <c r="CQ130" s="113">
        <v>0</v>
      </c>
      <c r="CR130" s="113">
        <v>0</v>
      </c>
      <c r="CS130" s="113">
        <v>0</v>
      </c>
      <c r="CT130" s="113">
        <v>0</v>
      </c>
      <c r="CU130" s="113">
        <v>0</v>
      </c>
      <c r="CV130" s="113">
        <v>0</v>
      </c>
      <c r="CW130" s="113">
        <v>0</v>
      </c>
      <c r="CX130" s="113">
        <v>0</v>
      </c>
      <c r="CY130" s="113">
        <v>0</v>
      </c>
      <c r="CZ130" s="113">
        <v>0</v>
      </c>
      <c r="DA130" s="113">
        <v>0</v>
      </c>
      <c r="DB130" s="113">
        <v>0</v>
      </c>
      <c r="DC130" s="113">
        <v>0</v>
      </c>
      <c r="DD130" s="113">
        <v>0</v>
      </c>
      <c r="DE130" s="113">
        <v>0</v>
      </c>
      <c r="DF130" s="113">
        <v>0</v>
      </c>
      <c r="DG130" s="113">
        <v>0</v>
      </c>
      <c r="DH130" s="113">
        <v>0</v>
      </c>
      <c r="DI130" s="113">
        <v>0</v>
      </c>
      <c r="DJ130" s="113">
        <v>0</v>
      </c>
      <c r="DK130" s="113">
        <v>0</v>
      </c>
      <c r="DL130" s="113">
        <v>0</v>
      </c>
      <c r="DM130" s="113">
        <v>0</v>
      </c>
      <c r="DN130" s="113">
        <v>0</v>
      </c>
      <c r="DO130" s="113">
        <v>0</v>
      </c>
      <c r="DP130" s="113">
        <v>0</v>
      </c>
      <c r="DQ130" s="113">
        <v>0</v>
      </c>
      <c r="DR130" s="113">
        <v>0</v>
      </c>
      <c r="DS130" s="113">
        <v>0</v>
      </c>
      <c r="DT130" s="113">
        <v>0</v>
      </c>
      <c r="DU130" s="113">
        <v>0</v>
      </c>
      <c r="DV130" s="113">
        <v>0</v>
      </c>
      <c r="DW130" s="113">
        <v>0</v>
      </c>
      <c r="DX130" s="113">
        <v>0</v>
      </c>
      <c r="DY130" s="113">
        <v>0</v>
      </c>
      <c r="DZ130" s="113">
        <v>0</v>
      </c>
      <c r="EA130" s="113">
        <v>0</v>
      </c>
      <c r="EB130" s="113">
        <v>0</v>
      </c>
      <c r="EC130" s="113">
        <v>0</v>
      </c>
      <c r="ED130" s="113">
        <v>0</v>
      </c>
      <c r="EE130" s="113">
        <v>0</v>
      </c>
      <c r="EF130" s="113">
        <v>0</v>
      </c>
      <c r="EG130" s="113">
        <v>0</v>
      </c>
      <c r="EH130" s="113">
        <v>0</v>
      </c>
      <c r="EI130" s="113">
        <v>0</v>
      </c>
      <c r="EJ130" s="113">
        <v>0</v>
      </c>
      <c r="EK130" s="113">
        <v>0</v>
      </c>
      <c r="EL130" s="113">
        <v>0</v>
      </c>
      <c r="EM130" s="113">
        <v>0</v>
      </c>
      <c r="EN130" s="113">
        <v>0</v>
      </c>
      <c r="EO130" s="113">
        <v>0</v>
      </c>
      <c r="EP130" s="113">
        <v>0</v>
      </c>
      <c r="EQ130" s="113">
        <v>0</v>
      </c>
      <c r="ER130" s="113">
        <v>0</v>
      </c>
      <c r="ES130" s="113">
        <v>0</v>
      </c>
      <c r="ET130" s="113">
        <v>0</v>
      </c>
      <c r="EU130" s="113">
        <v>0</v>
      </c>
      <c r="EV130" s="113">
        <v>0</v>
      </c>
      <c r="EW130" s="113">
        <v>0</v>
      </c>
      <c r="EX130" s="113">
        <v>0</v>
      </c>
      <c r="EY130" s="113">
        <v>0</v>
      </c>
      <c r="EZ130" s="113">
        <v>0</v>
      </c>
      <c r="FA130" s="113">
        <v>0</v>
      </c>
      <c r="FB130" s="113">
        <v>0</v>
      </c>
      <c r="FC130" s="113">
        <v>0</v>
      </c>
      <c r="FD130" s="113">
        <v>0</v>
      </c>
      <c r="FE130" s="113">
        <v>0</v>
      </c>
      <c r="FF130" s="113">
        <v>0</v>
      </c>
      <c r="FG130" s="113">
        <v>0</v>
      </c>
      <c r="FH130" s="113">
        <v>0</v>
      </c>
      <c r="FI130" s="113">
        <v>0</v>
      </c>
      <c r="FJ130" s="113">
        <v>0</v>
      </c>
      <c r="FK130" s="113">
        <v>0</v>
      </c>
      <c r="FL130" s="113">
        <v>0</v>
      </c>
      <c r="FM130" s="113">
        <v>0</v>
      </c>
      <c r="FN130" s="113">
        <v>0</v>
      </c>
      <c r="FO130" s="113">
        <v>0</v>
      </c>
      <c r="FP130" s="113">
        <v>0</v>
      </c>
      <c r="FQ130" s="113">
        <v>0</v>
      </c>
      <c r="FR130" s="113">
        <v>0</v>
      </c>
      <c r="FS130" s="113">
        <v>0</v>
      </c>
      <c r="FT130" s="113">
        <v>0</v>
      </c>
      <c r="FU130" s="113">
        <v>0</v>
      </c>
      <c r="FV130" s="113">
        <v>0</v>
      </c>
      <c r="FW130" s="113">
        <v>0</v>
      </c>
      <c r="FX130" s="32">
        <v>0</v>
      </c>
      <c r="FY130" s="30">
        <v>0</v>
      </c>
      <c r="FZ130" s="30">
        <v>0</v>
      </c>
    </row>
    <row r="131" spans="1:182" x14ac:dyDescent="0.2">
      <c r="A131" s="28">
        <v>35551</v>
      </c>
      <c r="B131" s="28"/>
      <c r="C131" s="29">
        <v>221722</v>
      </c>
      <c r="D131" s="29">
        <v>76477</v>
      </c>
      <c r="E131" s="29">
        <f t="shared" si="2"/>
        <v>298199</v>
      </c>
      <c r="F131" s="30">
        <v>3959970</v>
      </c>
      <c r="G131" s="30">
        <v>91608</v>
      </c>
      <c r="H131" s="30">
        <f t="shared" si="3"/>
        <v>4051578</v>
      </c>
      <c r="I131" s="42" t="s">
        <v>75</v>
      </c>
      <c r="J131" s="42" t="s">
        <v>75</v>
      </c>
      <c r="K131" s="32">
        <v>2838290</v>
      </c>
      <c r="L131" s="31" t="s">
        <v>75</v>
      </c>
      <c r="M131" s="31" t="s">
        <v>75</v>
      </c>
      <c r="N131" s="30">
        <v>9423953</v>
      </c>
      <c r="O131" s="31" t="s">
        <v>75</v>
      </c>
      <c r="P131" s="31" t="s">
        <v>75</v>
      </c>
      <c r="Q131" s="30">
        <v>13441274</v>
      </c>
      <c r="R131" s="31" t="s">
        <v>75</v>
      </c>
      <c r="S131" s="31" t="s">
        <v>75</v>
      </c>
      <c r="T131" s="32">
        <v>288514</v>
      </c>
      <c r="U131" s="31" t="s">
        <v>75</v>
      </c>
      <c r="V131" s="31" t="s">
        <v>75</v>
      </c>
      <c r="W131" s="31" t="s">
        <v>75</v>
      </c>
      <c r="X131" s="31" t="s">
        <v>75</v>
      </c>
      <c r="Y131" s="31" t="s">
        <v>75</v>
      </c>
      <c r="Z131" s="30">
        <v>72938</v>
      </c>
      <c r="AA131" s="31" t="s">
        <v>75</v>
      </c>
      <c r="AB131" s="31" t="s">
        <v>75</v>
      </c>
      <c r="AC131" s="30">
        <v>178784</v>
      </c>
      <c r="AD131" s="31" t="s">
        <v>75</v>
      </c>
      <c r="AE131" s="31" t="s">
        <v>75</v>
      </c>
      <c r="AF131" s="30">
        <v>7070</v>
      </c>
      <c r="AG131" s="42" t="s">
        <v>75</v>
      </c>
      <c r="AH131" s="42" t="s">
        <v>75</v>
      </c>
      <c r="AI131" s="32">
        <v>91225</v>
      </c>
      <c r="AJ131" s="31" t="s">
        <v>75</v>
      </c>
      <c r="AK131" s="31" t="s">
        <v>75</v>
      </c>
      <c r="AL131" s="31" t="s">
        <v>75</v>
      </c>
      <c r="AM131" s="31"/>
      <c r="AN131" s="31"/>
      <c r="AO131" s="31"/>
      <c r="AP131" s="31"/>
      <c r="AQ131" s="31"/>
      <c r="AR131" s="31"/>
      <c r="AS131" s="31" t="s">
        <v>75</v>
      </c>
      <c r="AT131" s="31" t="s">
        <v>75</v>
      </c>
      <c r="AU131" s="31" t="s">
        <v>75</v>
      </c>
      <c r="AV131" s="31" t="s">
        <v>75</v>
      </c>
      <c r="AW131" s="31" t="s">
        <v>75</v>
      </c>
      <c r="AX131" s="31" t="s">
        <v>75</v>
      </c>
      <c r="AY131" s="31" t="s">
        <v>75</v>
      </c>
      <c r="AZ131" s="31" t="s">
        <v>75</v>
      </c>
      <c r="BA131" s="31" t="s">
        <v>75</v>
      </c>
      <c r="BB131" s="31" t="s">
        <v>75</v>
      </c>
      <c r="BC131" s="31" t="s">
        <v>75</v>
      </c>
      <c r="BD131" s="31" t="s">
        <v>75</v>
      </c>
      <c r="BE131" s="113">
        <v>0</v>
      </c>
      <c r="BF131" s="113">
        <v>0</v>
      </c>
      <c r="BG131" s="113">
        <v>0</v>
      </c>
      <c r="BH131" s="113">
        <v>0</v>
      </c>
      <c r="BI131" s="113">
        <v>0</v>
      </c>
      <c r="BJ131" s="113">
        <v>0</v>
      </c>
      <c r="BK131" s="113">
        <v>0</v>
      </c>
      <c r="BL131" s="113">
        <v>0</v>
      </c>
      <c r="BM131" s="113">
        <v>0</v>
      </c>
      <c r="BN131" s="113">
        <v>0</v>
      </c>
      <c r="BO131" s="113">
        <v>0</v>
      </c>
      <c r="BP131" s="113">
        <v>0</v>
      </c>
      <c r="BQ131" s="113">
        <v>0</v>
      </c>
      <c r="BR131" s="113">
        <v>0</v>
      </c>
      <c r="BS131" s="113">
        <v>0</v>
      </c>
      <c r="BT131" s="113">
        <v>0</v>
      </c>
      <c r="BU131" s="113">
        <v>0</v>
      </c>
      <c r="BV131" s="113">
        <v>0</v>
      </c>
      <c r="BW131" s="113"/>
      <c r="BX131" s="113"/>
      <c r="BY131" s="113"/>
      <c r="BZ131" s="113">
        <v>0</v>
      </c>
      <c r="CA131" s="113">
        <v>0</v>
      </c>
      <c r="CB131" s="113">
        <v>0</v>
      </c>
      <c r="CC131" s="113"/>
      <c r="CD131" s="113"/>
      <c r="CE131" s="113"/>
      <c r="CF131" s="113">
        <v>0</v>
      </c>
      <c r="CG131" s="113">
        <v>0</v>
      </c>
      <c r="CH131" s="113">
        <v>0</v>
      </c>
      <c r="CI131" s="113">
        <v>0</v>
      </c>
      <c r="CJ131" s="113">
        <v>0</v>
      </c>
      <c r="CK131" s="113">
        <v>0</v>
      </c>
      <c r="CL131" s="113">
        <v>0</v>
      </c>
      <c r="CM131" s="113">
        <v>0</v>
      </c>
      <c r="CN131" s="113">
        <v>0</v>
      </c>
      <c r="CO131" s="113">
        <v>0</v>
      </c>
      <c r="CP131" s="113">
        <v>0</v>
      </c>
      <c r="CQ131" s="113">
        <v>0</v>
      </c>
      <c r="CR131" s="113">
        <v>0</v>
      </c>
      <c r="CS131" s="113">
        <v>0</v>
      </c>
      <c r="CT131" s="113">
        <v>0</v>
      </c>
      <c r="CU131" s="113">
        <v>0</v>
      </c>
      <c r="CV131" s="113">
        <v>0</v>
      </c>
      <c r="CW131" s="113">
        <v>0</v>
      </c>
      <c r="CX131" s="113">
        <v>0</v>
      </c>
      <c r="CY131" s="113">
        <v>0</v>
      </c>
      <c r="CZ131" s="113">
        <v>0</v>
      </c>
      <c r="DA131" s="113">
        <v>0</v>
      </c>
      <c r="DB131" s="113">
        <v>0</v>
      </c>
      <c r="DC131" s="113">
        <v>0</v>
      </c>
      <c r="DD131" s="113">
        <v>0</v>
      </c>
      <c r="DE131" s="113">
        <v>0</v>
      </c>
      <c r="DF131" s="113">
        <v>0</v>
      </c>
      <c r="DG131" s="113">
        <v>0</v>
      </c>
      <c r="DH131" s="113">
        <v>0</v>
      </c>
      <c r="DI131" s="113">
        <v>0</v>
      </c>
      <c r="DJ131" s="113">
        <v>0</v>
      </c>
      <c r="DK131" s="113">
        <v>0</v>
      </c>
      <c r="DL131" s="113">
        <v>0</v>
      </c>
      <c r="DM131" s="113">
        <v>0</v>
      </c>
      <c r="DN131" s="113">
        <v>0</v>
      </c>
      <c r="DO131" s="113">
        <v>0</v>
      </c>
      <c r="DP131" s="113">
        <v>0</v>
      </c>
      <c r="DQ131" s="113">
        <v>0</v>
      </c>
      <c r="DR131" s="113">
        <v>0</v>
      </c>
      <c r="DS131" s="113">
        <v>0</v>
      </c>
      <c r="DT131" s="113">
        <v>0</v>
      </c>
      <c r="DU131" s="113">
        <v>0</v>
      </c>
      <c r="DV131" s="113">
        <v>0</v>
      </c>
      <c r="DW131" s="113">
        <v>0</v>
      </c>
      <c r="DX131" s="113">
        <v>0</v>
      </c>
      <c r="DY131" s="113">
        <v>0</v>
      </c>
      <c r="DZ131" s="113">
        <v>0</v>
      </c>
      <c r="EA131" s="113">
        <v>0</v>
      </c>
      <c r="EB131" s="113">
        <v>0</v>
      </c>
      <c r="EC131" s="113">
        <v>0</v>
      </c>
      <c r="ED131" s="113">
        <v>0</v>
      </c>
      <c r="EE131" s="113">
        <v>0</v>
      </c>
      <c r="EF131" s="113">
        <v>0</v>
      </c>
      <c r="EG131" s="113">
        <v>0</v>
      </c>
      <c r="EH131" s="113">
        <v>0</v>
      </c>
      <c r="EI131" s="113">
        <v>0</v>
      </c>
      <c r="EJ131" s="113">
        <v>0</v>
      </c>
      <c r="EK131" s="113">
        <v>0</v>
      </c>
      <c r="EL131" s="113">
        <v>0</v>
      </c>
      <c r="EM131" s="113">
        <v>0</v>
      </c>
      <c r="EN131" s="113">
        <v>0</v>
      </c>
      <c r="EO131" s="113">
        <v>0</v>
      </c>
      <c r="EP131" s="113">
        <v>0</v>
      </c>
      <c r="EQ131" s="113">
        <v>0</v>
      </c>
      <c r="ER131" s="113">
        <v>0</v>
      </c>
      <c r="ES131" s="113">
        <v>0</v>
      </c>
      <c r="ET131" s="113">
        <v>0</v>
      </c>
      <c r="EU131" s="113">
        <v>0</v>
      </c>
      <c r="EV131" s="113">
        <v>0</v>
      </c>
      <c r="EW131" s="113">
        <v>0</v>
      </c>
      <c r="EX131" s="113">
        <v>0</v>
      </c>
      <c r="EY131" s="113">
        <v>0</v>
      </c>
      <c r="EZ131" s="113">
        <v>0</v>
      </c>
      <c r="FA131" s="113">
        <v>0</v>
      </c>
      <c r="FB131" s="113">
        <v>0</v>
      </c>
      <c r="FC131" s="113">
        <v>0</v>
      </c>
      <c r="FD131" s="113">
        <v>0</v>
      </c>
      <c r="FE131" s="113">
        <v>0</v>
      </c>
      <c r="FF131" s="113">
        <v>0</v>
      </c>
      <c r="FG131" s="113">
        <v>0</v>
      </c>
      <c r="FH131" s="113">
        <v>0</v>
      </c>
      <c r="FI131" s="113">
        <v>0</v>
      </c>
      <c r="FJ131" s="113">
        <v>0</v>
      </c>
      <c r="FK131" s="113">
        <v>0</v>
      </c>
      <c r="FL131" s="113">
        <v>0</v>
      </c>
      <c r="FM131" s="113">
        <v>0</v>
      </c>
      <c r="FN131" s="113">
        <v>0</v>
      </c>
      <c r="FO131" s="113">
        <v>0</v>
      </c>
      <c r="FP131" s="113">
        <v>0</v>
      </c>
      <c r="FQ131" s="113">
        <v>0</v>
      </c>
      <c r="FR131" s="113">
        <v>0</v>
      </c>
      <c r="FS131" s="113">
        <v>0</v>
      </c>
      <c r="FT131" s="113">
        <v>0</v>
      </c>
      <c r="FU131" s="113">
        <v>0</v>
      </c>
      <c r="FV131" s="113">
        <v>0</v>
      </c>
      <c r="FW131" s="113">
        <v>0</v>
      </c>
      <c r="FX131" s="32">
        <v>0</v>
      </c>
      <c r="FY131" s="30">
        <v>0</v>
      </c>
      <c r="FZ131" s="30">
        <v>0</v>
      </c>
    </row>
    <row r="132" spans="1:182" x14ac:dyDescent="0.2">
      <c r="A132" s="28">
        <v>35582</v>
      </c>
      <c r="B132" s="28"/>
      <c r="C132" s="29">
        <v>343709</v>
      </c>
      <c r="D132" s="29">
        <v>173679</v>
      </c>
      <c r="E132" s="29">
        <f t="shared" si="2"/>
        <v>517388</v>
      </c>
      <c r="F132" s="30">
        <v>2725669</v>
      </c>
      <c r="G132" s="30">
        <v>89005</v>
      </c>
      <c r="H132" s="30">
        <f t="shared" si="3"/>
        <v>2814674</v>
      </c>
      <c r="I132" s="42" t="s">
        <v>75</v>
      </c>
      <c r="J132" s="42" t="s">
        <v>75</v>
      </c>
      <c r="K132" s="32">
        <v>2315953</v>
      </c>
      <c r="L132" s="31" t="s">
        <v>75</v>
      </c>
      <c r="M132" s="31" t="s">
        <v>75</v>
      </c>
      <c r="N132" s="30">
        <v>8225157</v>
      </c>
      <c r="O132" s="31" t="s">
        <v>75</v>
      </c>
      <c r="P132" s="31" t="s">
        <v>75</v>
      </c>
      <c r="Q132" s="30">
        <v>11100870</v>
      </c>
      <c r="R132" s="31" t="s">
        <v>75</v>
      </c>
      <c r="S132" s="31" t="s">
        <v>75</v>
      </c>
      <c r="T132" s="32">
        <v>258025</v>
      </c>
      <c r="U132" s="31" t="s">
        <v>75</v>
      </c>
      <c r="V132" s="31" t="s">
        <v>75</v>
      </c>
      <c r="W132" s="31" t="s">
        <v>75</v>
      </c>
      <c r="X132" s="31" t="s">
        <v>75</v>
      </c>
      <c r="Y132" s="31" t="s">
        <v>75</v>
      </c>
      <c r="Z132" s="30">
        <v>90575</v>
      </c>
      <c r="AA132" s="31" t="s">
        <v>75</v>
      </c>
      <c r="AB132" s="31" t="s">
        <v>75</v>
      </c>
      <c r="AC132" s="30">
        <v>203754</v>
      </c>
      <c r="AD132" s="31" t="s">
        <v>75</v>
      </c>
      <c r="AE132" s="31" t="s">
        <v>75</v>
      </c>
      <c r="AF132" s="30">
        <v>7993</v>
      </c>
      <c r="AG132" s="42" t="s">
        <v>75</v>
      </c>
      <c r="AH132" s="42" t="s">
        <v>75</v>
      </c>
      <c r="AI132" s="32">
        <v>143349</v>
      </c>
      <c r="AJ132" s="31" t="s">
        <v>75</v>
      </c>
      <c r="AK132" s="31" t="s">
        <v>75</v>
      </c>
      <c r="AL132" s="31" t="s">
        <v>75</v>
      </c>
      <c r="AM132" s="31"/>
      <c r="AN132" s="31"/>
      <c r="AO132" s="31"/>
      <c r="AP132" s="31"/>
      <c r="AQ132" s="31"/>
      <c r="AR132" s="31"/>
      <c r="AS132" s="31" t="s">
        <v>75</v>
      </c>
      <c r="AT132" s="31" t="s">
        <v>75</v>
      </c>
      <c r="AU132" s="31" t="s">
        <v>75</v>
      </c>
      <c r="AV132" s="31" t="s">
        <v>75</v>
      </c>
      <c r="AW132" s="31" t="s">
        <v>75</v>
      </c>
      <c r="AX132" s="31" t="s">
        <v>75</v>
      </c>
      <c r="AY132" s="31" t="s">
        <v>75</v>
      </c>
      <c r="AZ132" s="31" t="s">
        <v>75</v>
      </c>
      <c r="BA132" s="31" t="s">
        <v>75</v>
      </c>
      <c r="BB132" s="31" t="s">
        <v>75</v>
      </c>
      <c r="BC132" s="31" t="s">
        <v>75</v>
      </c>
      <c r="BD132" s="31" t="s">
        <v>75</v>
      </c>
      <c r="BE132" s="113">
        <v>0</v>
      </c>
      <c r="BF132" s="113">
        <v>0</v>
      </c>
      <c r="BG132" s="113">
        <v>0</v>
      </c>
      <c r="BH132" s="113">
        <v>0</v>
      </c>
      <c r="BI132" s="113">
        <v>0</v>
      </c>
      <c r="BJ132" s="113">
        <v>0</v>
      </c>
      <c r="BK132" s="113">
        <v>0</v>
      </c>
      <c r="BL132" s="113">
        <v>0</v>
      </c>
      <c r="BM132" s="113">
        <v>0</v>
      </c>
      <c r="BN132" s="113">
        <v>0</v>
      </c>
      <c r="BO132" s="113">
        <v>0</v>
      </c>
      <c r="BP132" s="113">
        <v>0</v>
      </c>
      <c r="BQ132" s="113">
        <v>0</v>
      </c>
      <c r="BR132" s="113">
        <v>0</v>
      </c>
      <c r="BS132" s="113">
        <v>0</v>
      </c>
      <c r="BT132" s="113">
        <v>0</v>
      </c>
      <c r="BU132" s="113">
        <v>0</v>
      </c>
      <c r="BV132" s="113">
        <v>0</v>
      </c>
      <c r="BW132" s="113"/>
      <c r="BX132" s="113"/>
      <c r="BY132" s="113"/>
      <c r="BZ132" s="113">
        <v>0</v>
      </c>
      <c r="CA132" s="113">
        <v>0</v>
      </c>
      <c r="CB132" s="113">
        <v>0</v>
      </c>
      <c r="CC132" s="113"/>
      <c r="CD132" s="113"/>
      <c r="CE132" s="113"/>
      <c r="CF132" s="113">
        <v>0</v>
      </c>
      <c r="CG132" s="113">
        <v>0</v>
      </c>
      <c r="CH132" s="113">
        <v>0</v>
      </c>
      <c r="CI132" s="113">
        <v>0</v>
      </c>
      <c r="CJ132" s="113">
        <v>0</v>
      </c>
      <c r="CK132" s="113">
        <v>0</v>
      </c>
      <c r="CL132" s="113">
        <v>0</v>
      </c>
      <c r="CM132" s="113">
        <v>0</v>
      </c>
      <c r="CN132" s="113">
        <v>0</v>
      </c>
      <c r="CO132" s="113">
        <v>0</v>
      </c>
      <c r="CP132" s="113">
        <v>0</v>
      </c>
      <c r="CQ132" s="113">
        <v>0</v>
      </c>
      <c r="CR132" s="113">
        <v>0</v>
      </c>
      <c r="CS132" s="113">
        <v>0</v>
      </c>
      <c r="CT132" s="113">
        <v>0</v>
      </c>
      <c r="CU132" s="113">
        <v>0</v>
      </c>
      <c r="CV132" s="113">
        <v>0</v>
      </c>
      <c r="CW132" s="113">
        <v>0</v>
      </c>
      <c r="CX132" s="113">
        <v>0</v>
      </c>
      <c r="CY132" s="113">
        <v>0</v>
      </c>
      <c r="CZ132" s="113">
        <v>0</v>
      </c>
      <c r="DA132" s="113">
        <v>0</v>
      </c>
      <c r="DB132" s="113">
        <v>0</v>
      </c>
      <c r="DC132" s="113">
        <v>0</v>
      </c>
      <c r="DD132" s="113">
        <v>0</v>
      </c>
      <c r="DE132" s="113">
        <v>0</v>
      </c>
      <c r="DF132" s="113">
        <v>0</v>
      </c>
      <c r="DG132" s="113">
        <v>0</v>
      </c>
      <c r="DH132" s="113">
        <v>0</v>
      </c>
      <c r="DI132" s="113">
        <v>0</v>
      </c>
      <c r="DJ132" s="113">
        <v>0</v>
      </c>
      <c r="DK132" s="113">
        <v>0</v>
      </c>
      <c r="DL132" s="113">
        <v>0</v>
      </c>
      <c r="DM132" s="113">
        <v>0</v>
      </c>
      <c r="DN132" s="113">
        <v>0</v>
      </c>
      <c r="DO132" s="113">
        <v>0</v>
      </c>
      <c r="DP132" s="113">
        <v>0</v>
      </c>
      <c r="DQ132" s="113">
        <v>0</v>
      </c>
      <c r="DR132" s="113">
        <v>0</v>
      </c>
      <c r="DS132" s="113">
        <v>0</v>
      </c>
      <c r="DT132" s="113">
        <v>0</v>
      </c>
      <c r="DU132" s="113">
        <v>0</v>
      </c>
      <c r="DV132" s="113">
        <v>0</v>
      </c>
      <c r="DW132" s="113">
        <v>0</v>
      </c>
      <c r="DX132" s="113">
        <v>0</v>
      </c>
      <c r="DY132" s="113">
        <v>0</v>
      </c>
      <c r="DZ132" s="113">
        <v>0</v>
      </c>
      <c r="EA132" s="113">
        <v>0</v>
      </c>
      <c r="EB132" s="113">
        <v>0</v>
      </c>
      <c r="EC132" s="113">
        <v>0</v>
      </c>
      <c r="ED132" s="113">
        <v>0</v>
      </c>
      <c r="EE132" s="113">
        <v>0</v>
      </c>
      <c r="EF132" s="113">
        <v>0</v>
      </c>
      <c r="EG132" s="113">
        <v>0</v>
      </c>
      <c r="EH132" s="113">
        <v>0</v>
      </c>
      <c r="EI132" s="113">
        <v>0</v>
      </c>
      <c r="EJ132" s="113">
        <v>0</v>
      </c>
      <c r="EK132" s="113">
        <v>0</v>
      </c>
      <c r="EL132" s="113">
        <v>0</v>
      </c>
      <c r="EM132" s="113">
        <v>0</v>
      </c>
      <c r="EN132" s="113">
        <v>0</v>
      </c>
      <c r="EO132" s="113">
        <v>0</v>
      </c>
      <c r="EP132" s="113">
        <v>0</v>
      </c>
      <c r="EQ132" s="113">
        <v>0</v>
      </c>
      <c r="ER132" s="113">
        <v>0</v>
      </c>
      <c r="ES132" s="113">
        <v>0</v>
      </c>
      <c r="ET132" s="113">
        <v>0</v>
      </c>
      <c r="EU132" s="113">
        <v>0</v>
      </c>
      <c r="EV132" s="113">
        <v>0</v>
      </c>
      <c r="EW132" s="113">
        <v>0</v>
      </c>
      <c r="EX132" s="113">
        <v>0</v>
      </c>
      <c r="EY132" s="113">
        <v>0</v>
      </c>
      <c r="EZ132" s="113">
        <v>0</v>
      </c>
      <c r="FA132" s="113">
        <v>0</v>
      </c>
      <c r="FB132" s="113">
        <v>0</v>
      </c>
      <c r="FC132" s="113">
        <v>0</v>
      </c>
      <c r="FD132" s="113">
        <v>0</v>
      </c>
      <c r="FE132" s="113">
        <v>0</v>
      </c>
      <c r="FF132" s="113">
        <v>0</v>
      </c>
      <c r="FG132" s="113">
        <v>0</v>
      </c>
      <c r="FH132" s="113">
        <v>0</v>
      </c>
      <c r="FI132" s="113">
        <v>0</v>
      </c>
      <c r="FJ132" s="113">
        <v>0</v>
      </c>
      <c r="FK132" s="113">
        <v>0</v>
      </c>
      <c r="FL132" s="113">
        <v>0</v>
      </c>
      <c r="FM132" s="113">
        <v>0</v>
      </c>
      <c r="FN132" s="113">
        <v>0</v>
      </c>
      <c r="FO132" s="113">
        <v>0</v>
      </c>
      <c r="FP132" s="113">
        <v>0</v>
      </c>
      <c r="FQ132" s="113">
        <v>0</v>
      </c>
      <c r="FR132" s="113">
        <v>0</v>
      </c>
      <c r="FS132" s="113">
        <v>0</v>
      </c>
      <c r="FT132" s="113">
        <v>0</v>
      </c>
      <c r="FU132" s="113">
        <v>0</v>
      </c>
      <c r="FV132" s="113">
        <v>0</v>
      </c>
      <c r="FW132" s="113">
        <v>0</v>
      </c>
      <c r="FX132" s="32">
        <v>0</v>
      </c>
      <c r="FY132" s="30">
        <v>0</v>
      </c>
      <c r="FZ132" s="30">
        <v>0</v>
      </c>
    </row>
    <row r="133" spans="1:182" x14ac:dyDescent="0.2">
      <c r="A133" s="28">
        <v>35612</v>
      </c>
      <c r="B133" s="28"/>
      <c r="C133" s="29">
        <v>302470</v>
      </c>
      <c r="D133" s="29">
        <v>143931</v>
      </c>
      <c r="E133" s="29">
        <f t="shared" si="2"/>
        <v>446401</v>
      </c>
      <c r="F133" s="30">
        <v>3455337</v>
      </c>
      <c r="G133" s="30">
        <v>121125</v>
      </c>
      <c r="H133" s="30">
        <f t="shared" si="3"/>
        <v>3576462</v>
      </c>
      <c r="I133" s="42" t="s">
        <v>75</v>
      </c>
      <c r="J133" s="42" t="s">
        <v>75</v>
      </c>
      <c r="K133" s="32">
        <v>3100424</v>
      </c>
      <c r="L133" s="31" t="s">
        <v>75</v>
      </c>
      <c r="M133" s="31" t="s">
        <v>75</v>
      </c>
      <c r="N133" s="30">
        <v>10678009</v>
      </c>
      <c r="O133" s="31" t="s">
        <v>75</v>
      </c>
      <c r="P133" s="31" t="s">
        <v>75</v>
      </c>
      <c r="Q133" s="30">
        <v>14139557</v>
      </c>
      <c r="R133" s="31" t="s">
        <v>75</v>
      </c>
      <c r="S133" s="31" t="s">
        <v>75</v>
      </c>
      <c r="T133" s="32">
        <v>257991</v>
      </c>
      <c r="U133" s="31" t="s">
        <v>75</v>
      </c>
      <c r="V133" s="31" t="s">
        <v>75</v>
      </c>
      <c r="W133" s="31" t="s">
        <v>75</v>
      </c>
      <c r="X133" s="31" t="s">
        <v>75</v>
      </c>
      <c r="Y133" s="31" t="s">
        <v>75</v>
      </c>
      <c r="Z133" s="30">
        <v>77045</v>
      </c>
      <c r="AA133" s="31" t="s">
        <v>75</v>
      </c>
      <c r="AB133" s="31" t="s">
        <v>75</v>
      </c>
      <c r="AC133" s="30">
        <v>198686</v>
      </c>
      <c r="AD133" s="31" t="s">
        <v>75</v>
      </c>
      <c r="AE133" s="31" t="s">
        <v>75</v>
      </c>
      <c r="AF133" s="30">
        <v>10237</v>
      </c>
      <c r="AG133" s="42" t="s">
        <v>75</v>
      </c>
      <c r="AH133" s="42" t="s">
        <v>75</v>
      </c>
      <c r="AI133" s="32">
        <v>134281</v>
      </c>
      <c r="AJ133" s="31" t="s">
        <v>75</v>
      </c>
      <c r="AK133" s="31" t="s">
        <v>75</v>
      </c>
      <c r="AL133" s="31" t="s">
        <v>75</v>
      </c>
      <c r="AM133" s="31"/>
      <c r="AN133" s="31"/>
      <c r="AO133" s="31"/>
      <c r="AP133" s="31"/>
      <c r="AQ133" s="31"/>
      <c r="AR133" s="31"/>
      <c r="AS133" s="31" t="s">
        <v>75</v>
      </c>
      <c r="AT133" s="31" t="s">
        <v>75</v>
      </c>
      <c r="AU133" s="31" t="s">
        <v>75</v>
      </c>
      <c r="AV133" s="31" t="s">
        <v>75</v>
      </c>
      <c r="AW133" s="31" t="s">
        <v>75</v>
      </c>
      <c r="AX133" s="31" t="s">
        <v>75</v>
      </c>
      <c r="AY133" s="31" t="s">
        <v>75</v>
      </c>
      <c r="AZ133" s="31" t="s">
        <v>75</v>
      </c>
      <c r="BA133" s="31" t="s">
        <v>75</v>
      </c>
      <c r="BB133" s="31" t="s">
        <v>75</v>
      </c>
      <c r="BC133" s="31" t="s">
        <v>75</v>
      </c>
      <c r="BD133" s="31" t="s">
        <v>75</v>
      </c>
      <c r="BE133" s="113">
        <v>0</v>
      </c>
      <c r="BF133" s="113">
        <v>0</v>
      </c>
      <c r="BG133" s="113">
        <v>0</v>
      </c>
      <c r="BH133" s="113">
        <v>0</v>
      </c>
      <c r="BI133" s="113">
        <v>0</v>
      </c>
      <c r="BJ133" s="113">
        <v>0</v>
      </c>
      <c r="BK133" s="113">
        <v>0</v>
      </c>
      <c r="BL133" s="113">
        <v>0</v>
      </c>
      <c r="BM133" s="113">
        <v>0</v>
      </c>
      <c r="BN133" s="113">
        <v>0</v>
      </c>
      <c r="BO133" s="113">
        <v>0</v>
      </c>
      <c r="BP133" s="113">
        <v>0</v>
      </c>
      <c r="BQ133" s="113">
        <v>0</v>
      </c>
      <c r="BR133" s="113">
        <v>0</v>
      </c>
      <c r="BS133" s="113">
        <v>0</v>
      </c>
      <c r="BT133" s="113">
        <v>0</v>
      </c>
      <c r="BU133" s="113">
        <v>0</v>
      </c>
      <c r="BV133" s="113">
        <v>0</v>
      </c>
      <c r="BW133" s="113"/>
      <c r="BX133" s="113"/>
      <c r="BY133" s="113"/>
      <c r="BZ133" s="113">
        <v>0</v>
      </c>
      <c r="CA133" s="113">
        <v>0</v>
      </c>
      <c r="CB133" s="113">
        <v>0</v>
      </c>
      <c r="CC133" s="113"/>
      <c r="CD133" s="113"/>
      <c r="CE133" s="113"/>
      <c r="CF133" s="113">
        <v>0</v>
      </c>
      <c r="CG133" s="113">
        <v>0</v>
      </c>
      <c r="CH133" s="113">
        <v>0</v>
      </c>
      <c r="CI133" s="113">
        <v>0</v>
      </c>
      <c r="CJ133" s="113">
        <v>0</v>
      </c>
      <c r="CK133" s="113">
        <v>0</v>
      </c>
      <c r="CL133" s="113">
        <v>0</v>
      </c>
      <c r="CM133" s="113">
        <v>0</v>
      </c>
      <c r="CN133" s="113">
        <v>0</v>
      </c>
      <c r="CO133" s="113">
        <v>0</v>
      </c>
      <c r="CP133" s="113">
        <v>0</v>
      </c>
      <c r="CQ133" s="113">
        <v>0</v>
      </c>
      <c r="CR133" s="113">
        <v>0</v>
      </c>
      <c r="CS133" s="113">
        <v>0</v>
      </c>
      <c r="CT133" s="113">
        <v>0</v>
      </c>
      <c r="CU133" s="113">
        <v>0</v>
      </c>
      <c r="CV133" s="113">
        <v>0</v>
      </c>
      <c r="CW133" s="113">
        <v>0</v>
      </c>
      <c r="CX133" s="113">
        <v>0</v>
      </c>
      <c r="CY133" s="113">
        <v>0</v>
      </c>
      <c r="CZ133" s="113">
        <v>0</v>
      </c>
      <c r="DA133" s="113">
        <v>0</v>
      </c>
      <c r="DB133" s="113">
        <v>0</v>
      </c>
      <c r="DC133" s="113">
        <v>0</v>
      </c>
      <c r="DD133" s="113">
        <v>0</v>
      </c>
      <c r="DE133" s="113">
        <v>0</v>
      </c>
      <c r="DF133" s="113">
        <v>0</v>
      </c>
      <c r="DG133" s="113">
        <v>0</v>
      </c>
      <c r="DH133" s="113">
        <v>0</v>
      </c>
      <c r="DI133" s="113">
        <v>0</v>
      </c>
      <c r="DJ133" s="113">
        <v>0</v>
      </c>
      <c r="DK133" s="113">
        <v>0</v>
      </c>
      <c r="DL133" s="113">
        <v>0</v>
      </c>
      <c r="DM133" s="113">
        <v>0</v>
      </c>
      <c r="DN133" s="113">
        <v>0</v>
      </c>
      <c r="DO133" s="113">
        <v>0</v>
      </c>
      <c r="DP133" s="113">
        <v>0</v>
      </c>
      <c r="DQ133" s="113">
        <v>0</v>
      </c>
      <c r="DR133" s="113">
        <v>0</v>
      </c>
      <c r="DS133" s="113">
        <v>0</v>
      </c>
      <c r="DT133" s="113">
        <v>0</v>
      </c>
      <c r="DU133" s="113">
        <v>0</v>
      </c>
      <c r="DV133" s="113">
        <v>0</v>
      </c>
      <c r="DW133" s="113">
        <v>0</v>
      </c>
      <c r="DX133" s="113">
        <v>0</v>
      </c>
      <c r="DY133" s="113">
        <v>0</v>
      </c>
      <c r="DZ133" s="113">
        <v>0</v>
      </c>
      <c r="EA133" s="113">
        <v>0</v>
      </c>
      <c r="EB133" s="113">
        <v>0</v>
      </c>
      <c r="EC133" s="113">
        <v>0</v>
      </c>
      <c r="ED133" s="113">
        <v>0</v>
      </c>
      <c r="EE133" s="113">
        <v>0</v>
      </c>
      <c r="EF133" s="113">
        <v>0</v>
      </c>
      <c r="EG133" s="113">
        <v>0</v>
      </c>
      <c r="EH133" s="113">
        <v>0</v>
      </c>
      <c r="EI133" s="113">
        <v>0</v>
      </c>
      <c r="EJ133" s="113">
        <v>0</v>
      </c>
      <c r="EK133" s="113">
        <v>0</v>
      </c>
      <c r="EL133" s="113">
        <v>0</v>
      </c>
      <c r="EM133" s="113">
        <v>0</v>
      </c>
      <c r="EN133" s="113">
        <v>0</v>
      </c>
      <c r="EO133" s="113">
        <v>0</v>
      </c>
      <c r="EP133" s="113">
        <v>0</v>
      </c>
      <c r="EQ133" s="113">
        <v>0</v>
      </c>
      <c r="ER133" s="113">
        <v>0</v>
      </c>
      <c r="ES133" s="113">
        <v>0</v>
      </c>
      <c r="ET133" s="113">
        <v>0</v>
      </c>
      <c r="EU133" s="113">
        <v>0</v>
      </c>
      <c r="EV133" s="113">
        <v>0</v>
      </c>
      <c r="EW133" s="113">
        <v>0</v>
      </c>
      <c r="EX133" s="113">
        <v>0</v>
      </c>
      <c r="EY133" s="113">
        <v>0</v>
      </c>
      <c r="EZ133" s="113">
        <v>0</v>
      </c>
      <c r="FA133" s="113">
        <v>0</v>
      </c>
      <c r="FB133" s="113">
        <v>0</v>
      </c>
      <c r="FC133" s="113">
        <v>0</v>
      </c>
      <c r="FD133" s="113">
        <v>0</v>
      </c>
      <c r="FE133" s="113">
        <v>0</v>
      </c>
      <c r="FF133" s="113">
        <v>0</v>
      </c>
      <c r="FG133" s="113">
        <v>0</v>
      </c>
      <c r="FH133" s="113">
        <v>0</v>
      </c>
      <c r="FI133" s="113">
        <v>0</v>
      </c>
      <c r="FJ133" s="113">
        <v>0</v>
      </c>
      <c r="FK133" s="113">
        <v>0</v>
      </c>
      <c r="FL133" s="113">
        <v>0</v>
      </c>
      <c r="FM133" s="113">
        <v>0</v>
      </c>
      <c r="FN133" s="113">
        <v>0</v>
      </c>
      <c r="FO133" s="113">
        <v>0</v>
      </c>
      <c r="FP133" s="113">
        <v>0</v>
      </c>
      <c r="FQ133" s="113">
        <v>0</v>
      </c>
      <c r="FR133" s="113">
        <v>0</v>
      </c>
      <c r="FS133" s="113">
        <v>0</v>
      </c>
      <c r="FT133" s="113">
        <v>0</v>
      </c>
      <c r="FU133" s="113">
        <v>0</v>
      </c>
      <c r="FV133" s="113">
        <v>0</v>
      </c>
      <c r="FW133" s="113">
        <v>0</v>
      </c>
      <c r="FX133" s="32">
        <v>0</v>
      </c>
      <c r="FY133" s="30">
        <v>0</v>
      </c>
      <c r="FZ133" s="30">
        <v>0</v>
      </c>
    </row>
    <row r="134" spans="1:182" x14ac:dyDescent="0.2">
      <c r="A134" s="28">
        <v>35643</v>
      </c>
      <c r="B134" s="28"/>
      <c r="C134" s="29">
        <v>276341</v>
      </c>
      <c r="D134" s="29">
        <v>150319</v>
      </c>
      <c r="E134" s="29">
        <f t="shared" si="2"/>
        <v>426660</v>
      </c>
      <c r="F134" s="30">
        <v>4189781</v>
      </c>
      <c r="G134" s="30">
        <v>122426</v>
      </c>
      <c r="H134" s="30">
        <f t="shared" si="3"/>
        <v>4312207</v>
      </c>
      <c r="I134" s="42" t="s">
        <v>75</v>
      </c>
      <c r="J134" s="42" t="s">
        <v>75</v>
      </c>
      <c r="K134" s="32">
        <v>3310336</v>
      </c>
      <c r="L134" s="31" t="s">
        <v>75</v>
      </c>
      <c r="M134" s="31" t="s">
        <v>75</v>
      </c>
      <c r="N134" s="30">
        <v>10401497</v>
      </c>
      <c r="O134" s="31" t="s">
        <v>75</v>
      </c>
      <c r="P134" s="31" t="s">
        <v>75</v>
      </c>
      <c r="Q134" s="30">
        <v>14106781</v>
      </c>
      <c r="R134" s="31" t="s">
        <v>75</v>
      </c>
      <c r="S134" s="31" t="s">
        <v>75</v>
      </c>
      <c r="T134" s="32">
        <v>219943</v>
      </c>
      <c r="U134" s="31" t="s">
        <v>75</v>
      </c>
      <c r="V134" s="31" t="s">
        <v>75</v>
      </c>
      <c r="W134" s="31" t="s">
        <v>75</v>
      </c>
      <c r="X134" s="31" t="s">
        <v>75</v>
      </c>
      <c r="Y134" s="31" t="s">
        <v>75</v>
      </c>
      <c r="Z134" s="30">
        <v>109012</v>
      </c>
      <c r="AA134" s="31" t="s">
        <v>75</v>
      </c>
      <c r="AB134" s="31" t="s">
        <v>75</v>
      </c>
      <c r="AC134" s="30">
        <v>184599</v>
      </c>
      <c r="AD134" s="31" t="s">
        <v>75</v>
      </c>
      <c r="AE134" s="31" t="s">
        <v>75</v>
      </c>
      <c r="AF134" s="30">
        <v>16374</v>
      </c>
      <c r="AG134" s="42" t="s">
        <v>75</v>
      </c>
      <c r="AH134" s="42" t="s">
        <v>75</v>
      </c>
      <c r="AI134" s="32">
        <v>98743</v>
      </c>
      <c r="AJ134" s="31" t="s">
        <v>75</v>
      </c>
      <c r="AK134" s="31" t="s">
        <v>75</v>
      </c>
      <c r="AL134" s="31" t="s">
        <v>75</v>
      </c>
      <c r="AM134" s="31"/>
      <c r="AN134" s="31"/>
      <c r="AO134" s="31"/>
      <c r="AP134" s="31"/>
      <c r="AQ134" s="31"/>
      <c r="AR134" s="31"/>
      <c r="AS134" s="31" t="s">
        <v>75</v>
      </c>
      <c r="AT134" s="31" t="s">
        <v>75</v>
      </c>
      <c r="AU134" s="31" t="s">
        <v>75</v>
      </c>
      <c r="AV134" s="31" t="s">
        <v>75</v>
      </c>
      <c r="AW134" s="31" t="s">
        <v>75</v>
      </c>
      <c r="AX134" s="31" t="s">
        <v>75</v>
      </c>
      <c r="AY134" s="31" t="s">
        <v>75</v>
      </c>
      <c r="AZ134" s="31" t="s">
        <v>75</v>
      </c>
      <c r="BA134" s="31" t="s">
        <v>75</v>
      </c>
      <c r="BB134" s="31" t="s">
        <v>75</v>
      </c>
      <c r="BC134" s="31" t="s">
        <v>75</v>
      </c>
      <c r="BD134" s="31" t="s">
        <v>75</v>
      </c>
      <c r="BE134" s="113">
        <v>0</v>
      </c>
      <c r="BF134" s="113">
        <v>0</v>
      </c>
      <c r="BG134" s="113">
        <v>0</v>
      </c>
      <c r="BH134" s="113">
        <v>0</v>
      </c>
      <c r="BI134" s="113">
        <v>0</v>
      </c>
      <c r="BJ134" s="113">
        <v>0</v>
      </c>
      <c r="BK134" s="113">
        <v>0</v>
      </c>
      <c r="BL134" s="113">
        <v>0</v>
      </c>
      <c r="BM134" s="113">
        <v>0</v>
      </c>
      <c r="BN134" s="113">
        <v>0</v>
      </c>
      <c r="BO134" s="113">
        <v>0</v>
      </c>
      <c r="BP134" s="113">
        <v>0</v>
      </c>
      <c r="BQ134" s="113">
        <v>0</v>
      </c>
      <c r="BR134" s="113">
        <v>0</v>
      </c>
      <c r="BS134" s="113">
        <v>0</v>
      </c>
      <c r="BT134" s="113">
        <v>0</v>
      </c>
      <c r="BU134" s="113">
        <v>0</v>
      </c>
      <c r="BV134" s="113">
        <v>0</v>
      </c>
      <c r="BW134" s="113"/>
      <c r="BX134" s="113"/>
      <c r="BY134" s="113"/>
      <c r="BZ134" s="113">
        <v>0</v>
      </c>
      <c r="CA134" s="113">
        <v>0</v>
      </c>
      <c r="CB134" s="113">
        <v>0</v>
      </c>
      <c r="CC134" s="113"/>
      <c r="CD134" s="113"/>
      <c r="CE134" s="113"/>
      <c r="CF134" s="113">
        <v>0</v>
      </c>
      <c r="CG134" s="113">
        <v>0</v>
      </c>
      <c r="CH134" s="113">
        <v>0</v>
      </c>
      <c r="CI134" s="113">
        <v>0</v>
      </c>
      <c r="CJ134" s="113">
        <v>0</v>
      </c>
      <c r="CK134" s="113">
        <v>0</v>
      </c>
      <c r="CL134" s="113">
        <v>0</v>
      </c>
      <c r="CM134" s="113">
        <v>0</v>
      </c>
      <c r="CN134" s="113">
        <v>0</v>
      </c>
      <c r="CO134" s="113">
        <v>0</v>
      </c>
      <c r="CP134" s="113">
        <v>0</v>
      </c>
      <c r="CQ134" s="113">
        <v>0</v>
      </c>
      <c r="CR134" s="113">
        <v>0</v>
      </c>
      <c r="CS134" s="113">
        <v>0</v>
      </c>
      <c r="CT134" s="113">
        <v>0</v>
      </c>
      <c r="CU134" s="113">
        <v>0</v>
      </c>
      <c r="CV134" s="113">
        <v>0</v>
      </c>
      <c r="CW134" s="113">
        <v>0</v>
      </c>
      <c r="CX134" s="113">
        <v>0</v>
      </c>
      <c r="CY134" s="113">
        <v>0</v>
      </c>
      <c r="CZ134" s="113">
        <v>0</v>
      </c>
      <c r="DA134" s="113">
        <v>0</v>
      </c>
      <c r="DB134" s="113">
        <v>0</v>
      </c>
      <c r="DC134" s="113">
        <v>0</v>
      </c>
      <c r="DD134" s="113">
        <v>0</v>
      </c>
      <c r="DE134" s="113">
        <v>0</v>
      </c>
      <c r="DF134" s="113">
        <v>0</v>
      </c>
      <c r="DG134" s="113">
        <v>0</v>
      </c>
      <c r="DH134" s="113">
        <v>0</v>
      </c>
      <c r="DI134" s="113">
        <v>0</v>
      </c>
      <c r="DJ134" s="113">
        <v>0</v>
      </c>
      <c r="DK134" s="113">
        <v>0</v>
      </c>
      <c r="DL134" s="113">
        <v>0</v>
      </c>
      <c r="DM134" s="113">
        <v>0</v>
      </c>
      <c r="DN134" s="113">
        <v>0</v>
      </c>
      <c r="DO134" s="113">
        <v>0</v>
      </c>
      <c r="DP134" s="113">
        <v>0</v>
      </c>
      <c r="DQ134" s="113">
        <v>0</v>
      </c>
      <c r="DR134" s="113">
        <v>0</v>
      </c>
      <c r="DS134" s="113">
        <v>0</v>
      </c>
      <c r="DT134" s="113">
        <v>0</v>
      </c>
      <c r="DU134" s="113">
        <v>0</v>
      </c>
      <c r="DV134" s="113">
        <v>0</v>
      </c>
      <c r="DW134" s="113">
        <v>0</v>
      </c>
      <c r="DX134" s="113">
        <v>0</v>
      </c>
      <c r="DY134" s="113">
        <v>0</v>
      </c>
      <c r="DZ134" s="113">
        <v>0</v>
      </c>
      <c r="EA134" s="113">
        <v>0</v>
      </c>
      <c r="EB134" s="113">
        <v>0</v>
      </c>
      <c r="EC134" s="113">
        <v>0</v>
      </c>
      <c r="ED134" s="113">
        <v>0</v>
      </c>
      <c r="EE134" s="113">
        <v>0</v>
      </c>
      <c r="EF134" s="113">
        <v>0</v>
      </c>
      <c r="EG134" s="113">
        <v>0</v>
      </c>
      <c r="EH134" s="113">
        <v>0</v>
      </c>
      <c r="EI134" s="113">
        <v>0</v>
      </c>
      <c r="EJ134" s="113">
        <v>0</v>
      </c>
      <c r="EK134" s="113">
        <v>0</v>
      </c>
      <c r="EL134" s="113">
        <v>0</v>
      </c>
      <c r="EM134" s="113">
        <v>0</v>
      </c>
      <c r="EN134" s="113">
        <v>0</v>
      </c>
      <c r="EO134" s="113">
        <v>0</v>
      </c>
      <c r="EP134" s="113">
        <v>0</v>
      </c>
      <c r="EQ134" s="113">
        <v>0</v>
      </c>
      <c r="ER134" s="113">
        <v>0</v>
      </c>
      <c r="ES134" s="113">
        <v>0</v>
      </c>
      <c r="ET134" s="113">
        <v>0</v>
      </c>
      <c r="EU134" s="113">
        <v>0</v>
      </c>
      <c r="EV134" s="113">
        <v>0</v>
      </c>
      <c r="EW134" s="113">
        <v>0</v>
      </c>
      <c r="EX134" s="113">
        <v>0</v>
      </c>
      <c r="EY134" s="113">
        <v>0</v>
      </c>
      <c r="EZ134" s="113">
        <v>0</v>
      </c>
      <c r="FA134" s="113">
        <v>0</v>
      </c>
      <c r="FB134" s="113">
        <v>0</v>
      </c>
      <c r="FC134" s="113">
        <v>0</v>
      </c>
      <c r="FD134" s="113">
        <v>0</v>
      </c>
      <c r="FE134" s="113">
        <v>0</v>
      </c>
      <c r="FF134" s="113">
        <v>0</v>
      </c>
      <c r="FG134" s="113">
        <v>0</v>
      </c>
      <c r="FH134" s="113">
        <v>0</v>
      </c>
      <c r="FI134" s="113">
        <v>0</v>
      </c>
      <c r="FJ134" s="113">
        <v>0</v>
      </c>
      <c r="FK134" s="113">
        <v>0</v>
      </c>
      <c r="FL134" s="113">
        <v>0</v>
      </c>
      <c r="FM134" s="113">
        <v>0</v>
      </c>
      <c r="FN134" s="113">
        <v>0</v>
      </c>
      <c r="FO134" s="113">
        <v>0</v>
      </c>
      <c r="FP134" s="113">
        <v>0</v>
      </c>
      <c r="FQ134" s="113">
        <v>0</v>
      </c>
      <c r="FR134" s="113">
        <v>0</v>
      </c>
      <c r="FS134" s="113">
        <v>0</v>
      </c>
      <c r="FT134" s="113">
        <v>0</v>
      </c>
      <c r="FU134" s="113">
        <v>0</v>
      </c>
      <c r="FV134" s="113">
        <v>0</v>
      </c>
      <c r="FW134" s="113">
        <v>0</v>
      </c>
      <c r="FX134" s="32">
        <v>0</v>
      </c>
      <c r="FY134" s="30">
        <v>0</v>
      </c>
      <c r="FZ134" s="30">
        <v>0</v>
      </c>
    </row>
    <row r="135" spans="1:182" x14ac:dyDescent="0.2">
      <c r="A135" s="28">
        <v>35674</v>
      </c>
      <c r="B135" s="28"/>
      <c r="C135" s="29">
        <v>221888</v>
      </c>
      <c r="D135" s="29">
        <v>101348</v>
      </c>
      <c r="E135" s="29">
        <f t="shared" si="2"/>
        <v>323236</v>
      </c>
      <c r="F135" s="30">
        <v>6082817</v>
      </c>
      <c r="G135" s="30">
        <v>99259</v>
      </c>
      <c r="H135" s="30">
        <f t="shared" si="3"/>
        <v>6182076</v>
      </c>
      <c r="I135" s="42" t="s">
        <v>75</v>
      </c>
      <c r="J135" s="42" t="s">
        <v>75</v>
      </c>
      <c r="K135" s="32">
        <v>3229132</v>
      </c>
      <c r="L135" s="31" t="s">
        <v>75</v>
      </c>
      <c r="M135" s="31" t="s">
        <v>75</v>
      </c>
      <c r="N135" s="30">
        <v>11383432</v>
      </c>
      <c r="O135" s="31" t="s">
        <v>75</v>
      </c>
      <c r="P135" s="31" t="s">
        <v>75</v>
      </c>
      <c r="Q135" s="30">
        <v>15859437</v>
      </c>
      <c r="R135" s="31" t="s">
        <v>75</v>
      </c>
      <c r="S135" s="31" t="s">
        <v>75</v>
      </c>
      <c r="T135" s="32">
        <v>212622</v>
      </c>
      <c r="U135" s="31" t="s">
        <v>75</v>
      </c>
      <c r="V135" s="31" t="s">
        <v>75</v>
      </c>
      <c r="W135" s="31" t="s">
        <v>75</v>
      </c>
      <c r="X135" s="31" t="s">
        <v>75</v>
      </c>
      <c r="Y135" s="31" t="s">
        <v>75</v>
      </c>
      <c r="Z135" s="30">
        <v>96324</v>
      </c>
      <c r="AA135" s="31" t="s">
        <v>75</v>
      </c>
      <c r="AB135" s="31" t="s">
        <v>75</v>
      </c>
      <c r="AC135" s="30">
        <v>145020</v>
      </c>
      <c r="AD135" s="31" t="s">
        <v>75</v>
      </c>
      <c r="AE135" s="31" t="s">
        <v>75</v>
      </c>
      <c r="AF135" s="30">
        <v>12371</v>
      </c>
      <c r="AG135" s="42" t="s">
        <v>75</v>
      </c>
      <c r="AH135" s="42" t="s">
        <v>75</v>
      </c>
      <c r="AI135" s="32">
        <v>77588</v>
      </c>
      <c r="AJ135" s="31" t="s">
        <v>75</v>
      </c>
      <c r="AK135" s="31" t="s">
        <v>75</v>
      </c>
      <c r="AL135" s="31" t="s">
        <v>75</v>
      </c>
      <c r="AM135" s="31"/>
      <c r="AN135" s="31"/>
      <c r="AO135" s="31"/>
      <c r="AP135" s="31"/>
      <c r="AQ135" s="31"/>
      <c r="AR135" s="31"/>
      <c r="AS135" s="31" t="s">
        <v>75</v>
      </c>
      <c r="AT135" s="31" t="s">
        <v>75</v>
      </c>
      <c r="AU135" s="31" t="s">
        <v>75</v>
      </c>
      <c r="AV135" s="31" t="s">
        <v>75</v>
      </c>
      <c r="AW135" s="31" t="s">
        <v>75</v>
      </c>
      <c r="AX135" s="31" t="s">
        <v>75</v>
      </c>
      <c r="AY135" s="31" t="s">
        <v>75</v>
      </c>
      <c r="AZ135" s="31" t="s">
        <v>75</v>
      </c>
      <c r="BA135" s="31" t="s">
        <v>75</v>
      </c>
      <c r="BB135" s="31" t="s">
        <v>75</v>
      </c>
      <c r="BC135" s="31" t="s">
        <v>75</v>
      </c>
      <c r="BD135" s="31" t="s">
        <v>75</v>
      </c>
      <c r="BE135" s="113">
        <v>0</v>
      </c>
      <c r="BF135" s="113">
        <v>0</v>
      </c>
      <c r="BG135" s="113">
        <v>0</v>
      </c>
      <c r="BH135" s="113">
        <v>0</v>
      </c>
      <c r="BI135" s="113">
        <v>0</v>
      </c>
      <c r="BJ135" s="113">
        <v>0</v>
      </c>
      <c r="BK135" s="113">
        <v>0</v>
      </c>
      <c r="BL135" s="113">
        <v>0</v>
      </c>
      <c r="BM135" s="113">
        <v>0</v>
      </c>
      <c r="BN135" s="113">
        <v>0</v>
      </c>
      <c r="BO135" s="113">
        <v>0</v>
      </c>
      <c r="BP135" s="113">
        <v>0</v>
      </c>
      <c r="BQ135" s="113">
        <v>0</v>
      </c>
      <c r="BR135" s="113">
        <v>0</v>
      </c>
      <c r="BS135" s="113">
        <v>0</v>
      </c>
      <c r="BT135" s="113">
        <v>0</v>
      </c>
      <c r="BU135" s="113">
        <v>0</v>
      </c>
      <c r="BV135" s="113">
        <v>0</v>
      </c>
      <c r="BW135" s="113"/>
      <c r="BX135" s="113"/>
      <c r="BY135" s="113"/>
      <c r="BZ135" s="113">
        <v>0</v>
      </c>
      <c r="CA135" s="113">
        <v>0</v>
      </c>
      <c r="CB135" s="113">
        <v>0</v>
      </c>
      <c r="CC135" s="113"/>
      <c r="CD135" s="113"/>
      <c r="CE135" s="113"/>
      <c r="CF135" s="113">
        <v>0</v>
      </c>
      <c r="CG135" s="113">
        <v>0</v>
      </c>
      <c r="CH135" s="113">
        <v>0</v>
      </c>
      <c r="CI135" s="113">
        <v>0</v>
      </c>
      <c r="CJ135" s="113">
        <v>0</v>
      </c>
      <c r="CK135" s="113">
        <v>0</v>
      </c>
      <c r="CL135" s="113">
        <v>0</v>
      </c>
      <c r="CM135" s="113">
        <v>0</v>
      </c>
      <c r="CN135" s="113">
        <v>0</v>
      </c>
      <c r="CO135" s="113">
        <v>0</v>
      </c>
      <c r="CP135" s="113">
        <v>0</v>
      </c>
      <c r="CQ135" s="113">
        <v>0</v>
      </c>
      <c r="CR135" s="113">
        <v>0</v>
      </c>
      <c r="CS135" s="113">
        <v>0</v>
      </c>
      <c r="CT135" s="113">
        <v>0</v>
      </c>
      <c r="CU135" s="113">
        <v>0</v>
      </c>
      <c r="CV135" s="113">
        <v>0</v>
      </c>
      <c r="CW135" s="113">
        <v>0</v>
      </c>
      <c r="CX135" s="113">
        <v>0</v>
      </c>
      <c r="CY135" s="113">
        <v>0</v>
      </c>
      <c r="CZ135" s="113">
        <v>0</v>
      </c>
      <c r="DA135" s="113">
        <v>0</v>
      </c>
      <c r="DB135" s="113">
        <v>0</v>
      </c>
      <c r="DC135" s="113">
        <v>0</v>
      </c>
      <c r="DD135" s="113">
        <v>0</v>
      </c>
      <c r="DE135" s="113">
        <v>0</v>
      </c>
      <c r="DF135" s="113">
        <v>0</v>
      </c>
      <c r="DG135" s="113">
        <v>0</v>
      </c>
      <c r="DH135" s="113">
        <v>0</v>
      </c>
      <c r="DI135" s="113">
        <v>0</v>
      </c>
      <c r="DJ135" s="113">
        <v>0</v>
      </c>
      <c r="DK135" s="113">
        <v>0</v>
      </c>
      <c r="DL135" s="113">
        <v>0</v>
      </c>
      <c r="DM135" s="113">
        <v>0</v>
      </c>
      <c r="DN135" s="113">
        <v>0</v>
      </c>
      <c r="DO135" s="113">
        <v>0</v>
      </c>
      <c r="DP135" s="113">
        <v>0</v>
      </c>
      <c r="DQ135" s="113">
        <v>0</v>
      </c>
      <c r="DR135" s="113">
        <v>0</v>
      </c>
      <c r="DS135" s="113">
        <v>0</v>
      </c>
      <c r="DT135" s="113">
        <v>0</v>
      </c>
      <c r="DU135" s="113">
        <v>0</v>
      </c>
      <c r="DV135" s="113">
        <v>0</v>
      </c>
      <c r="DW135" s="113">
        <v>0</v>
      </c>
      <c r="DX135" s="113">
        <v>0</v>
      </c>
      <c r="DY135" s="113">
        <v>0</v>
      </c>
      <c r="DZ135" s="113">
        <v>0</v>
      </c>
      <c r="EA135" s="113">
        <v>0</v>
      </c>
      <c r="EB135" s="113">
        <v>0</v>
      </c>
      <c r="EC135" s="113">
        <v>0</v>
      </c>
      <c r="ED135" s="113">
        <v>0</v>
      </c>
      <c r="EE135" s="113">
        <v>0</v>
      </c>
      <c r="EF135" s="113">
        <v>0</v>
      </c>
      <c r="EG135" s="113">
        <v>0</v>
      </c>
      <c r="EH135" s="113">
        <v>0</v>
      </c>
      <c r="EI135" s="113">
        <v>0</v>
      </c>
      <c r="EJ135" s="113">
        <v>0</v>
      </c>
      <c r="EK135" s="113">
        <v>0</v>
      </c>
      <c r="EL135" s="113">
        <v>0</v>
      </c>
      <c r="EM135" s="113">
        <v>0</v>
      </c>
      <c r="EN135" s="113">
        <v>0</v>
      </c>
      <c r="EO135" s="113">
        <v>0</v>
      </c>
      <c r="EP135" s="113">
        <v>0</v>
      </c>
      <c r="EQ135" s="113">
        <v>0</v>
      </c>
      <c r="ER135" s="113">
        <v>0</v>
      </c>
      <c r="ES135" s="113">
        <v>0</v>
      </c>
      <c r="ET135" s="113">
        <v>0</v>
      </c>
      <c r="EU135" s="113">
        <v>0</v>
      </c>
      <c r="EV135" s="113">
        <v>0</v>
      </c>
      <c r="EW135" s="113">
        <v>0</v>
      </c>
      <c r="EX135" s="113">
        <v>0</v>
      </c>
      <c r="EY135" s="113">
        <v>0</v>
      </c>
      <c r="EZ135" s="113">
        <v>0</v>
      </c>
      <c r="FA135" s="113">
        <v>0</v>
      </c>
      <c r="FB135" s="113">
        <v>0</v>
      </c>
      <c r="FC135" s="113">
        <v>0</v>
      </c>
      <c r="FD135" s="113">
        <v>0</v>
      </c>
      <c r="FE135" s="113">
        <v>0</v>
      </c>
      <c r="FF135" s="113">
        <v>0</v>
      </c>
      <c r="FG135" s="113">
        <v>0</v>
      </c>
      <c r="FH135" s="113">
        <v>0</v>
      </c>
      <c r="FI135" s="113">
        <v>0</v>
      </c>
      <c r="FJ135" s="113">
        <v>0</v>
      </c>
      <c r="FK135" s="113">
        <v>0</v>
      </c>
      <c r="FL135" s="113">
        <v>0</v>
      </c>
      <c r="FM135" s="113">
        <v>0</v>
      </c>
      <c r="FN135" s="113">
        <v>0</v>
      </c>
      <c r="FO135" s="113">
        <v>0</v>
      </c>
      <c r="FP135" s="113">
        <v>0</v>
      </c>
      <c r="FQ135" s="113">
        <v>0</v>
      </c>
      <c r="FR135" s="113">
        <v>0</v>
      </c>
      <c r="FS135" s="113">
        <v>0</v>
      </c>
      <c r="FT135" s="113">
        <v>0</v>
      </c>
      <c r="FU135" s="113">
        <v>0</v>
      </c>
      <c r="FV135" s="113">
        <v>0</v>
      </c>
      <c r="FW135" s="113">
        <v>0</v>
      </c>
      <c r="FX135" s="32">
        <v>0</v>
      </c>
      <c r="FY135" s="30">
        <v>0</v>
      </c>
      <c r="FZ135" s="30">
        <v>0</v>
      </c>
    </row>
    <row r="136" spans="1:182" x14ac:dyDescent="0.2">
      <c r="A136" s="28">
        <v>35704</v>
      </c>
      <c r="B136" s="28"/>
      <c r="C136" s="29">
        <v>315436</v>
      </c>
      <c r="D136" s="29">
        <v>205226</v>
      </c>
      <c r="E136" s="29">
        <f t="shared" ref="E136:E199" si="4">+C136+D136</f>
        <v>520662</v>
      </c>
      <c r="F136" s="30">
        <v>7023559</v>
      </c>
      <c r="G136" s="30">
        <v>190847</v>
      </c>
      <c r="H136" s="30">
        <f t="shared" ref="H136:H199" si="5">+G136+F136</f>
        <v>7214406</v>
      </c>
      <c r="I136" s="42" t="s">
        <v>75</v>
      </c>
      <c r="J136" s="42" t="s">
        <v>75</v>
      </c>
      <c r="K136" s="32">
        <v>3079648</v>
      </c>
      <c r="L136" s="31" t="s">
        <v>75</v>
      </c>
      <c r="M136" s="31" t="s">
        <v>75</v>
      </c>
      <c r="N136" s="30">
        <v>12345981</v>
      </c>
      <c r="O136" s="31" t="s">
        <v>75</v>
      </c>
      <c r="P136" s="31" t="s">
        <v>75</v>
      </c>
      <c r="Q136" s="30">
        <v>16399776</v>
      </c>
      <c r="R136" s="31" t="s">
        <v>75</v>
      </c>
      <c r="S136" s="31" t="s">
        <v>75</v>
      </c>
      <c r="T136" s="32">
        <v>236775</v>
      </c>
      <c r="U136" s="31" t="s">
        <v>75</v>
      </c>
      <c r="V136" s="31" t="s">
        <v>75</v>
      </c>
      <c r="W136" s="31" t="s">
        <v>75</v>
      </c>
      <c r="X136" s="31" t="s">
        <v>75</v>
      </c>
      <c r="Y136" s="31" t="s">
        <v>75</v>
      </c>
      <c r="Z136" s="30">
        <v>133397</v>
      </c>
      <c r="AA136" s="31" t="s">
        <v>75</v>
      </c>
      <c r="AB136" s="31" t="s">
        <v>75</v>
      </c>
      <c r="AC136" s="30">
        <v>162261</v>
      </c>
      <c r="AD136" s="31" t="s">
        <v>75</v>
      </c>
      <c r="AE136" s="31" t="s">
        <v>75</v>
      </c>
      <c r="AF136" s="30">
        <v>27452</v>
      </c>
      <c r="AG136" s="42" t="s">
        <v>75</v>
      </c>
      <c r="AH136" s="42" t="s">
        <v>75</v>
      </c>
      <c r="AI136" s="32">
        <v>83743</v>
      </c>
      <c r="AJ136" s="31" t="s">
        <v>75</v>
      </c>
      <c r="AK136" s="31" t="s">
        <v>75</v>
      </c>
      <c r="AL136" s="31" t="s">
        <v>75</v>
      </c>
      <c r="AM136" s="31"/>
      <c r="AN136" s="31"/>
      <c r="AO136" s="31"/>
      <c r="AP136" s="31"/>
      <c r="AQ136" s="31"/>
      <c r="AR136" s="31"/>
      <c r="AS136" s="31" t="s">
        <v>75</v>
      </c>
      <c r="AT136" s="31" t="s">
        <v>75</v>
      </c>
      <c r="AU136" s="31" t="s">
        <v>75</v>
      </c>
      <c r="AV136" s="31" t="s">
        <v>75</v>
      </c>
      <c r="AW136" s="31" t="s">
        <v>75</v>
      </c>
      <c r="AX136" s="31" t="s">
        <v>75</v>
      </c>
      <c r="AY136" s="31" t="s">
        <v>75</v>
      </c>
      <c r="AZ136" s="31" t="s">
        <v>75</v>
      </c>
      <c r="BA136" s="31" t="s">
        <v>75</v>
      </c>
      <c r="BB136" s="31" t="s">
        <v>75</v>
      </c>
      <c r="BC136" s="31" t="s">
        <v>75</v>
      </c>
      <c r="BD136" s="31" t="s">
        <v>75</v>
      </c>
      <c r="BE136" s="113">
        <v>0</v>
      </c>
      <c r="BF136" s="113">
        <v>0</v>
      </c>
      <c r="BG136" s="113">
        <v>0</v>
      </c>
      <c r="BH136" s="113">
        <v>0</v>
      </c>
      <c r="BI136" s="113">
        <v>0</v>
      </c>
      <c r="BJ136" s="113">
        <v>0</v>
      </c>
      <c r="BK136" s="113">
        <v>0</v>
      </c>
      <c r="BL136" s="113">
        <v>0</v>
      </c>
      <c r="BM136" s="113">
        <v>0</v>
      </c>
      <c r="BN136" s="113">
        <v>0</v>
      </c>
      <c r="BO136" s="113">
        <v>0</v>
      </c>
      <c r="BP136" s="113">
        <v>0</v>
      </c>
      <c r="BQ136" s="113">
        <v>0</v>
      </c>
      <c r="BR136" s="113">
        <v>0</v>
      </c>
      <c r="BS136" s="113">
        <v>0</v>
      </c>
      <c r="BT136" s="113">
        <v>0</v>
      </c>
      <c r="BU136" s="113">
        <v>0</v>
      </c>
      <c r="BV136" s="113">
        <v>0</v>
      </c>
      <c r="BW136" s="113"/>
      <c r="BX136" s="113"/>
      <c r="BY136" s="113"/>
      <c r="BZ136" s="113">
        <v>0</v>
      </c>
      <c r="CA136" s="113">
        <v>0</v>
      </c>
      <c r="CB136" s="113">
        <v>0</v>
      </c>
      <c r="CC136" s="113"/>
      <c r="CD136" s="113"/>
      <c r="CE136" s="113"/>
      <c r="CF136" s="113">
        <v>0</v>
      </c>
      <c r="CG136" s="113">
        <v>0</v>
      </c>
      <c r="CH136" s="113">
        <v>0</v>
      </c>
      <c r="CI136" s="113">
        <v>0</v>
      </c>
      <c r="CJ136" s="113">
        <v>0</v>
      </c>
      <c r="CK136" s="113">
        <v>0</v>
      </c>
      <c r="CL136" s="113">
        <v>0</v>
      </c>
      <c r="CM136" s="113">
        <v>0</v>
      </c>
      <c r="CN136" s="113">
        <v>0</v>
      </c>
      <c r="CO136" s="113">
        <v>0</v>
      </c>
      <c r="CP136" s="113">
        <v>0</v>
      </c>
      <c r="CQ136" s="113">
        <v>0</v>
      </c>
      <c r="CR136" s="113">
        <v>0</v>
      </c>
      <c r="CS136" s="113">
        <v>0</v>
      </c>
      <c r="CT136" s="113">
        <v>0</v>
      </c>
      <c r="CU136" s="113">
        <v>0</v>
      </c>
      <c r="CV136" s="113">
        <v>0</v>
      </c>
      <c r="CW136" s="113">
        <v>0</v>
      </c>
      <c r="CX136" s="113">
        <v>0</v>
      </c>
      <c r="CY136" s="113">
        <v>0</v>
      </c>
      <c r="CZ136" s="113">
        <v>0</v>
      </c>
      <c r="DA136" s="113">
        <v>0</v>
      </c>
      <c r="DB136" s="113">
        <v>0</v>
      </c>
      <c r="DC136" s="113">
        <v>0</v>
      </c>
      <c r="DD136" s="113">
        <v>0</v>
      </c>
      <c r="DE136" s="113">
        <v>0</v>
      </c>
      <c r="DF136" s="113">
        <v>0</v>
      </c>
      <c r="DG136" s="113">
        <v>0</v>
      </c>
      <c r="DH136" s="113">
        <v>0</v>
      </c>
      <c r="DI136" s="113">
        <v>0</v>
      </c>
      <c r="DJ136" s="113">
        <v>0</v>
      </c>
      <c r="DK136" s="113">
        <v>0</v>
      </c>
      <c r="DL136" s="113">
        <v>0</v>
      </c>
      <c r="DM136" s="113">
        <v>0</v>
      </c>
      <c r="DN136" s="113">
        <v>0</v>
      </c>
      <c r="DO136" s="113">
        <v>0</v>
      </c>
      <c r="DP136" s="113">
        <v>0</v>
      </c>
      <c r="DQ136" s="113">
        <v>0</v>
      </c>
      <c r="DR136" s="113">
        <v>0</v>
      </c>
      <c r="DS136" s="113">
        <v>0</v>
      </c>
      <c r="DT136" s="113">
        <v>0</v>
      </c>
      <c r="DU136" s="113">
        <v>0</v>
      </c>
      <c r="DV136" s="113">
        <v>0</v>
      </c>
      <c r="DW136" s="113">
        <v>0</v>
      </c>
      <c r="DX136" s="113">
        <v>0</v>
      </c>
      <c r="DY136" s="113">
        <v>0</v>
      </c>
      <c r="DZ136" s="113">
        <v>0</v>
      </c>
      <c r="EA136" s="113">
        <v>0</v>
      </c>
      <c r="EB136" s="113">
        <v>0</v>
      </c>
      <c r="EC136" s="113">
        <v>0</v>
      </c>
      <c r="ED136" s="113">
        <v>0</v>
      </c>
      <c r="EE136" s="113">
        <v>0</v>
      </c>
      <c r="EF136" s="113">
        <v>0</v>
      </c>
      <c r="EG136" s="113">
        <v>0</v>
      </c>
      <c r="EH136" s="113">
        <v>0</v>
      </c>
      <c r="EI136" s="113">
        <v>0</v>
      </c>
      <c r="EJ136" s="113">
        <v>0</v>
      </c>
      <c r="EK136" s="113">
        <v>0</v>
      </c>
      <c r="EL136" s="113">
        <v>0</v>
      </c>
      <c r="EM136" s="113">
        <v>0</v>
      </c>
      <c r="EN136" s="113">
        <v>0</v>
      </c>
      <c r="EO136" s="113">
        <v>0</v>
      </c>
      <c r="EP136" s="113">
        <v>0</v>
      </c>
      <c r="EQ136" s="113">
        <v>0</v>
      </c>
      <c r="ER136" s="113">
        <v>0</v>
      </c>
      <c r="ES136" s="113">
        <v>0</v>
      </c>
      <c r="ET136" s="113">
        <v>0</v>
      </c>
      <c r="EU136" s="113">
        <v>0</v>
      </c>
      <c r="EV136" s="113">
        <v>0</v>
      </c>
      <c r="EW136" s="113">
        <v>0</v>
      </c>
      <c r="EX136" s="113">
        <v>0</v>
      </c>
      <c r="EY136" s="113">
        <v>0</v>
      </c>
      <c r="EZ136" s="113">
        <v>0</v>
      </c>
      <c r="FA136" s="113">
        <v>0</v>
      </c>
      <c r="FB136" s="113">
        <v>0</v>
      </c>
      <c r="FC136" s="113">
        <v>0</v>
      </c>
      <c r="FD136" s="113">
        <v>0</v>
      </c>
      <c r="FE136" s="113">
        <v>0</v>
      </c>
      <c r="FF136" s="113">
        <v>0</v>
      </c>
      <c r="FG136" s="113">
        <v>0</v>
      </c>
      <c r="FH136" s="113">
        <v>0</v>
      </c>
      <c r="FI136" s="113">
        <v>0</v>
      </c>
      <c r="FJ136" s="113">
        <v>0</v>
      </c>
      <c r="FK136" s="113">
        <v>0</v>
      </c>
      <c r="FL136" s="113">
        <v>0</v>
      </c>
      <c r="FM136" s="113">
        <v>0</v>
      </c>
      <c r="FN136" s="113">
        <v>0</v>
      </c>
      <c r="FO136" s="113">
        <v>0</v>
      </c>
      <c r="FP136" s="113">
        <v>0</v>
      </c>
      <c r="FQ136" s="113">
        <v>0</v>
      </c>
      <c r="FR136" s="113">
        <v>0</v>
      </c>
      <c r="FS136" s="113">
        <v>0</v>
      </c>
      <c r="FT136" s="113">
        <v>0</v>
      </c>
      <c r="FU136" s="113">
        <v>0</v>
      </c>
      <c r="FV136" s="113">
        <v>0</v>
      </c>
      <c r="FW136" s="113">
        <v>0</v>
      </c>
      <c r="FX136" s="32">
        <v>0</v>
      </c>
      <c r="FY136" s="30">
        <v>0</v>
      </c>
      <c r="FZ136" s="30">
        <v>0</v>
      </c>
    </row>
    <row r="137" spans="1:182" x14ac:dyDescent="0.2">
      <c r="A137" s="28">
        <v>35735</v>
      </c>
      <c r="B137" s="28"/>
      <c r="C137" s="29">
        <v>327608</v>
      </c>
      <c r="D137" s="29">
        <v>160515</v>
      </c>
      <c r="E137" s="29">
        <f t="shared" si="4"/>
        <v>488123</v>
      </c>
      <c r="F137" s="30">
        <v>10037857</v>
      </c>
      <c r="G137" s="30">
        <v>334769</v>
      </c>
      <c r="H137" s="30">
        <f t="shared" si="5"/>
        <v>10372626</v>
      </c>
      <c r="I137" s="42" t="s">
        <v>75</v>
      </c>
      <c r="J137" s="42" t="s">
        <v>75</v>
      </c>
      <c r="K137" s="32">
        <v>3906597</v>
      </c>
      <c r="L137" s="31" t="s">
        <v>75</v>
      </c>
      <c r="M137" s="31" t="s">
        <v>75</v>
      </c>
      <c r="N137" s="30">
        <v>14950606</v>
      </c>
      <c r="O137" s="31" t="s">
        <v>75</v>
      </c>
      <c r="P137" s="31" t="s">
        <v>75</v>
      </c>
      <c r="Q137" s="30">
        <v>16715051</v>
      </c>
      <c r="R137" s="31" t="s">
        <v>75</v>
      </c>
      <c r="S137" s="31" t="s">
        <v>75</v>
      </c>
      <c r="T137" s="32">
        <v>131575</v>
      </c>
      <c r="U137" s="31" t="s">
        <v>75</v>
      </c>
      <c r="V137" s="31" t="s">
        <v>75</v>
      </c>
      <c r="W137" s="31" t="s">
        <v>75</v>
      </c>
      <c r="X137" s="31" t="s">
        <v>75</v>
      </c>
      <c r="Y137" s="31" t="s">
        <v>75</v>
      </c>
      <c r="Z137" s="30">
        <v>195012</v>
      </c>
      <c r="AA137" s="31" t="s">
        <v>75</v>
      </c>
      <c r="AB137" s="31" t="s">
        <v>75</v>
      </c>
      <c r="AC137" s="30">
        <v>138366</v>
      </c>
      <c r="AD137" s="31" t="s">
        <v>75</v>
      </c>
      <c r="AE137" s="31" t="s">
        <v>75</v>
      </c>
      <c r="AF137" s="30">
        <v>46469</v>
      </c>
      <c r="AG137" s="42" t="s">
        <v>75</v>
      </c>
      <c r="AH137" s="42" t="s">
        <v>75</v>
      </c>
      <c r="AI137" s="32">
        <v>76318</v>
      </c>
      <c r="AJ137" s="31" t="s">
        <v>75</v>
      </c>
      <c r="AK137" s="31" t="s">
        <v>75</v>
      </c>
      <c r="AL137" s="31" t="s">
        <v>75</v>
      </c>
      <c r="AM137" s="31"/>
      <c r="AN137" s="31"/>
      <c r="AO137" s="31"/>
      <c r="AP137" s="31"/>
      <c r="AQ137" s="31"/>
      <c r="AR137" s="31"/>
      <c r="AS137" s="31" t="s">
        <v>75</v>
      </c>
      <c r="AT137" s="31" t="s">
        <v>75</v>
      </c>
      <c r="AU137" s="31" t="s">
        <v>75</v>
      </c>
      <c r="AV137" s="31" t="s">
        <v>75</v>
      </c>
      <c r="AW137" s="31" t="s">
        <v>75</v>
      </c>
      <c r="AX137" s="31" t="s">
        <v>75</v>
      </c>
      <c r="AY137" s="31" t="s">
        <v>75</v>
      </c>
      <c r="AZ137" s="31" t="s">
        <v>75</v>
      </c>
      <c r="BA137" s="31" t="s">
        <v>75</v>
      </c>
      <c r="BB137" s="31" t="s">
        <v>75</v>
      </c>
      <c r="BC137" s="31" t="s">
        <v>75</v>
      </c>
      <c r="BD137" s="31" t="s">
        <v>75</v>
      </c>
      <c r="BE137" s="113">
        <v>0</v>
      </c>
      <c r="BF137" s="113">
        <v>0</v>
      </c>
      <c r="BG137" s="113">
        <v>0</v>
      </c>
      <c r="BH137" s="113">
        <v>0</v>
      </c>
      <c r="BI137" s="113">
        <v>0</v>
      </c>
      <c r="BJ137" s="113">
        <v>0</v>
      </c>
      <c r="BK137" s="113">
        <v>0</v>
      </c>
      <c r="BL137" s="113">
        <v>0</v>
      </c>
      <c r="BM137" s="113">
        <v>0</v>
      </c>
      <c r="BN137" s="113">
        <v>0</v>
      </c>
      <c r="BO137" s="113">
        <v>0</v>
      </c>
      <c r="BP137" s="113">
        <v>0</v>
      </c>
      <c r="BQ137" s="113">
        <v>0</v>
      </c>
      <c r="BR137" s="113">
        <v>0</v>
      </c>
      <c r="BS137" s="113">
        <v>0</v>
      </c>
      <c r="BT137" s="113">
        <v>0</v>
      </c>
      <c r="BU137" s="113">
        <v>0</v>
      </c>
      <c r="BV137" s="113">
        <v>0</v>
      </c>
      <c r="BW137" s="113"/>
      <c r="BX137" s="113"/>
      <c r="BY137" s="113"/>
      <c r="BZ137" s="113">
        <v>0</v>
      </c>
      <c r="CA137" s="113">
        <v>0</v>
      </c>
      <c r="CB137" s="113">
        <v>0</v>
      </c>
      <c r="CC137" s="113"/>
      <c r="CD137" s="113"/>
      <c r="CE137" s="113"/>
      <c r="CF137" s="113">
        <v>0</v>
      </c>
      <c r="CG137" s="113">
        <v>0</v>
      </c>
      <c r="CH137" s="113">
        <v>0</v>
      </c>
      <c r="CI137" s="113">
        <v>0</v>
      </c>
      <c r="CJ137" s="113">
        <v>0</v>
      </c>
      <c r="CK137" s="113">
        <v>0</v>
      </c>
      <c r="CL137" s="113">
        <v>0</v>
      </c>
      <c r="CM137" s="113">
        <v>0</v>
      </c>
      <c r="CN137" s="113">
        <v>0</v>
      </c>
      <c r="CO137" s="113">
        <v>0</v>
      </c>
      <c r="CP137" s="113">
        <v>0</v>
      </c>
      <c r="CQ137" s="113">
        <v>0</v>
      </c>
      <c r="CR137" s="113">
        <v>0</v>
      </c>
      <c r="CS137" s="113">
        <v>0</v>
      </c>
      <c r="CT137" s="113">
        <v>0</v>
      </c>
      <c r="CU137" s="113">
        <v>0</v>
      </c>
      <c r="CV137" s="113">
        <v>0</v>
      </c>
      <c r="CW137" s="113">
        <v>0</v>
      </c>
      <c r="CX137" s="113">
        <v>0</v>
      </c>
      <c r="CY137" s="113">
        <v>0</v>
      </c>
      <c r="CZ137" s="113">
        <v>0</v>
      </c>
      <c r="DA137" s="113">
        <v>0</v>
      </c>
      <c r="DB137" s="113">
        <v>0</v>
      </c>
      <c r="DC137" s="113">
        <v>0</v>
      </c>
      <c r="DD137" s="113">
        <v>0</v>
      </c>
      <c r="DE137" s="113">
        <v>0</v>
      </c>
      <c r="DF137" s="113">
        <v>0</v>
      </c>
      <c r="DG137" s="113">
        <v>0</v>
      </c>
      <c r="DH137" s="113">
        <v>0</v>
      </c>
      <c r="DI137" s="113">
        <v>0</v>
      </c>
      <c r="DJ137" s="113">
        <v>0</v>
      </c>
      <c r="DK137" s="113">
        <v>0</v>
      </c>
      <c r="DL137" s="113">
        <v>0</v>
      </c>
      <c r="DM137" s="113">
        <v>0</v>
      </c>
      <c r="DN137" s="113">
        <v>0</v>
      </c>
      <c r="DO137" s="113">
        <v>0</v>
      </c>
      <c r="DP137" s="113">
        <v>0</v>
      </c>
      <c r="DQ137" s="113">
        <v>0</v>
      </c>
      <c r="DR137" s="113">
        <v>0</v>
      </c>
      <c r="DS137" s="113">
        <v>0</v>
      </c>
      <c r="DT137" s="113">
        <v>0</v>
      </c>
      <c r="DU137" s="113">
        <v>0</v>
      </c>
      <c r="DV137" s="113">
        <v>0</v>
      </c>
      <c r="DW137" s="113">
        <v>0</v>
      </c>
      <c r="DX137" s="113">
        <v>0</v>
      </c>
      <c r="DY137" s="113">
        <v>0</v>
      </c>
      <c r="DZ137" s="113">
        <v>0</v>
      </c>
      <c r="EA137" s="113">
        <v>0</v>
      </c>
      <c r="EB137" s="113">
        <v>0</v>
      </c>
      <c r="EC137" s="113">
        <v>0</v>
      </c>
      <c r="ED137" s="113">
        <v>0</v>
      </c>
      <c r="EE137" s="113">
        <v>0</v>
      </c>
      <c r="EF137" s="113">
        <v>0</v>
      </c>
      <c r="EG137" s="113">
        <v>0</v>
      </c>
      <c r="EH137" s="113">
        <v>0</v>
      </c>
      <c r="EI137" s="113">
        <v>0</v>
      </c>
      <c r="EJ137" s="113">
        <v>0</v>
      </c>
      <c r="EK137" s="113">
        <v>0</v>
      </c>
      <c r="EL137" s="113">
        <v>0</v>
      </c>
      <c r="EM137" s="113">
        <v>0</v>
      </c>
      <c r="EN137" s="113">
        <v>0</v>
      </c>
      <c r="EO137" s="113">
        <v>0</v>
      </c>
      <c r="EP137" s="113">
        <v>0</v>
      </c>
      <c r="EQ137" s="113">
        <v>0</v>
      </c>
      <c r="ER137" s="113">
        <v>0</v>
      </c>
      <c r="ES137" s="113">
        <v>0</v>
      </c>
      <c r="ET137" s="113">
        <v>0</v>
      </c>
      <c r="EU137" s="113">
        <v>0</v>
      </c>
      <c r="EV137" s="113">
        <v>0</v>
      </c>
      <c r="EW137" s="113">
        <v>0</v>
      </c>
      <c r="EX137" s="113">
        <v>0</v>
      </c>
      <c r="EY137" s="113">
        <v>0</v>
      </c>
      <c r="EZ137" s="113">
        <v>0</v>
      </c>
      <c r="FA137" s="113">
        <v>0</v>
      </c>
      <c r="FB137" s="113">
        <v>0</v>
      </c>
      <c r="FC137" s="113">
        <v>0</v>
      </c>
      <c r="FD137" s="113">
        <v>0</v>
      </c>
      <c r="FE137" s="113">
        <v>0</v>
      </c>
      <c r="FF137" s="113">
        <v>0</v>
      </c>
      <c r="FG137" s="113">
        <v>0</v>
      </c>
      <c r="FH137" s="113">
        <v>0</v>
      </c>
      <c r="FI137" s="113">
        <v>0</v>
      </c>
      <c r="FJ137" s="113">
        <v>0</v>
      </c>
      <c r="FK137" s="113">
        <v>0</v>
      </c>
      <c r="FL137" s="113">
        <v>0</v>
      </c>
      <c r="FM137" s="113">
        <v>0</v>
      </c>
      <c r="FN137" s="113">
        <v>0</v>
      </c>
      <c r="FO137" s="113">
        <v>0</v>
      </c>
      <c r="FP137" s="113">
        <v>0</v>
      </c>
      <c r="FQ137" s="113">
        <v>0</v>
      </c>
      <c r="FR137" s="113">
        <v>0</v>
      </c>
      <c r="FS137" s="113">
        <v>0</v>
      </c>
      <c r="FT137" s="113">
        <v>0</v>
      </c>
      <c r="FU137" s="113">
        <v>0</v>
      </c>
      <c r="FV137" s="113">
        <v>0</v>
      </c>
      <c r="FW137" s="113">
        <v>0</v>
      </c>
      <c r="FX137" s="32">
        <v>0</v>
      </c>
      <c r="FY137" s="30">
        <v>0</v>
      </c>
      <c r="FZ137" s="30">
        <v>0</v>
      </c>
    </row>
    <row r="138" spans="1:182" x14ac:dyDescent="0.2">
      <c r="A138" s="28">
        <v>35765</v>
      </c>
      <c r="B138" s="28"/>
      <c r="C138" s="29">
        <v>365577</v>
      </c>
      <c r="D138" s="29">
        <v>262585</v>
      </c>
      <c r="E138" s="29">
        <f t="shared" si="4"/>
        <v>628162</v>
      </c>
      <c r="F138" s="30">
        <v>13641668</v>
      </c>
      <c r="G138" s="30">
        <v>339062</v>
      </c>
      <c r="H138" s="30">
        <f t="shared" si="5"/>
        <v>13980730</v>
      </c>
      <c r="I138" s="42" t="s">
        <v>75</v>
      </c>
      <c r="J138" s="42" t="s">
        <v>75</v>
      </c>
      <c r="K138" s="32">
        <v>5451335</v>
      </c>
      <c r="L138" s="31" t="s">
        <v>75</v>
      </c>
      <c r="M138" s="31" t="s">
        <v>75</v>
      </c>
      <c r="N138" s="30">
        <v>20762728</v>
      </c>
      <c r="O138" s="31" t="s">
        <v>75</v>
      </c>
      <c r="P138" s="31" t="s">
        <v>75</v>
      </c>
      <c r="Q138" s="30">
        <v>22643390</v>
      </c>
      <c r="R138" s="31" t="s">
        <v>75</v>
      </c>
      <c r="S138" s="31" t="s">
        <v>75</v>
      </c>
      <c r="T138" s="32">
        <v>150695</v>
      </c>
      <c r="U138" s="31" t="s">
        <v>75</v>
      </c>
      <c r="V138" s="31" t="s">
        <v>75</v>
      </c>
      <c r="W138" s="31" t="s">
        <v>75</v>
      </c>
      <c r="X138" s="31" t="s">
        <v>75</v>
      </c>
      <c r="Y138" s="31" t="s">
        <v>75</v>
      </c>
      <c r="Z138" s="30">
        <v>178175</v>
      </c>
      <c r="AA138" s="31" t="s">
        <v>75</v>
      </c>
      <c r="AB138" s="31" t="s">
        <v>75</v>
      </c>
      <c r="AC138" s="30">
        <v>156916</v>
      </c>
      <c r="AD138" s="31" t="s">
        <v>75</v>
      </c>
      <c r="AE138" s="31" t="s">
        <v>75</v>
      </c>
      <c r="AF138" s="30">
        <v>99507</v>
      </c>
      <c r="AG138" s="42" t="s">
        <v>75</v>
      </c>
      <c r="AH138" s="42" t="s">
        <v>75</v>
      </c>
      <c r="AI138" s="32">
        <v>106433</v>
      </c>
      <c r="AJ138" s="31" t="s">
        <v>75</v>
      </c>
      <c r="AK138" s="31" t="s">
        <v>75</v>
      </c>
      <c r="AL138" s="31" t="s">
        <v>75</v>
      </c>
      <c r="AM138" s="31"/>
      <c r="AN138" s="31"/>
      <c r="AO138" s="31"/>
      <c r="AP138" s="31"/>
      <c r="AQ138" s="31"/>
      <c r="AR138" s="31"/>
      <c r="AS138" s="31" t="s">
        <v>75</v>
      </c>
      <c r="AT138" s="31" t="s">
        <v>75</v>
      </c>
      <c r="AU138" s="31" t="s">
        <v>75</v>
      </c>
      <c r="AV138" s="31" t="s">
        <v>75</v>
      </c>
      <c r="AW138" s="31" t="s">
        <v>75</v>
      </c>
      <c r="AX138" s="31" t="s">
        <v>75</v>
      </c>
      <c r="AY138" s="31" t="s">
        <v>75</v>
      </c>
      <c r="AZ138" s="31" t="s">
        <v>75</v>
      </c>
      <c r="BA138" s="31" t="s">
        <v>75</v>
      </c>
      <c r="BB138" s="31" t="s">
        <v>75</v>
      </c>
      <c r="BC138" s="31" t="s">
        <v>75</v>
      </c>
      <c r="BD138" s="31" t="s">
        <v>75</v>
      </c>
      <c r="BE138" s="113">
        <v>0</v>
      </c>
      <c r="BF138" s="113">
        <v>0</v>
      </c>
      <c r="BG138" s="113">
        <v>0</v>
      </c>
      <c r="BH138" s="113">
        <v>0</v>
      </c>
      <c r="BI138" s="113">
        <v>0</v>
      </c>
      <c r="BJ138" s="113">
        <v>0</v>
      </c>
      <c r="BK138" s="113">
        <v>0</v>
      </c>
      <c r="BL138" s="113">
        <v>0</v>
      </c>
      <c r="BM138" s="113">
        <v>0</v>
      </c>
      <c r="BN138" s="113">
        <v>0</v>
      </c>
      <c r="BO138" s="113">
        <v>0</v>
      </c>
      <c r="BP138" s="113">
        <v>0</v>
      </c>
      <c r="BQ138" s="113">
        <v>0</v>
      </c>
      <c r="BR138" s="113">
        <v>0</v>
      </c>
      <c r="BS138" s="113">
        <v>0</v>
      </c>
      <c r="BT138" s="113">
        <v>0</v>
      </c>
      <c r="BU138" s="113">
        <v>0</v>
      </c>
      <c r="BV138" s="113">
        <v>0</v>
      </c>
      <c r="BW138" s="113"/>
      <c r="BX138" s="113"/>
      <c r="BY138" s="113"/>
      <c r="BZ138" s="113">
        <v>0</v>
      </c>
      <c r="CA138" s="113">
        <v>0</v>
      </c>
      <c r="CB138" s="113">
        <v>0</v>
      </c>
      <c r="CC138" s="113"/>
      <c r="CD138" s="113"/>
      <c r="CE138" s="113"/>
      <c r="CF138" s="113">
        <v>0</v>
      </c>
      <c r="CG138" s="113">
        <v>0</v>
      </c>
      <c r="CH138" s="113">
        <v>0</v>
      </c>
      <c r="CI138" s="113">
        <v>0</v>
      </c>
      <c r="CJ138" s="113">
        <v>0</v>
      </c>
      <c r="CK138" s="113">
        <v>0</v>
      </c>
      <c r="CL138" s="113">
        <v>0</v>
      </c>
      <c r="CM138" s="113">
        <v>0</v>
      </c>
      <c r="CN138" s="113">
        <v>0</v>
      </c>
      <c r="CO138" s="113">
        <v>0</v>
      </c>
      <c r="CP138" s="113">
        <v>0</v>
      </c>
      <c r="CQ138" s="113">
        <v>0</v>
      </c>
      <c r="CR138" s="113">
        <v>0</v>
      </c>
      <c r="CS138" s="113">
        <v>0</v>
      </c>
      <c r="CT138" s="113">
        <v>0</v>
      </c>
      <c r="CU138" s="113">
        <v>0</v>
      </c>
      <c r="CV138" s="113">
        <v>0</v>
      </c>
      <c r="CW138" s="113">
        <v>0</v>
      </c>
      <c r="CX138" s="113">
        <v>0</v>
      </c>
      <c r="CY138" s="113">
        <v>0</v>
      </c>
      <c r="CZ138" s="113">
        <v>0</v>
      </c>
      <c r="DA138" s="113">
        <v>0</v>
      </c>
      <c r="DB138" s="113">
        <v>0</v>
      </c>
      <c r="DC138" s="113">
        <v>0</v>
      </c>
      <c r="DD138" s="113">
        <v>0</v>
      </c>
      <c r="DE138" s="113">
        <v>0</v>
      </c>
      <c r="DF138" s="113">
        <v>0</v>
      </c>
      <c r="DG138" s="113">
        <v>0</v>
      </c>
      <c r="DH138" s="113">
        <v>0</v>
      </c>
      <c r="DI138" s="113">
        <v>0</v>
      </c>
      <c r="DJ138" s="113">
        <v>0</v>
      </c>
      <c r="DK138" s="113">
        <v>0</v>
      </c>
      <c r="DL138" s="113">
        <v>0</v>
      </c>
      <c r="DM138" s="113">
        <v>0</v>
      </c>
      <c r="DN138" s="113">
        <v>0</v>
      </c>
      <c r="DO138" s="113">
        <v>0</v>
      </c>
      <c r="DP138" s="113">
        <v>0</v>
      </c>
      <c r="DQ138" s="113">
        <v>0</v>
      </c>
      <c r="DR138" s="113">
        <v>0</v>
      </c>
      <c r="DS138" s="113">
        <v>0</v>
      </c>
      <c r="DT138" s="113">
        <v>0</v>
      </c>
      <c r="DU138" s="113">
        <v>0</v>
      </c>
      <c r="DV138" s="113">
        <v>0</v>
      </c>
      <c r="DW138" s="113">
        <v>0</v>
      </c>
      <c r="DX138" s="113">
        <v>0</v>
      </c>
      <c r="DY138" s="113">
        <v>0</v>
      </c>
      <c r="DZ138" s="113">
        <v>0</v>
      </c>
      <c r="EA138" s="113">
        <v>0</v>
      </c>
      <c r="EB138" s="113">
        <v>0</v>
      </c>
      <c r="EC138" s="113">
        <v>0</v>
      </c>
      <c r="ED138" s="113">
        <v>0</v>
      </c>
      <c r="EE138" s="113">
        <v>0</v>
      </c>
      <c r="EF138" s="113">
        <v>0</v>
      </c>
      <c r="EG138" s="113">
        <v>0</v>
      </c>
      <c r="EH138" s="113">
        <v>0</v>
      </c>
      <c r="EI138" s="113">
        <v>0</v>
      </c>
      <c r="EJ138" s="113">
        <v>0</v>
      </c>
      <c r="EK138" s="113">
        <v>0</v>
      </c>
      <c r="EL138" s="113">
        <v>0</v>
      </c>
      <c r="EM138" s="113">
        <v>0</v>
      </c>
      <c r="EN138" s="113">
        <v>0</v>
      </c>
      <c r="EO138" s="113">
        <v>0</v>
      </c>
      <c r="EP138" s="113">
        <v>0</v>
      </c>
      <c r="EQ138" s="113">
        <v>0</v>
      </c>
      <c r="ER138" s="113">
        <v>0</v>
      </c>
      <c r="ES138" s="113">
        <v>0</v>
      </c>
      <c r="ET138" s="113">
        <v>0</v>
      </c>
      <c r="EU138" s="113">
        <v>0</v>
      </c>
      <c r="EV138" s="113">
        <v>0</v>
      </c>
      <c r="EW138" s="113">
        <v>0</v>
      </c>
      <c r="EX138" s="113">
        <v>0</v>
      </c>
      <c r="EY138" s="113">
        <v>0</v>
      </c>
      <c r="EZ138" s="113">
        <v>0</v>
      </c>
      <c r="FA138" s="113">
        <v>0</v>
      </c>
      <c r="FB138" s="113">
        <v>0</v>
      </c>
      <c r="FC138" s="113">
        <v>0</v>
      </c>
      <c r="FD138" s="113">
        <v>0</v>
      </c>
      <c r="FE138" s="113">
        <v>0</v>
      </c>
      <c r="FF138" s="113">
        <v>0</v>
      </c>
      <c r="FG138" s="113">
        <v>0</v>
      </c>
      <c r="FH138" s="113">
        <v>0</v>
      </c>
      <c r="FI138" s="113">
        <v>0</v>
      </c>
      <c r="FJ138" s="113">
        <v>0</v>
      </c>
      <c r="FK138" s="113">
        <v>0</v>
      </c>
      <c r="FL138" s="113">
        <v>0</v>
      </c>
      <c r="FM138" s="113">
        <v>0</v>
      </c>
      <c r="FN138" s="113">
        <v>0</v>
      </c>
      <c r="FO138" s="113">
        <v>0</v>
      </c>
      <c r="FP138" s="113">
        <v>0</v>
      </c>
      <c r="FQ138" s="113">
        <v>0</v>
      </c>
      <c r="FR138" s="113">
        <v>0</v>
      </c>
      <c r="FS138" s="113">
        <v>0</v>
      </c>
      <c r="FT138" s="113">
        <v>0</v>
      </c>
      <c r="FU138" s="113">
        <v>0</v>
      </c>
      <c r="FV138" s="113">
        <v>0</v>
      </c>
      <c r="FW138" s="113">
        <v>0</v>
      </c>
      <c r="FX138" s="32">
        <v>0</v>
      </c>
      <c r="FY138" s="30">
        <v>0</v>
      </c>
      <c r="FZ138" s="30">
        <v>0</v>
      </c>
    </row>
    <row r="139" spans="1:182" x14ac:dyDescent="0.2">
      <c r="A139" s="28">
        <v>35796</v>
      </c>
      <c r="B139" s="28"/>
      <c r="C139" s="29">
        <v>215535</v>
      </c>
      <c r="D139" s="29">
        <v>115668</v>
      </c>
      <c r="E139" s="29">
        <f t="shared" si="4"/>
        <v>331203</v>
      </c>
      <c r="F139" s="30">
        <v>7331738</v>
      </c>
      <c r="G139" s="30">
        <v>214399</v>
      </c>
      <c r="H139" s="30">
        <f t="shared" si="5"/>
        <v>7546137</v>
      </c>
      <c r="I139" s="42" t="s">
        <v>75</v>
      </c>
      <c r="J139" s="42" t="s">
        <v>75</v>
      </c>
      <c r="K139" s="32">
        <v>3356394</v>
      </c>
      <c r="L139" s="31" t="s">
        <v>75</v>
      </c>
      <c r="M139" s="31" t="s">
        <v>75</v>
      </c>
      <c r="N139" s="30">
        <v>11735915</v>
      </c>
      <c r="O139" s="31" t="s">
        <v>75</v>
      </c>
      <c r="P139" s="31" t="s">
        <v>75</v>
      </c>
      <c r="Q139" s="30">
        <v>18451986</v>
      </c>
      <c r="R139" s="31" t="s">
        <v>75</v>
      </c>
      <c r="S139" s="31" t="s">
        <v>75</v>
      </c>
      <c r="T139" s="32">
        <v>154722</v>
      </c>
      <c r="U139" s="31" t="s">
        <v>75</v>
      </c>
      <c r="V139" s="31" t="s">
        <v>75</v>
      </c>
      <c r="W139" s="31" t="s">
        <v>75</v>
      </c>
      <c r="X139" s="31" t="s">
        <v>75</v>
      </c>
      <c r="Y139" s="31" t="s">
        <v>75</v>
      </c>
      <c r="Z139" s="30">
        <v>50032</v>
      </c>
      <c r="AA139" s="31" t="s">
        <v>75</v>
      </c>
      <c r="AB139" s="31" t="s">
        <v>75</v>
      </c>
      <c r="AC139" s="30">
        <v>147074</v>
      </c>
      <c r="AD139" s="31" t="s">
        <v>75</v>
      </c>
      <c r="AE139" s="31" t="s">
        <v>75</v>
      </c>
      <c r="AF139" s="30">
        <v>36341</v>
      </c>
      <c r="AG139" s="42" t="s">
        <v>75</v>
      </c>
      <c r="AH139" s="42" t="s">
        <v>75</v>
      </c>
      <c r="AI139" s="32">
        <v>97709</v>
      </c>
      <c r="AJ139" s="31" t="s">
        <v>75</v>
      </c>
      <c r="AK139" s="31" t="s">
        <v>75</v>
      </c>
      <c r="AL139" s="31" t="s">
        <v>75</v>
      </c>
      <c r="AM139" s="31"/>
      <c r="AN139" s="31"/>
      <c r="AO139" s="31"/>
      <c r="AP139" s="31"/>
      <c r="AQ139" s="31"/>
      <c r="AR139" s="31"/>
      <c r="AS139" s="31" t="s">
        <v>75</v>
      </c>
      <c r="AT139" s="31" t="s">
        <v>75</v>
      </c>
      <c r="AU139" s="31" t="s">
        <v>75</v>
      </c>
      <c r="AV139" s="31" t="s">
        <v>75</v>
      </c>
      <c r="AW139" s="31" t="s">
        <v>75</v>
      </c>
      <c r="AX139" s="31" t="s">
        <v>75</v>
      </c>
      <c r="AY139" s="31" t="s">
        <v>75</v>
      </c>
      <c r="AZ139" s="31" t="s">
        <v>75</v>
      </c>
      <c r="BA139" s="31" t="s">
        <v>75</v>
      </c>
      <c r="BB139" s="31" t="s">
        <v>75</v>
      </c>
      <c r="BC139" s="31" t="s">
        <v>75</v>
      </c>
      <c r="BD139" s="31" t="s">
        <v>75</v>
      </c>
      <c r="BE139" s="113">
        <v>0</v>
      </c>
      <c r="BF139" s="113">
        <v>0</v>
      </c>
      <c r="BG139" s="113">
        <v>0</v>
      </c>
      <c r="BH139" s="113">
        <v>0</v>
      </c>
      <c r="BI139" s="113">
        <v>0</v>
      </c>
      <c r="BJ139" s="113">
        <v>0</v>
      </c>
      <c r="BK139" s="113">
        <v>0</v>
      </c>
      <c r="BL139" s="113">
        <v>0</v>
      </c>
      <c r="BM139" s="113">
        <v>0</v>
      </c>
      <c r="BN139" s="113">
        <v>0</v>
      </c>
      <c r="BO139" s="113">
        <v>0</v>
      </c>
      <c r="BP139" s="113">
        <v>0</v>
      </c>
      <c r="BQ139" s="113">
        <v>0</v>
      </c>
      <c r="BR139" s="113">
        <v>0</v>
      </c>
      <c r="BS139" s="113">
        <v>0</v>
      </c>
      <c r="BT139" s="113">
        <v>0</v>
      </c>
      <c r="BU139" s="113">
        <v>0</v>
      </c>
      <c r="BV139" s="113">
        <v>0</v>
      </c>
      <c r="BW139" s="113"/>
      <c r="BX139" s="113"/>
      <c r="BY139" s="113"/>
      <c r="BZ139" s="113">
        <v>0</v>
      </c>
      <c r="CA139" s="113">
        <v>0</v>
      </c>
      <c r="CB139" s="113">
        <v>0</v>
      </c>
      <c r="CC139" s="113"/>
      <c r="CD139" s="113"/>
      <c r="CE139" s="113"/>
      <c r="CF139" s="113">
        <v>0</v>
      </c>
      <c r="CG139" s="113">
        <v>0</v>
      </c>
      <c r="CH139" s="113">
        <v>0</v>
      </c>
      <c r="CI139" s="113">
        <v>0</v>
      </c>
      <c r="CJ139" s="113">
        <v>0</v>
      </c>
      <c r="CK139" s="113">
        <v>0</v>
      </c>
      <c r="CL139" s="113">
        <v>0</v>
      </c>
      <c r="CM139" s="113">
        <v>0</v>
      </c>
      <c r="CN139" s="113">
        <v>0</v>
      </c>
      <c r="CO139" s="113">
        <v>0</v>
      </c>
      <c r="CP139" s="113">
        <v>0</v>
      </c>
      <c r="CQ139" s="113">
        <v>0</v>
      </c>
      <c r="CR139" s="113">
        <v>0</v>
      </c>
      <c r="CS139" s="113">
        <v>0</v>
      </c>
      <c r="CT139" s="113">
        <v>0</v>
      </c>
      <c r="CU139" s="113">
        <v>0</v>
      </c>
      <c r="CV139" s="113">
        <v>0</v>
      </c>
      <c r="CW139" s="113">
        <v>0</v>
      </c>
      <c r="CX139" s="113">
        <v>0</v>
      </c>
      <c r="CY139" s="113">
        <v>0</v>
      </c>
      <c r="CZ139" s="113">
        <v>0</v>
      </c>
      <c r="DA139" s="113">
        <v>0</v>
      </c>
      <c r="DB139" s="113">
        <v>0</v>
      </c>
      <c r="DC139" s="113">
        <v>0</v>
      </c>
      <c r="DD139" s="113">
        <v>0</v>
      </c>
      <c r="DE139" s="113">
        <v>0</v>
      </c>
      <c r="DF139" s="113">
        <v>0</v>
      </c>
      <c r="DG139" s="113">
        <v>0</v>
      </c>
      <c r="DH139" s="113">
        <v>0</v>
      </c>
      <c r="DI139" s="113">
        <v>0</v>
      </c>
      <c r="DJ139" s="113">
        <v>0</v>
      </c>
      <c r="DK139" s="113">
        <v>0</v>
      </c>
      <c r="DL139" s="113">
        <v>0</v>
      </c>
      <c r="DM139" s="113">
        <v>0</v>
      </c>
      <c r="DN139" s="113">
        <v>0</v>
      </c>
      <c r="DO139" s="113">
        <v>0</v>
      </c>
      <c r="DP139" s="113">
        <v>0</v>
      </c>
      <c r="DQ139" s="113">
        <v>0</v>
      </c>
      <c r="DR139" s="113">
        <v>0</v>
      </c>
      <c r="DS139" s="113">
        <v>0</v>
      </c>
      <c r="DT139" s="113">
        <v>0</v>
      </c>
      <c r="DU139" s="113">
        <v>0</v>
      </c>
      <c r="DV139" s="113">
        <v>0</v>
      </c>
      <c r="DW139" s="113">
        <v>0</v>
      </c>
      <c r="DX139" s="113">
        <v>0</v>
      </c>
      <c r="DY139" s="113">
        <v>0</v>
      </c>
      <c r="DZ139" s="113">
        <v>0</v>
      </c>
      <c r="EA139" s="113">
        <v>0</v>
      </c>
      <c r="EB139" s="113">
        <v>0</v>
      </c>
      <c r="EC139" s="113">
        <v>0</v>
      </c>
      <c r="ED139" s="113">
        <v>0</v>
      </c>
      <c r="EE139" s="113">
        <v>0</v>
      </c>
      <c r="EF139" s="113">
        <v>0</v>
      </c>
      <c r="EG139" s="113">
        <v>0</v>
      </c>
      <c r="EH139" s="113">
        <v>0</v>
      </c>
      <c r="EI139" s="113">
        <v>0</v>
      </c>
      <c r="EJ139" s="113">
        <v>0</v>
      </c>
      <c r="EK139" s="113">
        <v>0</v>
      </c>
      <c r="EL139" s="113">
        <v>0</v>
      </c>
      <c r="EM139" s="113">
        <v>0</v>
      </c>
      <c r="EN139" s="113">
        <v>0</v>
      </c>
      <c r="EO139" s="113">
        <v>0</v>
      </c>
      <c r="EP139" s="113">
        <v>0</v>
      </c>
      <c r="EQ139" s="113">
        <v>0</v>
      </c>
      <c r="ER139" s="113">
        <v>0</v>
      </c>
      <c r="ES139" s="113">
        <v>0</v>
      </c>
      <c r="ET139" s="113">
        <v>0</v>
      </c>
      <c r="EU139" s="113">
        <v>0</v>
      </c>
      <c r="EV139" s="113">
        <v>0</v>
      </c>
      <c r="EW139" s="113">
        <v>0</v>
      </c>
      <c r="EX139" s="113">
        <v>0</v>
      </c>
      <c r="EY139" s="113">
        <v>0</v>
      </c>
      <c r="EZ139" s="113">
        <v>0</v>
      </c>
      <c r="FA139" s="113">
        <v>0</v>
      </c>
      <c r="FB139" s="113">
        <v>0</v>
      </c>
      <c r="FC139" s="113">
        <v>0</v>
      </c>
      <c r="FD139" s="113">
        <v>0</v>
      </c>
      <c r="FE139" s="113">
        <v>0</v>
      </c>
      <c r="FF139" s="113">
        <v>0</v>
      </c>
      <c r="FG139" s="113">
        <v>0</v>
      </c>
      <c r="FH139" s="113">
        <v>0</v>
      </c>
      <c r="FI139" s="113">
        <v>0</v>
      </c>
      <c r="FJ139" s="113">
        <v>0</v>
      </c>
      <c r="FK139" s="113">
        <v>0</v>
      </c>
      <c r="FL139" s="113">
        <v>0</v>
      </c>
      <c r="FM139" s="113">
        <v>0</v>
      </c>
      <c r="FN139" s="113">
        <v>0</v>
      </c>
      <c r="FO139" s="113">
        <v>0</v>
      </c>
      <c r="FP139" s="113">
        <v>0</v>
      </c>
      <c r="FQ139" s="113">
        <v>0</v>
      </c>
      <c r="FR139" s="113">
        <v>0</v>
      </c>
      <c r="FS139" s="113">
        <v>0</v>
      </c>
      <c r="FT139" s="113">
        <v>0</v>
      </c>
      <c r="FU139" s="113">
        <v>0</v>
      </c>
      <c r="FV139" s="113">
        <v>0</v>
      </c>
      <c r="FW139" s="113">
        <v>0</v>
      </c>
      <c r="FX139" s="32">
        <v>0</v>
      </c>
      <c r="FY139" s="30">
        <v>0</v>
      </c>
      <c r="FZ139" s="30">
        <v>0</v>
      </c>
    </row>
    <row r="140" spans="1:182" x14ac:dyDescent="0.2">
      <c r="A140" s="28">
        <v>35827</v>
      </c>
      <c r="B140" s="28"/>
      <c r="C140" s="29">
        <v>216217</v>
      </c>
      <c r="D140" s="29">
        <v>135855</v>
      </c>
      <c r="E140" s="29">
        <f t="shared" si="4"/>
        <v>352072</v>
      </c>
      <c r="F140" s="30">
        <v>5825661</v>
      </c>
      <c r="G140" s="30">
        <v>140632</v>
      </c>
      <c r="H140" s="30">
        <f t="shared" si="5"/>
        <v>5966293</v>
      </c>
      <c r="I140" s="42" t="s">
        <v>75</v>
      </c>
      <c r="J140" s="42" t="s">
        <v>75</v>
      </c>
      <c r="K140" s="32">
        <v>3198281</v>
      </c>
      <c r="L140" s="31" t="s">
        <v>75</v>
      </c>
      <c r="M140" s="31" t="s">
        <v>75</v>
      </c>
      <c r="N140" s="30">
        <v>11178989</v>
      </c>
      <c r="O140" s="31" t="s">
        <v>75</v>
      </c>
      <c r="P140" s="31" t="s">
        <v>75</v>
      </c>
      <c r="Q140" s="30">
        <v>16546482</v>
      </c>
      <c r="R140" s="31" t="s">
        <v>75</v>
      </c>
      <c r="S140" s="31" t="s">
        <v>75</v>
      </c>
      <c r="T140" s="32">
        <v>156932</v>
      </c>
      <c r="U140" s="31" t="s">
        <v>75</v>
      </c>
      <c r="V140" s="31" t="s">
        <v>75</v>
      </c>
      <c r="W140" s="31" t="s">
        <v>75</v>
      </c>
      <c r="X140" s="31" t="s">
        <v>75</v>
      </c>
      <c r="Y140" s="31" t="s">
        <v>75</v>
      </c>
      <c r="Z140" s="30">
        <v>49812</v>
      </c>
      <c r="AA140" s="31" t="s">
        <v>75</v>
      </c>
      <c r="AB140" s="31" t="s">
        <v>75</v>
      </c>
      <c r="AC140" s="30">
        <v>83947</v>
      </c>
      <c r="AD140" s="31" t="s">
        <v>75</v>
      </c>
      <c r="AE140" s="31" t="s">
        <v>75</v>
      </c>
      <c r="AF140" s="30">
        <v>13226</v>
      </c>
      <c r="AG140" s="42" t="s">
        <v>75</v>
      </c>
      <c r="AH140" s="42" t="s">
        <v>75</v>
      </c>
      <c r="AI140" s="32">
        <v>57118</v>
      </c>
      <c r="AJ140" s="31" t="s">
        <v>75</v>
      </c>
      <c r="AK140" s="31" t="s">
        <v>75</v>
      </c>
      <c r="AL140" s="31" t="s">
        <v>75</v>
      </c>
      <c r="AM140" s="31"/>
      <c r="AN140" s="31"/>
      <c r="AO140" s="31"/>
      <c r="AP140" s="31"/>
      <c r="AQ140" s="31"/>
      <c r="AR140" s="31"/>
      <c r="AS140" s="31" t="s">
        <v>75</v>
      </c>
      <c r="AT140" s="31" t="s">
        <v>75</v>
      </c>
      <c r="AU140" s="31" t="s">
        <v>75</v>
      </c>
      <c r="AV140" s="31" t="s">
        <v>75</v>
      </c>
      <c r="AW140" s="31" t="s">
        <v>75</v>
      </c>
      <c r="AX140" s="31" t="s">
        <v>75</v>
      </c>
      <c r="AY140" s="31" t="s">
        <v>75</v>
      </c>
      <c r="AZ140" s="31" t="s">
        <v>75</v>
      </c>
      <c r="BA140" s="31" t="s">
        <v>75</v>
      </c>
      <c r="BB140" s="31" t="s">
        <v>75</v>
      </c>
      <c r="BC140" s="31" t="s">
        <v>75</v>
      </c>
      <c r="BD140" s="31" t="s">
        <v>75</v>
      </c>
      <c r="BE140" s="113">
        <v>0</v>
      </c>
      <c r="BF140" s="113">
        <v>0</v>
      </c>
      <c r="BG140" s="113">
        <v>0</v>
      </c>
      <c r="BH140" s="113">
        <v>0</v>
      </c>
      <c r="BI140" s="113">
        <v>0</v>
      </c>
      <c r="BJ140" s="113">
        <v>0</v>
      </c>
      <c r="BK140" s="113">
        <v>0</v>
      </c>
      <c r="BL140" s="113">
        <v>0</v>
      </c>
      <c r="BM140" s="113">
        <v>0</v>
      </c>
      <c r="BN140" s="113">
        <v>0</v>
      </c>
      <c r="BO140" s="113">
        <v>0</v>
      </c>
      <c r="BP140" s="113">
        <v>0</v>
      </c>
      <c r="BQ140" s="113">
        <v>0</v>
      </c>
      <c r="BR140" s="113">
        <v>0</v>
      </c>
      <c r="BS140" s="113">
        <v>0</v>
      </c>
      <c r="BT140" s="113">
        <v>0</v>
      </c>
      <c r="BU140" s="113">
        <v>0</v>
      </c>
      <c r="BV140" s="113">
        <v>0</v>
      </c>
      <c r="BW140" s="113"/>
      <c r="BX140" s="113"/>
      <c r="BY140" s="113"/>
      <c r="BZ140" s="113">
        <v>0</v>
      </c>
      <c r="CA140" s="113">
        <v>0</v>
      </c>
      <c r="CB140" s="113">
        <v>0</v>
      </c>
      <c r="CC140" s="113"/>
      <c r="CD140" s="113"/>
      <c r="CE140" s="113"/>
      <c r="CF140" s="113">
        <v>0</v>
      </c>
      <c r="CG140" s="113">
        <v>0</v>
      </c>
      <c r="CH140" s="113">
        <v>0</v>
      </c>
      <c r="CI140" s="113">
        <v>0</v>
      </c>
      <c r="CJ140" s="113">
        <v>0</v>
      </c>
      <c r="CK140" s="113">
        <v>0</v>
      </c>
      <c r="CL140" s="113">
        <v>0</v>
      </c>
      <c r="CM140" s="113">
        <v>0</v>
      </c>
      <c r="CN140" s="113">
        <v>0</v>
      </c>
      <c r="CO140" s="113">
        <v>0</v>
      </c>
      <c r="CP140" s="113">
        <v>0</v>
      </c>
      <c r="CQ140" s="113">
        <v>0</v>
      </c>
      <c r="CR140" s="113">
        <v>0</v>
      </c>
      <c r="CS140" s="113">
        <v>0</v>
      </c>
      <c r="CT140" s="113">
        <v>0</v>
      </c>
      <c r="CU140" s="113">
        <v>0</v>
      </c>
      <c r="CV140" s="113">
        <v>0</v>
      </c>
      <c r="CW140" s="113">
        <v>0</v>
      </c>
      <c r="CX140" s="113">
        <v>0</v>
      </c>
      <c r="CY140" s="113">
        <v>0</v>
      </c>
      <c r="CZ140" s="113">
        <v>0</v>
      </c>
      <c r="DA140" s="113">
        <v>0</v>
      </c>
      <c r="DB140" s="113">
        <v>0</v>
      </c>
      <c r="DC140" s="113">
        <v>0</v>
      </c>
      <c r="DD140" s="113">
        <v>0</v>
      </c>
      <c r="DE140" s="113">
        <v>0</v>
      </c>
      <c r="DF140" s="113">
        <v>0</v>
      </c>
      <c r="DG140" s="113">
        <v>0</v>
      </c>
      <c r="DH140" s="113">
        <v>0</v>
      </c>
      <c r="DI140" s="113">
        <v>0</v>
      </c>
      <c r="DJ140" s="113">
        <v>0</v>
      </c>
      <c r="DK140" s="113">
        <v>0</v>
      </c>
      <c r="DL140" s="113">
        <v>0</v>
      </c>
      <c r="DM140" s="113">
        <v>0</v>
      </c>
      <c r="DN140" s="113">
        <v>0</v>
      </c>
      <c r="DO140" s="113">
        <v>0</v>
      </c>
      <c r="DP140" s="113">
        <v>0</v>
      </c>
      <c r="DQ140" s="113">
        <v>0</v>
      </c>
      <c r="DR140" s="113">
        <v>0</v>
      </c>
      <c r="DS140" s="113">
        <v>0</v>
      </c>
      <c r="DT140" s="113">
        <v>0</v>
      </c>
      <c r="DU140" s="113">
        <v>0</v>
      </c>
      <c r="DV140" s="113">
        <v>0</v>
      </c>
      <c r="DW140" s="113">
        <v>0</v>
      </c>
      <c r="DX140" s="113">
        <v>0</v>
      </c>
      <c r="DY140" s="113">
        <v>0</v>
      </c>
      <c r="DZ140" s="113">
        <v>0</v>
      </c>
      <c r="EA140" s="113">
        <v>0</v>
      </c>
      <c r="EB140" s="113">
        <v>0</v>
      </c>
      <c r="EC140" s="113">
        <v>0</v>
      </c>
      <c r="ED140" s="113">
        <v>0</v>
      </c>
      <c r="EE140" s="113">
        <v>0</v>
      </c>
      <c r="EF140" s="113">
        <v>0</v>
      </c>
      <c r="EG140" s="113">
        <v>0</v>
      </c>
      <c r="EH140" s="113">
        <v>0</v>
      </c>
      <c r="EI140" s="113">
        <v>0</v>
      </c>
      <c r="EJ140" s="113">
        <v>0</v>
      </c>
      <c r="EK140" s="113">
        <v>0</v>
      </c>
      <c r="EL140" s="113">
        <v>0</v>
      </c>
      <c r="EM140" s="113">
        <v>0</v>
      </c>
      <c r="EN140" s="113">
        <v>0</v>
      </c>
      <c r="EO140" s="113">
        <v>0</v>
      </c>
      <c r="EP140" s="113">
        <v>0</v>
      </c>
      <c r="EQ140" s="113">
        <v>0</v>
      </c>
      <c r="ER140" s="113">
        <v>0</v>
      </c>
      <c r="ES140" s="113">
        <v>0</v>
      </c>
      <c r="ET140" s="113">
        <v>0</v>
      </c>
      <c r="EU140" s="113">
        <v>0</v>
      </c>
      <c r="EV140" s="113">
        <v>0</v>
      </c>
      <c r="EW140" s="113">
        <v>0</v>
      </c>
      <c r="EX140" s="113">
        <v>0</v>
      </c>
      <c r="EY140" s="113">
        <v>0</v>
      </c>
      <c r="EZ140" s="113">
        <v>0</v>
      </c>
      <c r="FA140" s="113">
        <v>0</v>
      </c>
      <c r="FB140" s="113">
        <v>0</v>
      </c>
      <c r="FC140" s="113">
        <v>0</v>
      </c>
      <c r="FD140" s="113">
        <v>0</v>
      </c>
      <c r="FE140" s="113">
        <v>0</v>
      </c>
      <c r="FF140" s="113">
        <v>0</v>
      </c>
      <c r="FG140" s="113">
        <v>0</v>
      </c>
      <c r="FH140" s="113">
        <v>0</v>
      </c>
      <c r="FI140" s="113">
        <v>0</v>
      </c>
      <c r="FJ140" s="113">
        <v>0</v>
      </c>
      <c r="FK140" s="113">
        <v>0</v>
      </c>
      <c r="FL140" s="113">
        <v>0</v>
      </c>
      <c r="FM140" s="113">
        <v>0</v>
      </c>
      <c r="FN140" s="113">
        <v>0</v>
      </c>
      <c r="FO140" s="113">
        <v>0</v>
      </c>
      <c r="FP140" s="113">
        <v>0</v>
      </c>
      <c r="FQ140" s="113">
        <v>0</v>
      </c>
      <c r="FR140" s="113">
        <v>0</v>
      </c>
      <c r="FS140" s="113">
        <v>0</v>
      </c>
      <c r="FT140" s="113">
        <v>0</v>
      </c>
      <c r="FU140" s="113">
        <v>0</v>
      </c>
      <c r="FV140" s="113">
        <v>0</v>
      </c>
      <c r="FW140" s="113">
        <v>0</v>
      </c>
      <c r="FX140" s="32">
        <v>0</v>
      </c>
      <c r="FY140" s="30">
        <v>0</v>
      </c>
      <c r="FZ140" s="30">
        <v>0</v>
      </c>
    </row>
    <row r="141" spans="1:182" x14ac:dyDescent="0.2">
      <c r="A141" s="28">
        <v>35855</v>
      </c>
      <c r="B141" s="28"/>
      <c r="C141" s="29">
        <v>254429</v>
      </c>
      <c r="D141" s="29">
        <v>98296</v>
      </c>
      <c r="E141" s="29">
        <f t="shared" si="4"/>
        <v>352725</v>
      </c>
      <c r="F141" s="30">
        <v>6131201</v>
      </c>
      <c r="G141" s="30">
        <v>148342</v>
      </c>
      <c r="H141" s="30">
        <f t="shared" si="5"/>
        <v>6279543</v>
      </c>
      <c r="I141" s="42" t="s">
        <v>75</v>
      </c>
      <c r="J141" s="42" t="s">
        <v>75</v>
      </c>
      <c r="K141" s="32">
        <v>3504953</v>
      </c>
      <c r="L141" s="31" t="s">
        <v>75</v>
      </c>
      <c r="M141" s="31" t="s">
        <v>75</v>
      </c>
      <c r="N141" s="30">
        <v>12262998</v>
      </c>
      <c r="O141" s="31" t="s">
        <v>75</v>
      </c>
      <c r="P141" s="31" t="s">
        <v>75</v>
      </c>
      <c r="Q141" s="30">
        <v>18211072</v>
      </c>
      <c r="R141" s="31" t="s">
        <v>75</v>
      </c>
      <c r="S141" s="31" t="s">
        <v>75</v>
      </c>
      <c r="T141" s="32">
        <v>261674</v>
      </c>
      <c r="U141" s="31" t="s">
        <v>75</v>
      </c>
      <c r="V141" s="31" t="s">
        <v>75</v>
      </c>
      <c r="W141" s="31" t="s">
        <v>75</v>
      </c>
      <c r="X141" s="31" t="s">
        <v>75</v>
      </c>
      <c r="Y141" s="31" t="s">
        <v>75</v>
      </c>
      <c r="Z141" s="30">
        <v>90380</v>
      </c>
      <c r="AA141" s="31" t="s">
        <v>75</v>
      </c>
      <c r="AB141" s="31" t="s">
        <v>75</v>
      </c>
      <c r="AC141" s="30">
        <v>158364</v>
      </c>
      <c r="AD141" s="31" t="s">
        <v>75</v>
      </c>
      <c r="AE141" s="31" t="s">
        <v>75</v>
      </c>
      <c r="AF141" s="30">
        <v>16575</v>
      </c>
      <c r="AG141" s="42" t="s">
        <v>75</v>
      </c>
      <c r="AH141" s="42" t="s">
        <v>75</v>
      </c>
      <c r="AI141" s="32">
        <v>108228</v>
      </c>
      <c r="AJ141" s="31" t="s">
        <v>75</v>
      </c>
      <c r="AK141" s="31" t="s">
        <v>75</v>
      </c>
      <c r="AL141" s="31" t="s">
        <v>75</v>
      </c>
      <c r="AM141" s="31"/>
      <c r="AN141" s="31"/>
      <c r="AO141" s="31"/>
      <c r="AP141" s="31"/>
      <c r="AQ141" s="31"/>
      <c r="AR141" s="31"/>
      <c r="AS141" s="31" t="s">
        <v>75</v>
      </c>
      <c r="AT141" s="31" t="s">
        <v>75</v>
      </c>
      <c r="AU141" s="31" t="s">
        <v>75</v>
      </c>
      <c r="AV141" s="31" t="s">
        <v>75</v>
      </c>
      <c r="AW141" s="31" t="s">
        <v>75</v>
      </c>
      <c r="AX141" s="31" t="s">
        <v>75</v>
      </c>
      <c r="AY141" s="31" t="s">
        <v>75</v>
      </c>
      <c r="AZ141" s="31" t="s">
        <v>75</v>
      </c>
      <c r="BA141" s="31" t="s">
        <v>75</v>
      </c>
      <c r="BB141" s="31" t="s">
        <v>75</v>
      </c>
      <c r="BC141" s="31" t="s">
        <v>75</v>
      </c>
      <c r="BD141" s="31" t="s">
        <v>75</v>
      </c>
      <c r="BE141" s="113">
        <v>0</v>
      </c>
      <c r="BF141" s="113">
        <v>0</v>
      </c>
      <c r="BG141" s="113">
        <v>0</v>
      </c>
      <c r="BH141" s="113">
        <v>0</v>
      </c>
      <c r="BI141" s="113">
        <v>0</v>
      </c>
      <c r="BJ141" s="113">
        <v>0</v>
      </c>
      <c r="BK141" s="113">
        <v>0</v>
      </c>
      <c r="BL141" s="113">
        <v>0</v>
      </c>
      <c r="BM141" s="113">
        <v>0</v>
      </c>
      <c r="BN141" s="113">
        <v>0</v>
      </c>
      <c r="BO141" s="113">
        <v>0</v>
      </c>
      <c r="BP141" s="113">
        <v>0</v>
      </c>
      <c r="BQ141" s="113">
        <v>0</v>
      </c>
      <c r="BR141" s="113">
        <v>0</v>
      </c>
      <c r="BS141" s="113">
        <v>0</v>
      </c>
      <c r="BT141" s="113">
        <v>0</v>
      </c>
      <c r="BU141" s="113">
        <v>0</v>
      </c>
      <c r="BV141" s="113">
        <v>0</v>
      </c>
      <c r="BW141" s="113"/>
      <c r="BX141" s="113"/>
      <c r="BY141" s="113"/>
      <c r="BZ141" s="113">
        <v>0</v>
      </c>
      <c r="CA141" s="113">
        <v>0</v>
      </c>
      <c r="CB141" s="113">
        <v>0</v>
      </c>
      <c r="CC141" s="113"/>
      <c r="CD141" s="113"/>
      <c r="CE141" s="113"/>
      <c r="CF141" s="113">
        <v>0</v>
      </c>
      <c r="CG141" s="113">
        <v>0</v>
      </c>
      <c r="CH141" s="113">
        <v>0</v>
      </c>
      <c r="CI141" s="113">
        <v>0</v>
      </c>
      <c r="CJ141" s="113">
        <v>0</v>
      </c>
      <c r="CK141" s="113">
        <v>0</v>
      </c>
      <c r="CL141" s="113">
        <v>0</v>
      </c>
      <c r="CM141" s="113">
        <v>0</v>
      </c>
      <c r="CN141" s="113">
        <v>0</v>
      </c>
      <c r="CO141" s="113">
        <v>0</v>
      </c>
      <c r="CP141" s="113">
        <v>0</v>
      </c>
      <c r="CQ141" s="113">
        <v>0</v>
      </c>
      <c r="CR141" s="113">
        <v>0</v>
      </c>
      <c r="CS141" s="113">
        <v>0</v>
      </c>
      <c r="CT141" s="113">
        <v>0</v>
      </c>
      <c r="CU141" s="113">
        <v>0</v>
      </c>
      <c r="CV141" s="113">
        <v>0</v>
      </c>
      <c r="CW141" s="113">
        <v>0</v>
      </c>
      <c r="CX141" s="113">
        <v>0</v>
      </c>
      <c r="CY141" s="113">
        <v>0</v>
      </c>
      <c r="CZ141" s="113">
        <v>0</v>
      </c>
      <c r="DA141" s="113">
        <v>0</v>
      </c>
      <c r="DB141" s="113">
        <v>0</v>
      </c>
      <c r="DC141" s="113">
        <v>0</v>
      </c>
      <c r="DD141" s="113">
        <v>0</v>
      </c>
      <c r="DE141" s="113">
        <v>0</v>
      </c>
      <c r="DF141" s="113">
        <v>0</v>
      </c>
      <c r="DG141" s="113">
        <v>0</v>
      </c>
      <c r="DH141" s="113">
        <v>0</v>
      </c>
      <c r="DI141" s="113">
        <v>0</v>
      </c>
      <c r="DJ141" s="113">
        <v>0</v>
      </c>
      <c r="DK141" s="113">
        <v>0</v>
      </c>
      <c r="DL141" s="113">
        <v>0</v>
      </c>
      <c r="DM141" s="113">
        <v>0</v>
      </c>
      <c r="DN141" s="113">
        <v>0</v>
      </c>
      <c r="DO141" s="113">
        <v>0</v>
      </c>
      <c r="DP141" s="113">
        <v>0</v>
      </c>
      <c r="DQ141" s="113">
        <v>0</v>
      </c>
      <c r="DR141" s="113">
        <v>0</v>
      </c>
      <c r="DS141" s="113">
        <v>0</v>
      </c>
      <c r="DT141" s="113">
        <v>0</v>
      </c>
      <c r="DU141" s="113">
        <v>0</v>
      </c>
      <c r="DV141" s="113">
        <v>0</v>
      </c>
      <c r="DW141" s="113">
        <v>0</v>
      </c>
      <c r="DX141" s="113">
        <v>0</v>
      </c>
      <c r="DY141" s="113">
        <v>0</v>
      </c>
      <c r="DZ141" s="113">
        <v>0</v>
      </c>
      <c r="EA141" s="113">
        <v>0</v>
      </c>
      <c r="EB141" s="113">
        <v>0</v>
      </c>
      <c r="EC141" s="113">
        <v>0</v>
      </c>
      <c r="ED141" s="113">
        <v>0</v>
      </c>
      <c r="EE141" s="113">
        <v>0</v>
      </c>
      <c r="EF141" s="113">
        <v>0</v>
      </c>
      <c r="EG141" s="113">
        <v>0</v>
      </c>
      <c r="EH141" s="113">
        <v>0</v>
      </c>
      <c r="EI141" s="113">
        <v>0</v>
      </c>
      <c r="EJ141" s="113">
        <v>0</v>
      </c>
      <c r="EK141" s="113">
        <v>0</v>
      </c>
      <c r="EL141" s="113">
        <v>0</v>
      </c>
      <c r="EM141" s="113">
        <v>0</v>
      </c>
      <c r="EN141" s="113">
        <v>0</v>
      </c>
      <c r="EO141" s="113">
        <v>0</v>
      </c>
      <c r="EP141" s="113">
        <v>0</v>
      </c>
      <c r="EQ141" s="113">
        <v>0</v>
      </c>
      <c r="ER141" s="113">
        <v>0</v>
      </c>
      <c r="ES141" s="113">
        <v>0</v>
      </c>
      <c r="ET141" s="113">
        <v>0</v>
      </c>
      <c r="EU141" s="113">
        <v>0</v>
      </c>
      <c r="EV141" s="113">
        <v>0</v>
      </c>
      <c r="EW141" s="113">
        <v>0</v>
      </c>
      <c r="EX141" s="113">
        <v>0</v>
      </c>
      <c r="EY141" s="113">
        <v>0</v>
      </c>
      <c r="EZ141" s="113">
        <v>0</v>
      </c>
      <c r="FA141" s="113">
        <v>0</v>
      </c>
      <c r="FB141" s="113">
        <v>0</v>
      </c>
      <c r="FC141" s="113">
        <v>0</v>
      </c>
      <c r="FD141" s="113">
        <v>0</v>
      </c>
      <c r="FE141" s="113">
        <v>0</v>
      </c>
      <c r="FF141" s="113">
        <v>0</v>
      </c>
      <c r="FG141" s="113">
        <v>0</v>
      </c>
      <c r="FH141" s="113">
        <v>0</v>
      </c>
      <c r="FI141" s="113">
        <v>0</v>
      </c>
      <c r="FJ141" s="113">
        <v>0</v>
      </c>
      <c r="FK141" s="113">
        <v>0</v>
      </c>
      <c r="FL141" s="113">
        <v>0</v>
      </c>
      <c r="FM141" s="113">
        <v>0</v>
      </c>
      <c r="FN141" s="113">
        <v>0</v>
      </c>
      <c r="FO141" s="113">
        <v>0</v>
      </c>
      <c r="FP141" s="113">
        <v>0</v>
      </c>
      <c r="FQ141" s="113">
        <v>0</v>
      </c>
      <c r="FR141" s="113">
        <v>0</v>
      </c>
      <c r="FS141" s="113">
        <v>0</v>
      </c>
      <c r="FT141" s="113">
        <v>0</v>
      </c>
      <c r="FU141" s="113">
        <v>0</v>
      </c>
      <c r="FV141" s="113">
        <v>0</v>
      </c>
      <c r="FW141" s="113">
        <v>0</v>
      </c>
      <c r="FX141" s="32">
        <v>0</v>
      </c>
      <c r="FY141" s="30">
        <v>0</v>
      </c>
      <c r="FZ141" s="30">
        <v>0</v>
      </c>
    </row>
    <row r="142" spans="1:182" x14ac:dyDescent="0.2">
      <c r="A142" s="28">
        <v>35886</v>
      </c>
      <c r="B142" s="28"/>
      <c r="C142" s="29">
        <v>292063</v>
      </c>
      <c r="D142" s="29">
        <v>135300</v>
      </c>
      <c r="E142" s="29">
        <f t="shared" si="4"/>
        <v>427363</v>
      </c>
      <c r="F142" s="30">
        <v>4663280</v>
      </c>
      <c r="G142" s="30">
        <v>127437</v>
      </c>
      <c r="H142" s="30">
        <f t="shared" si="5"/>
        <v>4790717</v>
      </c>
      <c r="I142" s="42" t="s">
        <v>75</v>
      </c>
      <c r="J142" s="42" t="s">
        <v>75</v>
      </c>
      <c r="K142" s="32">
        <v>3435320</v>
      </c>
      <c r="L142" s="31" t="s">
        <v>75</v>
      </c>
      <c r="M142" s="31" t="s">
        <v>75</v>
      </c>
      <c r="N142" s="30">
        <v>12776801</v>
      </c>
      <c r="O142" s="31" t="s">
        <v>75</v>
      </c>
      <c r="P142" s="31" t="s">
        <v>75</v>
      </c>
      <c r="Q142" s="30">
        <v>14557719</v>
      </c>
      <c r="R142" s="31" t="s">
        <v>75</v>
      </c>
      <c r="S142" s="31" t="s">
        <v>75</v>
      </c>
      <c r="T142" s="32">
        <v>217214</v>
      </c>
      <c r="U142" s="31" t="s">
        <v>75</v>
      </c>
      <c r="V142" s="31" t="s">
        <v>75</v>
      </c>
      <c r="W142" s="31" t="s">
        <v>75</v>
      </c>
      <c r="X142" s="31" t="s">
        <v>75</v>
      </c>
      <c r="Y142" s="31" t="s">
        <v>75</v>
      </c>
      <c r="Z142" s="30">
        <v>75938</v>
      </c>
      <c r="AA142" s="31" t="s">
        <v>75</v>
      </c>
      <c r="AB142" s="31" t="s">
        <v>75</v>
      </c>
      <c r="AC142" s="30">
        <v>157729</v>
      </c>
      <c r="AD142" s="31" t="s">
        <v>75</v>
      </c>
      <c r="AE142" s="31" t="s">
        <v>75</v>
      </c>
      <c r="AF142" s="30">
        <v>13836</v>
      </c>
      <c r="AG142" s="42" t="s">
        <v>75</v>
      </c>
      <c r="AH142" s="42" t="s">
        <v>75</v>
      </c>
      <c r="AI142" s="32">
        <v>83394</v>
      </c>
      <c r="AJ142" s="31" t="s">
        <v>75</v>
      </c>
      <c r="AK142" s="31" t="s">
        <v>75</v>
      </c>
      <c r="AL142" s="31" t="s">
        <v>75</v>
      </c>
      <c r="AM142" s="31"/>
      <c r="AN142" s="31"/>
      <c r="AO142" s="31"/>
      <c r="AP142" s="31"/>
      <c r="AQ142" s="31"/>
      <c r="AR142" s="31"/>
      <c r="AS142" s="31" t="s">
        <v>75</v>
      </c>
      <c r="AT142" s="31" t="s">
        <v>75</v>
      </c>
      <c r="AU142" s="31" t="s">
        <v>75</v>
      </c>
      <c r="AV142" s="31" t="s">
        <v>75</v>
      </c>
      <c r="AW142" s="31" t="s">
        <v>75</v>
      </c>
      <c r="AX142" s="31" t="s">
        <v>75</v>
      </c>
      <c r="AY142" s="31" t="s">
        <v>75</v>
      </c>
      <c r="AZ142" s="31" t="s">
        <v>75</v>
      </c>
      <c r="BA142" s="31" t="s">
        <v>75</v>
      </c>
      <c r="BB142" s="31" t="s">
        <v>75</v>
      </c>
      <c r="BC142" s="31" t="s">
        <v>75</v>
      </c>
      <c r="BD142" s="31" t="s">
        <v>75</v>
      </c>
      <c r="BE142" s="113">
        <v>0</v>
      </c>
      <c r="BF142" s="113">
        <v>0</v>
      </c>
      <c r="BG142" s="113">
        <v>0</v>
      </c>
      <c r="BH142" s="113">
        <v>0</v>
      </c>
      <c r="BI142" s="113">
        <v>0</v>
      </c>
      <c r="BJ142" s="113">
        <v>0</v>
      </c>
      <c r="BK142" s="113">
        <v>0</v>
      </c>
      <c r="BL142" s="113">
        <v>0</v>
      </c>
      <c r="BM142" s="113">
        <v>0</v>
      </c>
      <c r="BN142" s="113">
        <v>0</v>
      </c>
      <c r="BO142" s="113">
        <v>0</v>
      </c>
      <c r="BP142" s="113">
        <v>0</v>
      </c>
      <c r="BQ142" s="113">
        <v>0</v>
      </c>
      <c r="BR142" s="113">
        <v>0</v>
      </c>
      <c r="BS142" s="113">
        <v>0</v>
      </c>
      <c r="BT142" s="113">
        <v>0</v>
      </c>
      <c r="BU142" s="113">
        <v>0</v>
      </c>
      <c r="BV142" s="113">
        <v>0</v>
      </c>
      <c r="BW142" s="113"/>
      <c r="BX142" s="113"/>
      <c r="BY142" s="113"/>
      <c r="BZ142" s="113">
        <v>0</v>
      </c>
      <c r="CA142" s="113">
        <v>0</v>
      </c>
      <c r="CB142" s="113">
        <v>0</v>
      </c>
      <c r="CC142" s="113"/>
      <c r="CD142" s="113"/>
      <c r="CE142" s="113"/>
      <c r="CF142" s="113">
        <v>0</v>
      </c>
      <c r="CG142" s="113">
        <v>0</v>
      </c>
      <c r="CH142" s="113">
        <v>0</v>
      </c>
      <c r="CI142" s="113">
        <v>0</v>
      </c>
      <c r="CJ142" s="113">
        <v>0</v>
      </c>
      <c r="CK142" s="113">
        <v>0</v>
      </c>
      <c r="CL142" s="113">
        <v>0</v>
      </c>
      <c r="CM142" s="113">
        <v>0</v>
      </c>
      <c r="CN142" s="113">
        <v>0</v>
      </c>
      <c r="CO142" s="113">
        <v>0</v>
      </c>
      <c r="CP142" s="113">
        <v>0</v>
      </c>
      <c r="CQ142" s="113">
        <v>0</v>
      </c>
      <c r="CR142" s="113">
        <v>0</v>
      </c>
      <c r="CS142" s="113">
        <v>0</v>
      </c>
      <c r="CT142" s="113">
        <v>0</v>
      </c>
      <c r="CU142" s="113">
        <v>0</v>
      </c>
      <c r="CV142" s="113">
        <v>0</v>
      </c>
      <c r="CW142" s="113">
        <v>0</v>
      </c>
      <c r="CX142" s="113">
        <v>0</v>
      </c>
      <c r="CY142" s="113">
        <v>0</v>
      </c>
      <c r="CZ142" s="113">
        <v>0</v>
      </c>
      <c r="DA142" s="113">
        <v>0</v>
      </c>
      <c r="DB142" s="113">
        <v>0</v>
      </c>
      <c r="DC142" s="113">
        <v>0</v>
      </c>
      <c r="DD142" s="113">
        <v>0</v>
      </c>
      <c r="DE142" s="113">
        <v>0</v>
      </c>
      <c r="DF142" s="113">
        <v>0</v>
      </c>
      <c r="DG142" s="113">
        <v>0</v>
      </c>
      <c r="DH142" s="113">
        <v>0</v>
      </c>
      <c r="DI142" s="113">
        <v>0</v>
      </c>
      <c r="DJ142" s="113">
        <v>0</v>
      </c>
      <c r="DK142" s="113">
        <v>0</v>
      </c>
      <c r="DL142" s="113">
        <v>0</v>
      </c>
      <c r="DM142" s="113">
        <v>0</v>
      </c>
      <c r="DN142" s="113">
        <v>0</v>
      </c>
      <c r="DO142" s="113">
        <v>0</v>
      </c>
      <c r="DP142" s="113">
        <v>0</v>
      </c>
      <c r="DQ142" s="113">
        <v>0</v>
      </c>
      <c r="DR142" s="113">
        <v>0</v>
      </c>
      <c r="DS142" s="113">
        <v>0</v>
      </c>
      <c r="DT142" s="113">
        <v>0</v>
      </c>
      <c r="DU142" s="113">
        <v>0</v>
      </c>
      <c r="DV142" s="113">
        <v>0</v>
      </c>
      <c r="DW142" s="113">
        <v>0</v>
      </c>
      <c r="DX142" s="113">
        <v>0</v>
      </c>
      <c r="DY142" s="113">
        <v>0</v>
      </c>
      <c r="DZ142" s="113">
        <v>0</v>
      </c>
      <c r="EA142" s="113">
        <v>0</v>
      </c>
      <c r="EB142" s="113">
        <v>0</v>
      </c>
      <c r="EC142" s="113">
        <v>0</v>
      </c>
      <c r="ED142" s="113">
        <v>0</v>
      </c>
      <c r="EE142" s="113">
        <v>0</v>
      </c>
      <c r="EF142" s="113">
        <v>0</v>
      </c>
      <c r="EG142" s="113">
        <v>0</v>
      </c>
      <c r="EH142" s="113">
        <v>0</v>
      </c>
      <c r="EI142" s="113">
        <v>0</v>
      </c>
      <c r="EJ142" s="113">
        <v>0</v>
      </c>
      <c r="EK142" s="113">
        <v>0</v>
      </c>
      <c r="EL142" s="113">
        <v>0</v>
      </c>
      <c r="EM142" s="113">
        <v>0</v>
      </c>
      <c r="EN142" s="113">
        <v>0</v>
      </c>
      <c r="EO142" s="113">
        <v>0</v>
      </c>
      <c r="EP142" s="113">
        <v>0</v>
      </c>
      <c r="EQ142" s="113">
        <v>0</v>
      </c>
      <c r="ER142" s="113">
        <v>0</v>
      </c>
      <c r="ES142" s="113">
        <v>0</v>
      </c>
      <c r="ET142" s="113">
        <v>0</v>
      </c>
      <c r="EU142" s="113">
        <v>0</v>
      </c>
      <c r="EV142" s="113">
        <v>0</v>
      </c>
      <c r="EW142" s="113">
        <v>0</v>
      </c>
      <c r="EX142" s="113">
        <v>0</v>
      </c>
      <c r="EY142" s="113">
        <v>0</v>
      </c>
      <c r="EZ142" s="113">
        <v>0</v>
      </c>
      <c r="FA142" s="113">
        <v>0</v>
      </c>
      <c r="FB142" s="113">
        <v>0</v>
      </c>
      <c r="FC142" s="113">
        <v>0</v>
      </c>
      <c r="FD142" s="113">
        <v>0</v>
      </c>
      <c r="FE142" s="113">
        <v>0</v>
      </c>
      <c r="FF142" s="113">
        <v>0</v>
      </c>
      <c r="FG142" s="113">
        <v>0</v>
      </c>
      <c r="FH142" s="113">
        <v>0</v>
      </c>
      <c r="FI142" s="113">
        <v>0</v>
      </c>
      <c r="FJ142" s="113">
        <v>0</v>
      </c>
      <c r="FK142" s="113">
        <v>0</v>
      </c>
      <c r="FL142" s="113">
        <v>0</v>
      </c>
      <c r="FM142" s="113">
        <v>0</v>
      </c>
      <c r="FN142" s="113">
        <v>0</v>
      </c>
      <c r="FO142" s="113">
        <v>0</v>
      </c>
      <c r="FP142" s="113">
        <v>0</v>
      </c>
      <c r="FQ142" s="113">
        <v>0</v>
      </c>
      <c r="FR142" s="113">
        <v>0</v>
      </c>
      <c r="FS142" s="113">
        <v>0</v>
      </c>
      <c r="FT142" s="113">
        <v>0</v>
      </c>
      <c r="FU142" s="113">
        <v>0</v>
      </c>
      <c r="FV142" s="113">
        <v>0</v>
      </c>
      <c r="FW142" s="113">
        <v>0</v>
      </c>
      <c r="FX142" s="32">
        <v>0</v>
      </c>
      <c r="FY142" s="30">
        <v>0</v>
      </c>
      <c r="FZ142" s="30">
        <v>0</v>
      </c>
    </row>
    <row r="143" spans="1:182" x14ac:dyDescent="0.2">
      <c r="A143" s="28">
        <v>35916</v>
      </c>
      <c r="B143" s="28"/>
      <c r="C143" s="29">
        <v>269993</v>
      </c>
      <c r="D143" s="29">
        <v>118162</v>
      </c>
      <c r="E143" s="29">
        <f t="shared" si="4"/>
        <v>388155</v>
      </c>
      <c r="F143" s="30">
        <v>3876836</v>
      </c>
      <c r="G143" s="30">
        <v>72517</v>
      </c>
      <c r="H143" s="30">
        <f t="shared" si="5"/>
        <v>3949353</v>
      </c>
      <c r="I143" s="42" t="s">
        <v>75</v>
      </c>
      <c r="J143" s="42" t="s">
        <v>75</v>
      </c>
      <c r="K143" s="32">
        <v>2862087</v>
      </c>
      <c r="L143" s="31" t="s">
        <v>75</v>
      </c>
      <c r="M143" s="31" t="s">
        <v>75</v>
      </c>
      <c r="N143" s="30">
        <v>11388187</v>
      </c>
      <c r="O143" s="31" t="s">
        <v>75</v>
      </c>
      <c r="P143" s="31" t="s">
        <v>75</v>
      </c>
      <c r="Q143" s="30">
        <v>12823879</v>
      </c>
      <c r="R143" s="31" t="s">
        <v>75</v>
      </c>
      <c r="S143" s="31" t="s">
        <v>75</v>
      </c>
      <c r="T143" s="32">
        <v>230006</v>
      </c>
      <c r="U143" s="31" t="s">
        <v>75</v>
      </c>
      <c r="V143" s="31" t="s">
        <v>75</v>
      </c>
      <c r="W143" s="31" t="s">
        <v>75</v>
      </c>
      <c r="X143" s="31" t="s">
        <v>75</v>
      </c>
      <c r="Y143" s="31" t="s">
        <v>75</v>
      </c>
      <c r="Z143" s="30">
        <v>79202</v>
      </c>
      <c r="AA143" s="31" t="s">
        <v>75</v>
      </c>
      <c r="AB143" s="31" t="s">
        <v>75</v>
      </c>
      <c r="AC143" s="30">
        <v>147710</v>
      </c>
      <c r="AD143" s="31" t="s">
        <v>75</v>
      </c>
      <c r="AE143" s="31" t="s">
        <v>75</v>
      </c>
      <c r="AF143" s="30">
        <v>12117</v>
      </c>
      <c r="AG143" s="42" t="s">
        <v>75</v>
      </c>
      <c r="AH143" s="42" t="s">
        <v>75</v>
      </c>
      <c r="AI143" s="32">
        <v>72744</v>
      </c>
      <c r="AJ143" s="31" t="s">
        <v>75</v>
      </c>
      <c r="AK143" s="31" t="s">
        <v>75</v>
      </c>
      <c r="AL143" s="31" t="s">
        <v>75</v>
      </c>
      <c r="AM143" s="31"/>
      <c r="AN143" s="31"/>
      <c r="AO143" s="31"/>
      <c r="AP143" s="31"/>
      <c r="AQ143" s="31"/>
      <c r="AR143" s="31"/>
      <c r="AS143" s="31" t="s">
        <v>75</v>
      </c>
      <c r="AT143" s="31" t="s">
        <v>75</v>
      </c>
      <c r="AU143" s="31" t="s">
        <v>75</v>
      </c>
      <c r="AV143" s="31" t="s">
        <v>75</v>
      </c>
      <c r="AW143" s="31" t="s">
        <v>75</v>
      </c>
      <c r="AX143" s="31" t="s">
        <v>75</v>
      </c>
      <c r="AY143" s="31" t="s">
        <v>75</v>
      </c>
      <c r="AZ143" s="31" t="s">
        <v>75</v>
      </c>
      <c r="BA143" s="31" t="s">
        <v>75</v>
      </c>
      <c r="BB143" s="31" t="s">
        <v>75</v>
      </c>
      <c r="BC143" s="31" t="s">
        <v>75</v>
      </c>
      <c r="BD143" s="31" t="s">
        <v>75</v>
      </c>
      <c r="BE143" s="113">
        <v>0</v>
      </c>
      <c r="BF143" s="113">
        <v>0</v>
      </c>
      <c r="BG143" s="113">
        <v>0</v>
      </c>
      <c r="BH143" s="113">
        <v>0</v>
      </c>
      <c r="BI143" s="113">
        <v>0</v>
      </c>
      <c r="BJ143" s="113">
        <v>0</v>
      </c>
      <c r="BK143" s="113">
        <v>0</v>
      </c>
      <c r="BL143" s="113">
        <v>0</v>
      </c>
      <c r="BM143" s="113">
        <v>0</v>
      </c>
      <c r="BN143" s="113">
        <v>0</v>
      </c>
      <c r="BO143" s="113">
        <v>0</v>
      </c>
      <c r="BP143" s="113">
        <v>0</v>
      </c>
      <c r="BQ143" s="113">
        <v>0</v>
      </c>
      <c r="BR143" s="113">
        <v>0</v>
      </c>
      <c r="BS143" s="113">
        <v>0</v>
      </c>
      <c r="BT143" s="113">
        <v>0</v>
      </c>
      <c r="BU143" s="113">
        <v>0</v>
      </c>
      <c r="BV143" s="113">
        <v>0</v>
      </c>
      <c r="BW143" s="113"/>
      <c r="BX143" s="113"/>
      <c r="BY143" s="113"/>
      <c r="BZ143" s="113">
        <v>0</v>
      </c>
      <c r="CA143" s="113">
        <v>0</v>
      </c>
      <c r="CB143" s="113">
        <v>0</v>
      </c>
      <c r="CC143" s="113"/>
      <c r="CD143" s="113"/>
      <c r="CE143" s="113"/>
      <c r="CF143" s="113">
        <v>0</v>
      </c>
      <c r="CG143" s="113">
        <v>0</v>
      </c>
      <c r="CH143" s="113">
        <v>0</v>
      </c>
      <c r="CI143" s="113">
        <v>0</v>
      </c>
      <c r="CJ143" s="113">
        <v>0</v>
      </c>
      <c r="CK143" s="113">
        <v>0</v>
      </c>
      <c r="CL143" s="113">
        <v>0</v>
      </c>
      <c r="CM143" s="113">
        <v>0</v>
      </c>
      <c r="CN143" s="113">
        <v>0</v>
      </c>
      <c r="CO143" s="113">
        <v>0</v>
      </c>
      <c r="CP143" s="113">
        <v>0</v>
      </c>
      <c r="CQ143" s="113">
        <v>0</v>
      </c>
      <c r="CR143" s="113">
        <v>0</v>
      </c>
      <c r="CS143" s="113">
        <v>0</v>
      </c>
      <c r="CT143" s="113">
        <v>0</v>
      </c>
      <c r="CU143" s="113">
        <v>0</v>
      </c>
      <c r="CV143" s="113">
        <v>0</v>
      </c>
      <c r="CW143" s="113">
        <v>0</v>
      </c>
      <c r="CX143" s="113">
        <v>0</v>
      </c>
      <c r="CY143" s="113">
        <v>0</v>
      </c>
      <c r="CZ143" s="113">
        <v>0</v>
      </c>
      <c r="DA143" s="113">
        <v>0</v>
      </c>
      <c r="DB143" s="113">
        <v>0</v>
      </c>
      <c r="DC143" s="113">
        <v>0</v>
      </c>
      <c r="DD143" s="113">
        <v>0</v>
      </c>
      <c r="DE143" s="113">
        <v>0</v>
      </c>
      <c r="DF143" s="113">
        <v>0</v>
      </c>
      <c r="DG143" s="113">
        <v>0</v>
      </c>
      <c r="DH143" s="113">
        <v>0</v>
      </c>
      <c r="DI143" s="113">
        <v>0</v>
      </c>
      <c r="DJ143" s="113">
        <v>0</v>
      </c>
      <c r="DK143" s="113">
        <v>0</v>
      </c>
      <c r="DL143" s="113">
        <v>0</v>
      </c>
      <c r="DM143" s="113">
        <v>0</v>
      </c>
      <c r="DN143" s="113">
        <v>0</v>
      </c>
      <c r="DO143" s="113">
        <v>0</v>
      </c>
      <c r="DP143" s="113">
        <v>0</v>
      </c>
      <c r="DQ143" s="113">
        <v>0</v>
      </c>
      <c r="DR143" s="113">
        <v>0</v>
      </c>
      <c r="DS143" s="113">
        <v>0</v>
      </c>
      <c r="DT143" s="113">
        <v>0</v>
      </c>
      <c r="DU143" s="113">
        <v>0</v>
      </c>
      <c r="DV143" s="113">
        <v>0</v>
      </c>
      <c r="DW143" s="113">
        <v>0</v>
      </c>
      <c r="DX143" s="113">
        <v>0</v>
      </c>
      <c r="DY143" s="113">
        <v>0</v>
      </c>
      <c r="DZ143" s="113">
        <v>0</v>
      </c>
      <c r="EA143" s="113">
        <v>0</v>
      </c>
      <c r="EB143" s="113">
        <v>0</v>
      </c>
      <c r="EC143" s="113">
        <v>0</v>
      </c>
      <c r="ED143" s="113">
        <v>0</v>
      </c>
      <c r="EE143" s="113">
        <v>0</v>
      </c>
      <c r="EF143" s="113">
        <v>0</v>
      </c>
      <c r="EG143" s="113">
        <v>0</v>
      </c>
      <c r="EH143" s="113">
        <v>0</v>
      </c>
      <c r="EI143" s="113">
        <v>0</v>
      </c>
      <c r="EJ143" s="113">
        <v>0</v>
      </c>
      <c r="EK143" s="113">
        <v>0</v>
      </c>
      <c r="EL143" s="113">
        <v>0</v>
      </c>
      <c r="EM143" s="113">
        <v>0</v>
      </c>
      <c r="EN143" s="113">
        <v>0</v>
      </c>
      <c r="EO143" s="113">
        <v>0</v>
      </c>
      <c r="EP143" s="113">
        <v>0</v>
      </c>
      <c r="EQ143" s="113">
        <v>0</v>
      </c>
      <c r="ER143" s="113">
        <v>0</v>
      </c>
      <c r="ES143" s="113">
        <v>0</v>
      </c>
      <c r="ET143" s="113">
        <v>0</v>
      </c>
      <c r="EU143" s="113">
        <v>0</v>
      </c>
      <c r="EV143" s="113">
        <v>0</v>
      </c>
      <c r="EW143" s="113">
        <v>0</v>
      </c>
      <c r="EX143" s="113">
        <v>0</v>
      </c>
      <c r="EY143" s="113">
        <v>0</v>
      </c>
      <c r="EZ143" s="113">
        <v>0</v>
      </c>
      <c r="FA143" s="113">
        <v>0</v>
      </c>
      <c r="FB143" s="113">
        <v>0</v>
      </c>
      <c r="FC143" s="113">
        <v>0</v>
      </c>
      <c r="FD143" s="113">
        <v>0</v>
      </c>
      <c r="FE143" s="113">
        <v>0</v>
      </c>
      <c r="FF143" s="113">
        <v>0</v>
      </c>
      <c r="FG143" s="113">
        <v>0</v>
      </c>
      <c r="FH143" s="113">
        <v>0</v>
      </c>
      <c r="FI143" s="113">
        <v>0</v>
      </c>
      <c r="FJ143" s="113">
        <v>0</v>
      </c>
      <c r="FK143" s="113">
        <v>0</v>
      </c>
      <c r="FL143" s="113">
        <v>0</v>
      </c>
      <c r="FM143" s="113">
        <v>0</v>
      </c>
      <c r="FN143" s="113">
        <v>0</v>
      </c>
      <c r="FO143" s="113">
        <v>0</v>
      </c>
      <c r="FP143" s="113">
        <v>0</v>
      </c>
      <c r="FQ143" s="113">
        <v>0</v>
      </c>
      <c r="FR143" s="113">
        <v>0</v>
      </c>
      <c r="FS143" s="113">
        <v>0</v>
      </c>
      <c r="FT143" s="113">
        <v>0</v>
      </c>
      <c r="FU143" s="113">
        <v>0</v>
      </c>
      <c r="FV143" s="113">
        <v>0</v>
      </c>
      <c r="FW143" s="113">
        <v>0</v>
      </c>
      <c r="FX143" s="32">
        <v>0</v>
      </c>
      <c r="FY143" s="30">
        <v>0</v>
      </c>
      <c r="FZ143" s="30">
        <v>0</v>
      </c>
    </row>
    <row r="144" spans="1:182" x14ac:dyDescent="0.2">
      <c r="A144" s="28">
        <v>35947</v>
      </c>
      <c r="B144" s="28"/>
      <c r="C144" s="29">
        <v>405891</v>
      </c>
      <c r="D144" s="29">
        <v>75451</v>
      </c>
      <c r="E144" s="29">
        <f t="shared" si="4"/>
        <v>481342</v>
      </c>
      <c r="F144" s="30">
        <v>3257544</v>
      </c>
      <c r="G144" s="30">
        <v>61395</v>
      </c>
      <c r="H144" s="30">
        <f t="shared" si="5"/>
        <v>3318939</v>
      </c>
      <c r="I144" s="42" t="s">
        <v>75</v>
      </c>
      <c r="J144" s="42" t="s">
        <v>75</v>
      </c>
      <c r="K144" s="32">
        <v>2555913</v>
      </c>
      <c r="L144" s="31" t="s">
        <v>75</v>
      </c>
      <c r="M144" s="31" t="s">
        <v>75</v>
      </c>
      <c r="N144" s="30">
        <v>9061087</v>
      </c>
      <c r="O144" s="31" t="s">
        <v>75</v>
      </c>
      <c r="P144" s="31" t="s">
        <v>75</v>
      </c>
      <c r="Q144" s="30">
        <v>12624878</v>
      </c>
      <c r="R144" s="31" t="s">
        <v>75</v>
      </c>
      <c r="S144" s="31" t="s">
        <v>75</v>
      </c>
      <c r="T144" s="32">
        <v>209882</v>
      </c>
      <c r="U144" s="31" t="s">
        <v>75</v>
      </c>
      <c r="V144" s="31" t="s">
        <v>75</v>
      </c>
      <c r="W144" s="31" t="s">
        <v>75</v>
      </c>
      <c r="X144" s="31" t="s">
        <v>75</v>
      </c>
      <c r="Y144" s="31" t="s">
        <v>75</v>
      </c>
      <c r="Z144" s="30">
        <v>80424</v>
      </c>
      <c r="AA144" s="31" t="s">
        <v>75</v>
      </c>
      <c r="AB144" s="31" t="s">
        <v>75</v>
      </c>
      <c r="AC144" s="30">
        <v>224836</v>
      </c>
      <c r="AD144" s="31" t="s">
        <v>75</v>
      </c>
      <c r="AE144" s="31" t="s">
        <v>75</v>
      </c>
      <c r="AF144" s="30">
        <v>19356</v>
      </c>
      <c r="AG144" s="42" t="s">
        <v>75</v>
      </c>
      <c r="AH144" s="42" t="s">
        <v>75</v>
      </c>
      <c r="AI144" s="32">
        <v>122783</v>
      </c>
      <c r="AJ144" s="31" t="s">
        <v>75</v>
      </c>
      <c r="AK144" s="31" t="s">
        <v>75</v>
      </c>
      <c r="AL144" s="31" t="s">
        <v>75</v>
      </c>
      <c r="AM144" s="31"/>
      <c r="AN144" s="31"/>
      <c r="AO144" s="31"/>
      <c r="AP144" s="31"/>
      <c r="AQ144" s="31"/>
      <c r="AR144" s="31"/>
      <c r="AS144" s="31" t="s">
        <v>75</v>
      </c>
      <c r="AT144" s="31" t="s">
        <v>75</v>
      </c>
      <c r="AU144" s="31" t="s">
        <v>75</v>
      </c>
      <c r="AV144" s="31" t="s">
        <v>75</v>
      </c>
      <c r="AW144" s="31" t="s">
        <v>75</v>
      </c>
      <c r="AX144" s="31" t="s">
        <v>75</v>
      </c>
      <c r="AY144" s="31" t="s">
        <v>75</v>
      </c>
      <c r="AZ144" s="31" t="s">
        <v>75</v>
      </c>
      <c r="BA144" s="31" t="s">
        <v>75</v>
      </c>
      <c r="BB144" s="31" t="s">
        <v>75</v>
      </c>
      <c r="BC144" s="31" t="s">
        <v>75</v>
      </c>
      <c r="BD144" s="31" t="s">
        <v>75</v>
      </c>
      <c r="BE144" s="113">
        <v>0</v>
      </c>
      <c r="BF144" s="113">
        <v>0</v>
      </c>
      <c r="BG144" s="113">
        <v>0</v>
      </c>
      <c r="BH144" s="113">
        <v>0</v>
      </c>
      <c r="BI144" s="113">
        <v>0</v>
      </c>
      <c r="BJ144" s="113">
        <v>0</v>
      </c>
      <c r="BK144" s="113">
        <v>0</v>
      </c>
      <c r="BL144" s="113">
        <v>0</v>
      </c>
      <c r="BM144" s="113">
        <v>0</v>
      </c>
      <c r="BN144" s="113">
        <v>0</v>
      </c>
      <c r="BO144" s="113">
        <v>0</v>
      </c>
      <c r="BP144" s="113">
        <v>0</v>
      </c>
      <c r="BQ144" s="113">
        <v>0</v>
      </c>
      <c r="BR144" s="113">
        <v>0</v>
      </c>
      <c r="BS144" s="113">
        <v>0</v>
      </c>
      <c r="BT144" s="113">
        <v>0</v>
      </c>
      <c r="BU144" s="113">
        <v>0</v>
      </c>
      <c r="BV144" s="113">
        <v>0</v>
      </c>
      <c r="BW144" s="113"/>
      <c r="BX144" s="113"/>
      <c r="BY144" s="113"/>
      <c r="BZ144" s="113">
        <v>0</v>
      </c>
      <c r="CA144" s="113">
        <v>0</v>
      </c>
      <c r="CB144" s="113">
        <v>0</v>
      </c>
      <c r="CC144" s="113"/>
      <c r="CD144" s="113"/>
      <c r="CE144" s="113"/>
      <c r="CF144" s="113">
        <v>0</v>
      </c>
      <c r="CG144" s="113">
        <v>0</v>
      </c>
      <c r="CH144" s="113">
        <v>0</v>
      </c>
      <c r="CI144" s="113">
        <v>0</v>
      </c>
      <c r="CJ144" s="113">
        <v>0</v>
      </c>
      <c r="CK144" s="113">
        <v>0</v>
      </c>
      <c r="CL144" s="113">
        <v>0</v>
      </c>
      <c r="CM144" s="113">
        <v>0</v>
      </c>
      <c r="CN144" s="113">
        <v>0</v>
      </c>
      <c r="CO144" s="113">
        <v>0</v>
      </c>
      <c r="CP144" s="113">
        <v>0</v>
      </c>
      <c r="CQ144" s="113">
        <v>0</v>
      </c>
      <c r="CR144" s="113">
        <v>0</v>
      </c>
      <c r="CS144" s="113">
        <v>0</v>
      </c>
      <c r="CT144" s="113">
        <v>0</v>
      </c>
      <c r="CU144" s="113">
        <v>0</v>
      </c>
      <c r="CV144" s="113">
        <v>0</v>
      </c>
      <c r="CW144" s="113">
        <v>0</v>
      </c>
      <c r="CX144" s="113">
        <v>0</v>
      </c>
      <c r="CY144" s="113">
        <v>0</v>
      </c>
      <c r="CZ144" s="113">
        <v>0</v>
      </c>
      <c r="DA144" s="113">
        <v>0</v>
      </c>
      <c r="DB144" s="113">
        <v>0</v>
      </c>
      <c r="DC144" s="113">
        <v>0</v>
      </c>
      <c r="DD144" s="113">
        <v>0</v>
      </c>
      <c r="DE144" s="113">
        <v>0</v>
      </c>
      <c r="DF144" s="113">
        <v>0</v>
      </c>
      <c r="DG144" s="113">
        <v>0</v>
      </c>
      <c r="DH144" s="113">
        <v>0</v>
      </c>
      <c r="DI144" s="113">
        <v>0</v>
      </c>
      <c r="DJ144" s="113">
        <v>0</v>
      </c>
      <c r="DK144" s="113">
        <v>0</v>
      </c>
      <c r="DL144" s="113">
        <v>0</v>
      </c>
      <c r="DM144" s="113">
        <v>0</v>
      </c>
      <c r="DN144" s="113">
        <v>0</v>
      </c>
      <c r="DO144" s="113">
        <v>0</v>
      </c>
      <c r="DP144" s="113">
        <v>0</v>
      </c>
      <c r="DQ144" s="113">
        <v>0</v>
      </c>
      <c r="DR144" s="113">
        <v>0</v>
      </c>
      <c r="DS144" s="113">
        <v>0</v>
      </c>
      <c r="DT144" s="113">
        <v>0</v>
      </c>
      <c r="DU144" s="113">
        <v>0</v>
      </c>
      <c r="DV144" s="113">
        <v>0</v>
      </c>
      <c r="DW144" s="113">
        <v>0</v>
      </c>
      <c r="DX144" s="113">
        <v>0</v>
      </c>
      <c r="DY144" s="113">
        <v>0</v>
      </c>
      <c r="DZ144" s="113">
        <v>0</v>
      </c>
      <c r="EA144" s="113">
        <v>0</v>
      </c>
      <c r="EB144" s="113">
        <v>0</v>
      </c>
      <c r="EC144" s="113">
        <v>0</v>
      </c>
      <c r="ED144" s="113">
        <v>0</v>
      </c>
      <c r="EE144" s="113">
        <v>0</v>
      </c>
      <c r="EF144" s="113">
        <v>0</v>
      </c>
      <c r="EG144" s="113">
        <v>0</v>
      </c>
      <c r="EH144" s="113">
        <v>0</v>
      </c>
      <c r="EI144" s="113">
        <v>0</v>
      </c>
      <c r="EJ144" s="113">
        <v>0</v>
      </c>
      <c r="EK144" s="113">
        <v>0</v>
      </c>
      <c r="EL144" s="113">
        <v>0</v>
      </c>
      <c r="EM144" s="113">
        <v>0</v>
      </c>
      <c r="EN144" s="113">
        <v>0</v>
      </c>
      <c r="EO144" s="113">
        <v>0</v>
      </c>
      <c r="EP144" s="113">
        <v>0</v>
      </c>
      <c r="EQ144" s="113">
        <v>0</v>
      </c>
      <c r="ER144" s="113">
        <v>0</v>
      </c>
      <c r="ES144" s="113">
        <v>0</v>
      </c>
      <c r="ET144" s="113">
        <v>0</v>
      </c>
      <c r="EU144" s="113">
        <v>0</v>
      </c>
      <c r="EV144" s="113">
        <v>0</v>
      </c>
      <c r="EW144" s="113">
        <v>0</v>
      </c>
      <c r="EX144" s="113">
        <v>0</v>
      </c>
      <c r="EY144" s="113">
        <v>0</v>
      </c>
      <c r="EZ144" s="113">
        <v>0</v>
      </c>
      <c r="FA144" s="113">
        <v>0</v>
      </c>
      <c r="FB144" s="113">
        <v>0</v>
      </c>
      <c r="FC144" s="113">
        <v>0</v>
      </c>
      <c r="FD144" s="113">
        <v>0</v>
      </c>
      <c r="FE144" s="113">
        <v>0</v>
      </c>
      <c r="FF144" s="113">
        <v>0</v>
      </c>
      <c r="FG144" s="113">
        <v>0</v>
      </c>
      <c r="FH144" s="113">
        <v>0</v>
      </c>
      <c r="FI144" s="113">
        <v>0</v>
      </c>
      <c r="FJ144" s="113">
        <v>0</v>
      </c>
      <c r="FK144" s="113">
        <v>0</v>
      </c>
      <c r="FL144" s="113">
        <v>0</v>
      </c>
      <c r="FM144" s="113">
        <v>0</v>
      </c>
      <c r="FN144" s="113">
        <v>0</v>
      </c>
      <c r="FO144" s="113">
        <v>0</v>
      </c>
      <c r="FP144" s="113">
        <v>0</v>
      </c>
      <c r="FQ144" s="113">
        <v>0</v>
      </c>
      <c r="FR144" s="113">
        <v>0</v>
      </c>
      <c r="FS144" s="113">
        <v>0</v>
      </c>
      <c r="FT144" s="113">
        <v>0</v>
      </c>
      <c r="FU144" s="113">
        <v>0</v>
      </c>
      <c r="FV144" s="113">
        <v>0</v>
      </c>
      <c r="FW144" s="113">
        <v>0</v>
      </c>
      <c r="FX144" s="32">
        <v>0</v>
      </c>
      <c r="FY144" s="30">
        <v>0</v>
      </c>
      <c r="FZ144" s="30">
        <v>0</v>
      </c>
    </row>
    <row r="145" spans="1:182" x14ac:dyDescent="0.2">
      <c r="A145" s="28">
        <v>35977</v>
      </c>
      <c r="B145" s="28"/>
      <c r="C145" s="29">
        <v>218927</v>
      </c>
      <c r="D145" s="29">
        <v>115217</v>
      </c>
      <c r="E145" s="29">
        <f t="shared" si="4"/>
        <v>334144</v>
      </c>
      <c r="F145" s="30">
        <v>3894946</v>
      </c>
      <c r="G145" s="30">
        <v>75241</v>
      </c>
      <c r="H145" s="30">
        <f t="shared" si="5"/>
        <v>3970187</v>
      </c>
      <c r="I145" s="42" t="s">
        <v>75</v>
      </c>
      <c r="J145" s="42" t="s">
        <v>75</v>
      </c>
      <c r="K145" s="32">
        <v>3223434</v>
      </c>
      <c r="L145" s="31" t="s">
        <v>75</v>
      </c>
      <c r="M145" s="31" t="s">
        <v>75</v>
      </c>
      <c r="N145" s="30">
        <v>12124831</v>
      </c>
      <c r="O145" s="31" t="s">
        <v>75</v>
      </c>
      <c r="P145" s="31" t="s">
        <v>75</v>
      </c>
      <c r="Q145" s="30">
        <v>13512215</v>
      </c>
      <c r="R145" s="31" t="s">
        <v>75</v>
      </c>
      <c r="S145" s="31" t="s">
        <v>75</v>
      </c>
      <c r="T145" s="32">
        <v>288819</v>
      </c>
      <c r="U145" s="31" t="s">
        <v>75</v>
      </c>
      <c r="V145" s="31" t="s">
        <v>75</v>
      </c>
      <c r="W145" s="31" t="s">
        <v>75</v>
      </c>
      <c r="X145" s="31" t="s">
        <v>75</v>
      </c>
      <c r="Y145" s="31" t="s">
        <v>75</v>
      </c>
      <c r="Z145" s="30">
        <v>79822</v>
      </c>
      <c r="AA145" s="31" t="s">
        <v>75</v>
      </c>
      <c r="AB145" s="31" t="s">
        <v>75</v>
      </c>
      <c r="AC145" s="30">
        <v>163672</v>
      </c>
      <c r="AD145" s="31" t="s">
        <v>75</v>
      </c>
      <c r="AE145" s="31" t="s">
        <v>75</v>
      </c>
      <c r="AF145" s="30">
        <v>11894</v>
      </c>
      <c r="AG145" s="42" t="s">
        <v>75</v>
      </c>
      <c r="AH145" s="42" t="s">
        <v>75</v>
      </c>
      <c r="AI145" s="32">
        <v>95627</v>
      </c>
      <c r="AJ145" s="31" t="s">
        <v>75</v>
      </c>
      <c r="AK145" s="31" t="s">
        <v>75</v>
      </c>
      <c r="AL145" s="31" t="s">
        <v>75</v>
      </c>
      <c r="AM145" s="31"/>
      <c r="AN145" s="31"/>
      <c r="AO145" s="31"/>
      <c r="AP145" s="31"/>
      <c r="AQ145" s="31"/>
      <c r="AR145" s="31"/>
      <c r="AS145" s="31" t="s">
        <v>75</v>
      </c>
      <c r="AT145" s="31" t="s">
        <v>75</v>
      </c>
      <c r="AU145" s="31" t="s">
        <v>75</v>
      </c>
      <c r="AV145" s="31" t="s">
        <v>75</v>
      </c>
      <c r="AW145" s="31" t="s">
        <v>75</v>
      </c>
      <c r="AX145" s="31" t="s">
        <v>75</v>
      </c>
      <c r="AY145" s="31" t="s">
        <v>75</v>
      </c>
      <c r="AZ145" s="31" t="s">
        <v>75</v>
      </c>
      <c r="BA145" s="31" t="s">
        <v>75</v>
      </c>
      <c r="BB145" s="31" t="s">
        <v>75</v>
      </c>
      <c r="BC145" s="31" t="s">
        <v>75</v>
      </c>
      <c r="BD145" s="31" t="s">
        <v>75</v>
      </c>
      <c r="BE145" s="113">
        <v>0</v>
      </c>
      <c r="BF145" s="113">
        <v>0</v>
      </c>
      <c r="BG145" s="113">
        <v>0</v>
      </c>
      <c r="BH145" s="113">
        <v>0</v>
      </c>
      <c r="BI145" s="113">
        <v>0</v>
      </c>
      <c r="BJ145" s="113">
        <v>0</v>
      </c>
      <c r="BK145" s="113">
        <v>0</v>
      </c>
      <c r="BL145" s="113">
        <v>0</v>
      </c>
      <c r="BM145" s="113">
        <v>0</v>
      </c>
      <c r="BN145" s="113">
        <v>0</v>
      </c>
      <c r="BO145" s="113">
        <v>0</v>
      </c>
      <c r="BP145" s="113">
        <v>0</v>
      </c>
      <c r="BQ145" s="113">
        <v>0</v>
      </c>
      <c r="BR145" s="113">
        <v>0</v>
      </c>
      <c r="BS145" s="113">
        <v>0</v>
      </c>
      <c r="BT145" s="113">
        <v>0</v>
      </c>
      <c r="BU145" s="113">
        <v>0</v>
      </c>
      <c r="BV145" s="113">
        <v>0</v>
      </c>
      <c r="BW145" s="113"/>
      <c r="BX145" s="113"/>
      <c r="BY145" s="113"/>
      <c r="BZ145" s="113">
        <v>0</v>
      </c>
      <c r="CA145" s="113">
        <v>0</v>
      </c>
      <c r="CB145" s="113">
        <v>0</v>
      </c>
      <c r="CC145" s="113"/>
      <c r="CD145" s="113"/>
      <c r="CE145" s="113"/>
      <c r="CF145" s="113">
        <v>0</v>
      </c>
      <c r="CG145" s="113">
        <v>0</v>
      </c>
      <c r="CH145" s="113">
        <v>0</v>
      </c>
      <c r="CI145" s="113">
        <v>0</v>
      </c>
      <c r="CJ145" s="113">
        <v>0</v>
      </c>
      <c r="CK145" s="113">
        <v>0</v>
      </c>
      <c r="CL145" s="113">
        <v>0</v>
      </c>
      <c r="CM145" s="113">
        <v>0</v>
      </c>
      <c r="CN145" s="113">
        <v>0</v>
      </c>
      <c r="CO145" s="113">
        <v>0</v>
      </c>
      <c r="CP145" s="113">
        <v>0</v>
      </c>
      <c r="CQ145" s="113">
        <v>0</v>
      </c>
      <c r="CR145" s="113">
        <v>0</v>
      </c>
      <c r="CS145" s="113">
        <v>0</v>
      </c>
      <c r="CT145" s="113">
        <v>0</v>
      </c>
      <c r="CU145" s="113">
        <v>0</v>
      </c>
      <c r="CV145" s="113">
        <v>0</v>
      </c>
      <c r="CW145" s="113">
        <v>0</v>
      </c>
      <c r="CX145" s="113">
        <v>0</v>
      </c>
      <c r="CY145" s="113">
        <v>0</v>
      </c>
      <c r="CZ145" s="113">
        <v>0</v>
      </c>
      <c r="DA145" s="113">
        <v>0</v>
      </c>
      <c r="DB145" s="113">
        <v>0</v>
      </c>
      <c r="DC145" s="113">
        <v>0</v>
      </c>
      <c r="DD145" s="113">
        <v>0</v>
      </c>
      <c r="DE145" s="113">
        <v>0</v>
      </c>
      <c r="DF145" s="113">
        <v>0</v>
      </c>
      <c r="DG145" s="113">
        <v>0</v>
      </c>
      <c r="DH145" s="113">
        <v>0</v>
      </c>
      <c r="DI145" s="113">
        <v>0</v>
      </c>
      <c r="DJ145" s="113">
        <v>0</v>
      </c>
      <c r="DK145" s="113">
        <v>0</v>
      </c>
      <c r="DL145" s="113">
        <v>0</v>
      </c>
      <c r="DM145" s="113">
        <v>0</v>
      </c>
      <c r="DN145" s="113">
        <v>0</v>
      </c>
      <c r="DO145" s="113">
        <v>0</v>
      </c>
      <c r="DP145" s="113">
        <v>0</v>
      </c>
      <c r="DQ145" s="113">
        <v>0</v>
      </c>
      <c r="DR145" s="113">
        <v>0</v>
      </c>
      <c r="DS145" s="113">
        <v>0</v>
      </c>
      <c r="DT145" s="113">
        <v>0</v>
      </c>
      <c r="DU145" s="113">
        <v>0</v>
      </c>
      <c r="DV145" s="113">
        <v>0</v>
      </c>
      <c r="DW145" s="113">
        <v>0</v>
      </c>
      <c r="DX145" s="113">
        <v>0</v>
      </c>
      <c r="DY145" s="113">
        <v>0</v>
      </c>
      <c r="DZ145" s="113">
        <v>0</v>
      </c>
      <c r="EA145" s="113">
        <v>0</v>
      </c>
      <c r="EB145" s="113">
        <v>0</v>
      </c>
      <c r="EC145" s="113">
        <v>0</v>
      </c>
      <c r="ED145" s="113">
        <v>0</v>
      </c>
      <c r="EE145" s="113">
        <v>0</v>
      </c>
      <c r="EF145" s="113">
        <v>0</v>
      </c>
      <c r="EG145" s="113">
        <v>0</v>
      </c>
      <c r="EH145" s="113">
        <v>0</v>
      </c>
      <c r="EI145" s="113">
        <v>0</v>
      </c>
      <c r="EJ145" s="113">
        <v>0</v>
      </c>
      <c r="EK145" s="113">
        <v>0</v>
      </c>
      <c r="EL145" s="113">
        <v>0</v>
      </c>
      <c r="EM145" s="113">
        <v>0</v>
      </c>
      <c r="EN145" s="113">
        <v>0</v>
      </c>
      <c r="EO145" s="113">
        <v>0</v>
      </c>
      <c r="EP145" s="113">
        <v>0</v>
      </c>
      <c r="EQ145" s="113">
        <v>0</v>
      </c>
      <c r="ER145" s="113">
        <v>0</v>
      </c>
      <c r="ES145" s="113">
        <v>0</v>
      </c>
      <c r="ET145" s="113">
        <v>0</v>
      </c>
      <c r="EU145" s="113">
        <v>0</v>
      </c>
      <c r="EV145" s="113">
        <v>0</v>
      </c>
      <c r="EW145" s="113">
        <v>0</v>
      </c>
      <c r="EX145" s="113">
        <v>0</v>
      </c>
      <c r="EY145" s="113">
        <v>0</v>
      </c>
      <c r="EZ145" s="113">
        <v>0</v>
      </c>
      <c r="FA145" s="113">
        <v>0</v>
      </c>
      <c r="FB145" s="113">
        <v>0</v>
      </c>
      <c r="FC145" s="113">
        <v>0</v>
      </c>
      <c r="FD145" s="113">
        <v>0</v>
      </c>
      <c r="FE145" s="113">
        <v>0</v>
      </c>
      <c r="FF145" s="113">
        <v>0</v>
      </c>
      <c r="FG145" s="113">
        <v>0</v>
      </c>
      <c r="FH145" s="113">
        <v>0</v>
      </c>
      <c r="FI145" s="113">
        <v>0</v>
      </c>
      <c r="FJ145" s="113">
        <v>0</v>
      </c>
      <c r="FK145" s="113">
        <v>0</v>
      </c>
      <c r="FL145" s="113">
        <v>0</v>
      </c>
      <c r="FM145" s="113">
        <v>0</v>
      </c>
      <c r="FN145" s="113">
        <v>0</v>
      </c>
      <c r="FO145" s="113">
        <v>0</v>
      </c>
      <c r="FP145" s="113">
        <v>0</v>
      </c>
      <c r="FQ145" s="113">
        <v>0</v>
      </c>
      <c r="FR145" s="113">
        <v>0</v>
      </c>
      <c r="FS145" s="113">
        <v>0</v>
      </c>
      <c r="FT145" s="113">
        <v>0</v>
      </c>
      <c r="FU145" s="113">
        <v>0</v>
      </c>
      <c r="FV145" s="113">
        <v>0</v>
      </c>
      <c r="FW145" s="113">
        <v>0</v>
      </c>
      <c r="FX145" s="32">
        <v>0</v>
      </c>
      <c r="FY145" s="30">
        <v>0</v>
      </c>
      <c r="FZ145" s="30">
        <v>0</v>
      </c>
    </row>
    <row r="146" spans="1:182" x14ac:dyDescent="0.2">
      <c r="A146" s="28">
        <v>36008</v>
      </c>
      <c r="B146" s="28"/>
      <c r="C146" s="29">
        <v>238784</v>
      </c>
      <c r="D146" s="29">
        <v>117707</v>
      </c>
      <c r="E146" s="29">
        <f t="shared" si="4"/>
        <v>356491</v>
      </c>
      <c r="F146" s="30">
        <v>4467317</v>
      </c>
      <c r="G146" s="30">
        <v>105689</v>
      </c>
      <c r="H146" s="30">
        <f t="shared" si="5"/>
        <v>4573006</v>
      </c>
      <c r="I146" s="42" t="s">
        <v>75</v>
      </c>
      <c r="J146" s="42" t="s">
        <v>75</v>
      </c>
      <c r="K146" s="32">
        <v>2984904</v>
      </c>
      <c r="L146" s="31" t="s">
        <v>75</v>
      </c>
      <c r="M146" s="31" t="s">
        <v>75</v>
      </c>
      <c r="N146" s="30">
        <v>10551701</v>
      </c>
      <c r="O146" s="31" t="s">
        <v>75</v>
      </c>
      <c r="P146" s="31" t="s">
        <v>75</v>
      </c>
      <c r="Q146" s="30">
        <v>13790481</v>
      </c>
      <c r="R146" s="31" t="s">
        <v>75</v>
      </c>
      <c r="S146" s="31" t="s">
        <v>75</v>
      </c>
      <c r="T146" s="32">
        <v>227457</v>
      </c>
      <c r="U146" s="31" t="s">
        <v>75</v>
      </c>
      <c r="V146" s="31" t="s">
        <v>75</v>
      </c>
      <c r="W146" s="31" t="s">
        <v>75</v>
      </c>
      <c r="X146" s="31" t="s">
        <v>75</v>
      </c>
      <c r="Y146" s="31" t="s">
        <v>75</v>
      </c>
      <c r="Z146" s="30">
        <v>141854</v>
      </c>
      <c r="AA146" s="31" t="s">
        <v>75</v>
      </c>
      <c r="AB146" s="31" t="s">
        <v>75</v>
      </c>
      <c r="AC146" s="30">
        <v>146035</v>
      </c>
      <c r="AD146" s="31" t="s">
        <v>75</v>
      </c>
      <c r="AE146" s="31" t="s">
        <v>75</v>
      </c>
      <c r="AF146" s="30">
        <v>12544</v>
      </c>
      <c r="AG146" s="42" t="s">
        <v>75</v>
      </c>
      <c r="AH146" s="42" t="s">
        <v>75</v>
      </c>
      <c r="AI146" s="32">
        <v>68873</v>
      </c>
      <c r="AJ146" s="31" t="s">
        <v>75</v>
      </c>
      <c r="AK146" s="31" t="s">
        <v>75</v>
      </c>
      <c r="AL146" s="31" t="s">
        <v>75</v>
      </c>
      <c r="AM146" s="31"/>
      <c r="AN146" s="31"/>
      <c r="AO146" s="31"/>
      <c r="AP146" s="31"/>
      <c r="AQ146" s="31"/>
      <c r="AR146" s="31"/>
      <c r="AS146" s="31" t="s">
        <v>75</v>
      </c>
      <c r="AT146" s="31" t="s">
        <v>75</v>
      </c>
      <c r="AU146" s="31" t="s">
        <v>75</v>
      </c>
      <c r="AV146" s="31" t="s">
        <v>75</v>
      </c>
      <c r="AW146" s="31" t="s">
        <v>75</v>
      </c>
      <c r="AX146" s="31" t="s">
        <v>75</v>
      </c>
      <c r="AY146" s="31" t="s">
        <v>75</v>
      </c>
      <c r="AZ146" s="31" t="s">
        <v>75</v>
      </c>
      <c r="BA146" s="31" t="s">
        <v>75</v>
      </c>
      <c r="BB146" s="31" t="s">
        <v>75</v>
      </c>
      <c r="BC146" s="31" t="s">
        <v>75</v>
      </c>
      <c r="BD146" s="31" t="s">
        <v>75</v>
      </c>
      <c r="BE146" s="113">
        <v>0</v>
      </c>
      <c r="BF146" s="113">
        <v>0</v>
      </c>
      <c r="BG146" s="113">
        <v>0</v>
      </c>
      <c r="BH146" s="113">
        <v>0</v>
      </c>
      <c r="BI146" s="113">
        <v>0</v>
      </c>
      <c r="BJ146" s="113">
        <v>0</v>
      </c>
      <c r="BK146" s="113">
        <v>0</v>
      </c>
      <c r="BL146" s="113">
        <v>0</v>
      </c>
      <c r="BM146" s="113">
        <v>0</v>
      </c>
      <c r="BN146" s="113">
        <v>0</v>
      </c>
      <c r="BO146" s="113">
        <v>0</v>
      </c>
      <c r="BP146" s="113">
        <v>0</v>
      </c>
      <c r="BQ146" s="113">
        <v>0</v>
      </c>
      <c r="BR146" s="113">
        <v>0</v>
      </c>
      <c r="BS146" s="113">
        <v>0</v>
      </c>
      <c r="BT146" s="113">
        <v>0</v>
      </c>
      <c r="BU146" s="113">
        <v>0</v>
      </c>
      <c r="BV146" s="113">
        <v>0</v>
      </c>
      <c r="BW146" s="113"/>
      <c r="BX146" s="113"/>
      <c r="BY146" s="113"/>
      <c r="BZ146" s="113">
        <v>0</v>
      </c>
      <c r="CA146" s="113">
        <v>0</v>
      </c>
      <c r="CB146" s="113">
        <v>0</v>
      </c>
      <c r="CC146" s="113"/>
      <c r="CD146" s="113"/>
      <c r="CE146" s="113"/>
      <c r="CF146" s="113">
        <v>0</v>
      </c>
      <c r="CG146" s="113">
        <v>0</v>
      </c>
      <c r="CH146" s="113">
        <v>0</v>
      </c>
      <c r="CI146" s="113">
        <v>0</v>
      </c>
      <c r="CJ146" s="113">
        <v>0</v>
      </c>
      <c r="CK146" s="113">
        <v>0</v>
      </c>
      <c r="CL146" s="113">
        <v>0</v>
      </c>
      <c r="CM146" s="113">
        <v>0</v>
      </c>
      <c r="CN146" s="113">
        <v>0</v>
      </c>
      <c r="CO146" s="113">
        <v>0</v>
      </c>
      <c r="CP146" s="113">
        <v>0</v>
      </c>
      <c r="CQ146" s="113">
        <v>0</v>
      </c>
      <c r="CR146" s="113">
        <v>0</v>
      </c>
      <c r="CS146" s="113">
        <v>0</v>
      </c>
      <c r="CT146" s="113">
        <v>0</v>
      </c>
      <c r="CU146" s="113">
        <v>0</v>
      </c>
      <c r="CV146" s="113">
        <v>0</v>
      </c>
      <c r="CW146" s="113">
        <v>0</v>
      </c>
      <c r="CX146" s="113">
        <v>0</v>
      </c>
      <c r="CY146" s="113">
        <v>0</v>
      </c>
      <c r="CZ146" s="113">
        <v>0</v>
      </c>
      <c r="DA146" s="113">
        <v>0</v>
      </c>
      <c r="DB146" s="113">
        <v>0</v>
      </c>
      <c r="DC146" s="113">
        <v>0</v>
      </c>
      <c r="DD146" s="113">
        <v>0</v>
      </c>
      <c r="DE146" s="113">
        <v>0</v>
      </c>
      <c r="DF146" s="113">
        <v>0</v>
      </c>
      <c r="DG146" s="113">
        <v>0</v>
      </c>
      <c r="DH146" s="113">
        <v>0</v>
      </c>
      <c r="DI146" s="113">
        <v>0</v>
      </c>
      <c r="DJ146" s="113">
        <v>0</v>
      </c>
      <c r="DK146" s="113">
        <v>0</v>
      </c>
      <c r="DL146" s="113">
        <v>0</v>
      </c>
      <c r="DM146" s="113">
        <v>0</v>
      </c>
      <c r="DN146" s="113">
        <v>0</v>
      </c>
      <c r="DO146" s="113">
        <v>0</v>
      </c>
      <c r="DP146" s="113">
        <v>0</v>
      </c>
      <c r="DQ146" s="113">
        <v>0</v>
      </c>
      <c r="DR146" s="113">
        <v>0</v>
      </c>
      <c r="DS146" s="113">
        <v>0</v>
      </c>
      <c r="DT146" s="113">
        <v>0</v>
      </c>
      <c r="DU146" s="113">
        <v>0</v>
      </c>
      <c r="DV146" s="113">
        <v>0</v>
      </c>
      <c r="DW146" s="113">
        <v>0</v>
      </c>
      <c r="DX146" s="113">
        <v>0</v>
      </c>
      <c r="DY146" s="113">
        <v>0</v>
      </c>
      <c r="DZ146" s="113">
        <v>0</v>
      </c>
      <c r="EA146" s="113">
        <v>0</v>
      </c>
      <c r="EB146" s="113">
        <v>0</v>
      </c>
      <c r="EC146" s="113">
        <v>0</v>
      </c>
      <c r="ED146" s="113">
        <v>0</v>
      </c>
      <c r="EE146" s="113">
        <v>0</v>
      </c>
      <c r="EF146" s="113">
        <v>0</v>
      </c>
      <c r="EG146" s="113">
        <v>0</v>
      </c>
      <c r="EH146" s="113">
        <v>0</v>
      </c>
      <c r="EI146" s="113">
        <v>0</v>
      </c>
      <c r="EJ146" s="113">
        <v>0</v>
      </c>
      <c r="EK146" s="113">
        <v>0</v>
      </c>
      <c r="EL146" s="113">
        <v>0</v>
      </c>
      <c r="EM146" s="113">
        <v>0</v>
      </c>
      <c r="EN146" s="113">
        <v>0</v>
      </c>
      <c r="EO146" s="113">
        <v>0</v>
      </c>
      <c r="EP146" s="113">
        <v>0</v>
      </c>
      <c r="EQ146" s="113">
        <v>0</v>
      </c>
      <c r="ER146" s="113">
        <v>0</v>
      </c>
      <c r="ES146" s="113">
        <v>0</v>
      </c>
      <c r="ET146" s="113">
        <v>0</v>
      </c>
      <c r="EU146" s="113">
        <v>0</v>
      </c>
      <c r="EV146" s="113">
        <v>0</v>
      </c>
      <c r="EW146" s="113">
        <v>0</v>
      </c>
      <c r="EX146" s="113">
        <v>0</v>
      </c>
      <c r="EY146" s="113">
        <v>0</v>
      </c>
      <c r="EZ146" s="113">
        <v>0</v>
      </c>
      <c r="FA146" s="113">
        <v>0</v>
      </c>
      <c r="FB146" s="113">
        <v>0</v>
      </c>
      <c r="FC146" s="113">
        <v>0</v>
      </c>
      <c r="FD146" s="113">
        <v>0</v>
      </c>
      <c r="FE146" s="113">
        <v>0</v>
      </c>
      <c r="FF146" s="113">
        <v>0</v>
      </c>
      <c r="FG146" s="113">
        <v>0</v>
      </c>
      <c r="FH146" s="113">
        <v>0</v>
      </c>
      <c r="FI146" s="113">
        <v>0</v>
      </c>
      <c r="FJ146" s="113">
        <v>0</v>
      </c>
      <c r="FK146" s="113">
        <v>0</v>
      </c>
      <c r="FL146" s="113">
        <v>0</v>
      </c>
      <c r="FM146" s="113">
        <v>0</v>
      </c>
      <c r="FN146" s="113">
        <v>0</v>
      </c>
      <c r="FO146" s="113">
        <v>0</v>
      </c>
      <c r="FP146" s="113">
        <v>0</v>
      </c>
      <c r="FQ146" s="113">
        <v>0</v>
      </c>
      <c r="FR146" s="113">
        <v>0</v>
      </c>
      <c r="FS146" s="113">
        <v>0</v>
      </c>
      <c r="FT146" s="113">
        <v>0</v>
      </c>
      <c r="FU146" s="113">
        <v>0</v>
      </c>
      <c r="FV146" s="113">
        <v>0</v>
      </c>
      <c r="FW146" s="113">
        <v>0</v>
      </c>
      <c r="FX146" s="32">
        <v>0</v>
      </c>
      <c r="FY146" s="30">
        <v>0</v>
      </c>
      <c r="FZ146" s="30">
        <v>0</v>
      </c>
    </row>
    <row r="147" spans="1:182" x14ac:dyDescent="0.2">
      <c r="A147" s="28">
        <v>36039</v>
      </c>
      <c r="B147" s="28"/>
      <c r="C147" s="29">
        <v>266062</v>
      </c>
      <c r="D147" s="29">
        <v>143567</v>
      </c>
      <c r="E147" s="29">
        <f t="shared" si="4"/>
        <v>409629</v>
      </c>
      <c r="F147" s="30">
        <v>5167227</v>
      </c>
      <c r="G147" s="30">
        <v>103437</v>
      </c>
      <c r="H147" s="30">
        <f t="shared" si="5"/>
        <v>5270664</v>
      </c>
      <c r="I147" s="42" t="s">
        <v>75</v>
      </c>
      <c r="J147" s="42" t="s">
        <v>75</v>
      </c>
      <c r="K147" s="32">
        <v>3650122</v>
      </c>
      <c r="L147" s="31" t="s">
        <v>75</v>
      </c>
      <c r="M147" s="31" t="s">
        <v>75</v>
      </c>
      <c r="N147" s="30">
        <v>11449990</v>
      </c>
      <c r="O147" s="31" t="s">
        <v>75</v>
      </c>
      <c r="P147" s="31" t="s">
        <v>75</v>
      </c>
      <c r="Q147" s="30">
        <v>14658752</v>
      </c>
      <c r="R147" s="31" t="s">
        <v>75</v>
      </c>
      <c r="S147" s="31" t="s">
        <v>75</v>
      </c>
      <c r="T147" s="32">
        <v>179547</v>
      </c>
      <c r="U147" s="31" t="s">
        <v>75</v>
      </c>
      <c r="V147" s="31" t="s">
        <v>75</v>
      </c>
      <c r="W147" s="31" t="s">
        <v>75</v>
      </c>
      <c r="X147" s="31" t="s">
        <v>75</v>
      </c>
      <c r="Y147" s="31" t="s">
        <v>75</v>
      </c>
      <c r="Z147" s="30">
        <v>105745</v>
      </c>
      <c r="AA147" s="31" t="s">
        <v>75</v>
      </c>
      <c r="AB147" s="31" t="s">
        <v>75</v>
      </c>
      <c r="AC147" s="30">
        <v>140909</v>
      </c>
      <c r="AD147" s="31" t="s">
        <v>75</v>
      </c>
      <c r="AE147" s="31" t="s">
        <v>75</v>
      </c>
      <c r="AF147" s="30">
        <v>20512</v>
      </c>
      <c r="AG147" s="42" t="s">
        <v>75</v>
      </c>
      <c r="AH147" s="42" t="s">
        <v>75</v>
      </c>
      <c r="AI147" s="32">
        <v>61985</v>
      </c>
      <c r="AJ147" s="31" t="s">
        <v>75</v>
      </c>
      <c r="AK147" s="31" t="s">
        <v>75</v>
      </c>
      <c r="AL147" s="31" t="s">
        <v>75</v>
      </c>
      <c r="AM147" s="31"/>
      <c r="AN147" s="31"/>
      <c r="AO147" s="31"/>
      <c r="AP147" s="31"/>
      <c r="AQ147" s="31"/>
      <c r="AR147" s="31"/>
      <c r="AS147" s="31" t="s">
        <v>75</v>
      </c>
      <c r="AT147" s="31" t="s">
        <v>75</v>
      </c>
      <c r="AU147" s="31" t="s">
        <v>75</v>
      </c>
      <c r="AV147" s="31" t="s">
        <v>75</v>
      </c>
      <c r="AW147" s="31" t="s">
        <v>75</v>
      </c>
      <c r="AX147" s="31" t="s">
        <v>75</v>
      </c>
      <c r="AY147" s="31" t="s">
        <v>75</v>
      </c>
      <c r="AZ147" s="31" t="s">
        <v>75</v>
      </c>
      <c r="BA147" s="31" t="s">
        <v>75</v>
      </c>
      <c r="BB147" s="31" t="s">
        <v>75</v>
      </c>
      <c r="BC147" s="31" t="s">
        <v>75</v>
      </c>
      <c r="BD147" s="31" t="s">
        <v>75</v>
      </c>
      <c r="BE147" s="113">
        <v>0</v>
      </c>
      <c r="BF147" s="113">
        <v>0</v>
      </c>
      <c r="BG147" s="113">
        <v>0</v>
      </c>
      <c r="BH147" s="113">
        <v>0</v>
      </c>
      <c r="BI147" s="113">
        <v>0</v>
      </c>
      <c r="BJ147" s="113">
        <v>0</v>
      </c>
      <c r="BK147" s="113">
        <v>0</v>
      </c>
      <c r="BL147" s="113">
        <v>0</v>
      </c>
      <c r="BM147" s="113">
        <v>0</v>
      </c>
      <c r="BN147" s="113">
        <v>0</v>
      </c>
      <c r="BO147" s="113">
        <v>0</v>
      </c>
      <c r="BP147" s="113">
        <v>0</v>
      </c>
      <c r="BQ147" s="113">
        <v>0</v>
      </c>
      <c r="BR147" s="113">
        <v>0</v>
      </c>
      <c r="BS147" s="113">
        <v>0</v>
      </c>
      <c r="BT147" s="113">
        <v>0</v>
      </c>
      <c r="BU147" s="113">
        <v>0</v>
      </c>
      <c r="BV147" s="113">
        <v>0</v>
      </c>
      <c r="BW147" s="113"/>
      <c r="BX147" s="113"/>
      <c r="BY147" s="113"/>
      <c r="BZ147" s="113">
        <v>0</v>
      </c>
      <c r="CA147" s="113">
        <v>0</v>
      </c>
      <c r="CB147" s="113">
        <v>0</v>
      </c>
      <c r="CC147" s="113"/>
      <c r="CD147" s="113"/>
      <c r="CE147" s="113"/>
      <c r="CF147" s="113">
        <v>0</v>
      </c>
      <c r="CG147" s="113">
        <v>0</v>
      </c>
      <c r="CH147" s="113">
        <v>0</v>
      </c>
      <c r="CI147" s="113">
        <v>0</v>
      </c>
      <c r="CJ147" s="113">
        <v>0</v>
      </c>
      <c r="CK147" s="113">
        <v>0</v>
      </c>
      <c r="CL147" s="113">
        <v>0</v>
      </c>
      <c r="CM147" s="113">
        <v>0</v>
      </c>
      <c r="CN147" s="113">
        <v>0</v>
      </c>
      <c r="CO147" s="113">
        <v>0</v>
      </c>
      <c r="CP147" s="113">
        <v>0</v>
      </c>
      <c r="CQ147" s="113">
        <v>0</v>
      </c>
      <c r="CR147" s="113">
        <v>0</v>
      </c>
      <c r="CS147" s="113">
        <v>0</v>
      </c>
      <c r="CT147" s="113">
        <v>0</v>
      </c>
      <c r="CU147" s="113">
        <v>0</v>
      </c>
      <c r="CV147" s="113">
        <v>0</v>
      </c>
      <c r="CW147" s="113">
        <v>0</v>
      </c>
      <c r="CX147" s="113">
        <v>0</v>
      </c>
      <c r="CY147" s="113">
        <v>0</v>
      </c>
      <c r="CZ147" s="113">
        <v>0</v>
      </c>
      <c r="DA147" s="113">
        <v>0</v>
      </c>
      <c r="DB147" s="113">
        <v>0</v>
      </c>
      <c r="DC147" s="113">
        <v>0</v>
      </c>
      <c r="DD147" s="113">
        <v>0</v>
      </c>
      <c r="DE147" s="113">
        <v>0</v>
      </c>
      <c r="DF147" s="113">
        <v>0</v>
      </c>
      <c r="DG147" s="113">
        <v>0</v>
      </c>
      <c r="DH147" s="113">
        <v>0</v>
      </c>
      <c r="DI147" s="113">
        <v>0</v>
      </c>
      <c r="DJ147" s="113">
        <v>0</v>
      </c>
      <c r="DK147" s="113">
        <v>0</v>
      </c>
      <c r="DL147" s="113">
        <v>0</v>
      </c>
      <c r="DM147" s="113">
        <v>0</v>
      </c>
      <c r="DN147" s="113">
        <v>0</v>
      </c>
      <c r="DO147" s="113">
        <v>0</v>
      </c>
      <c r="DP147" s="113">
        <v>0</v>
      </c>
      <c r="DQ147" s="113">
        <v>0</v>
      </c>
      <c r="DR147" s="113">
        <v>0</v>
      </c>
      <c r="DS147" s="113">
        <v>0</v>
      </c>
      <c r="DT147" s="113">
        <v>0</v>
      </c>
      <c r="DU147" s="113">
        <v>0</v>
      </c>
      <c r="DV147" s="113">
        <v>0</v>
      </c>
      <c r="DW147" s="113">
        <v>0</v>
      </c>
      <c r="DX147" s="113">
        <v>0</v>
      </c>
      <c r="DY147" s="113">
        <v>0</v>
      </c>
      <c r="DZ147" s="113">
        <v>0</v>
      </c>
      <c r="EA147" s="113">
        <v>0</v>
      </c>
      <c r="EB147" s="113">
        <v>0</v>
      </c>
      <c r="EC147" s="113">
        <v>0</v>
      </c>
      <c r="ED147" s="113">
        <v>0</v>
      </c>
      <c r="EE147" s="113">
        <v>0</v>
      </c>
      <c r="EF147" s="113">
        <v>0</v>
      </c>
      <c r="EG147" s="113">
        <v>0</v>
      </c>
      <c r="EH147" s="113">
        <v>0</v>
      </c>
      <c r="EI147" s="113">
        <v>0</v>
      </c>
      <c r="EJ147" s="113">
        <v>0</v>
      </c>
      <c r="EK147" s="113">
        <v>0</v>
      </c>
      <c r="EL147" s="113">
        <v>0</v>
      </c>
      <c r="EM147" s="113">
        <v>0</v>
      </c>
      <c r="EN147" s="113">
        <v>0</v>
      </c>
      <c r="EO147" s="113">
        <v>0</v>
      </c>
      <c r="EP147" s="113">
        <v>0</v>
      </c>
      <c r="EQ147" s="113">
        <v>0</v>
      </c>
      <c r="ER147" s="113">
        <v>0</v>
      </c>
      <c r="ES147" s="113">
        <v>0</v>
      </c>
      <c r="ET147" s="113">
        <v>0</v>
      </c>
      <c r="EU147" s="113">
        <v>0</v>
      </c>
      <c r="EV147" s="113">
        <v>0</v>
      </c>
      <c r="EW147" s="113">
        <v>0</v>
      </c>
      <c r="EX147" s="113">
        <v>0</v>
      </c>
      <c r="EY147" s="113">
        <v>0</v>
      </c>
      <c r="EZ147" s="113">
        <v>0</v>
      </c>
      <c r="FA147" s="113">
        <v>0</v>
      </c>
      <c r="FB147" s="113">
        <v>0</v>
      </c>
      <c r="FC147" s="113">
        <v>0</v>
      </c>
      <c r="FD147" s="113">
        <v>0</v>
      </c>
      <c r="FE147" s="113">
        <v>0</v>
      </c>
      <c r="FF147" s="113">
        <v>0</v>
      </c>
      <c r="FG147" s="113">
        <v>0</v>
      </c>
      <c r="FH147" s="113">
        <v>0</v>
      </c>
      <c r="FI147" s="113">
        <v>0</v>
      </c>
      <c r="FJ147" s="113">
        <v>0</v>
      </c>
      <c r="FK147" s="113">
        <v>0</v>
      </c>
      <c r="FL147" s="113">
        <v>0</v>
      </c>
      <c r="FM147" s="113">
        <v>0</v>
      </c>
      <c r="FN147" s="113">
        <v>0</v>
      </c>
      <c r="FO147" s="113">
        <v>0</v>
      </c>
      <c r="FP147" s="113">
        <v>0</v>
      </c>
      <c r="FQ147" s="113">
        <v>0</v>
      </c>
      <c r="FR147" s="113">
        <v>0</v>
      </c>
      <c r="FS147" s="113">
        <v>0</v>
      </c>
      <c r="FT147" s="113">
        <v>0</v>
      </c>
      <c r="FU147" s="113">
        <v>0</v>
      </c>
      <c r="FV147" s="113">
        <v>0</v>
      </c>
      <c r="FW147" s="113">
        <v>0</v>
      </c>
      <c r="FX147" s="32">
        <v>0</v>
      </c>
      <c r="FY147" s="30">
        <v>0</v>
      </c>
      <c r="FZ147" s="30">
        <v>0</v>
      </c>
    </row>
    <row r="148" spans="1:182" x14ac:dyDescent="0.2">
      <c r="A148" s="28">
        <v>36069</v>
      </c>
      <c r="B148" s="28"/>
      <c r="C148" s="29">
        <v>302598</v>
      </c>
      <c r="D148" s="29">
        <v>158394</v>
      </c>
      <c r="E148" s="29">
        <f t="shared" si="4"/>
        <v>460992</v>
      </c>
      <c r="F148" s="30">
        <v>8146421</v>
      </c>
      <c r="G148" s="30">
        <v>204229</v>
      </c>
      <c r="H148" s="30">
        <f t="shared" si="5"/>
        <v>8350650</v>
      </c>
      <c r="I148" s="42" t="s">
        <v>75</v>
      </c>
      <c r="J148" s="42" t="s">
        <v>75</v>
      </c>
      <c r="K148" s="32">
        <v>4486266</v>
      </c>
      <c r="L148" s="31" t="s">
        <v>75</v>
      </c>
      <c r="M148" s="31" t="s">
        <v>75</v>
      </c>
      <c r="N148" s="30">
        <v>13683911</v>
      </c>
      <c r="O148" s="31" t="s">
        <v>75</v>
      </c>
      <c r="P148" s="31" t="s">
        <v>75</v>
      </c>
      <c r="Q148" s="30">
        <v>18884366</v>
      </c>
      <c r="R148" s="31" t="s">
        <v>75</v>
      </c>
      <c r="S148" s="31" t="s">
        <v>75</v>
      </c>
      <c r="T148" s="32">
        <v>167666</v>
      </c>
      <c r="U148" s="31" t="s">
        <v>75</v>
      </c>
      <c r="V148" s="31" t="s">
        <v>75</v>
      </c>
      <c r="W148" s="31" t="s">
        <v>75</v>
      </c>
      <c r="X148" s="31" t="s">
        <v>75</v>
      </c>
      <c r="Y148" s="31" t="s">
        <v>75</v>
      </c>
      <c r="Z148" s="30">
        <v>153264</v>
      </c>
      <c r="AA148" s="31" t="s">
        <v>75</v>
      </c>
      <c r="AB148" s="31" t="s">
        <v>75</v>
      </c>
      <c r="AC148" s="30">
        <v>157942</v>
      </c>
      <c r="AD148" s="31" t="s">
        <v>75</v>
      </c>
      <c r="AE148" s="31" t="s">
        <v>75</v>
      </c>
      <c r="AF148" s="30">
        <v>23181</v>
      </c>
      <c r="AG148" s="42" t="s">
        <v>75</v>
      </c>
      <c r="AH148" s="42" t="s">
        <v>75</v>
      </c>
      <c r="AI148" s="32">
        <v>70747</v>
      </c>
      <c r="AJ148" s="31" t="s">
        <v>75</v>
      </c>
      <c r="AK148" s="31" t="s">
        <v>75</v>
      </c>
      <c r="AL148" s="31" t="s">
        <v>75</v>
      </c>
      <c r="AM148" s="31"/>
      <c r="AN148" s="31"/>
      <c r="AO148" s="31"/>
      <c r="AP148" s="31"/>
      <c r="AQ148" s="31"/>
      <c r="AR148" s="31"/>
      <c r="AS148" s="31" t="s">
        <v>75</v>
      </c>
      <c r="AT148" s="31" t="s">
        <v>75</v>
      </c>
      <c r="AU148" s="31" t="s">
        <v>75</v>
      </c>
      <c r="AV148" s="31" t="s">
        <v>75</v>
      </c>
      <c r="AW148" s="31" t="s">
        <v>75</v>
      </c>
      <c r="AX148" s="31" t="s">
        <v>75</v>
      </c>
      <c r="AY148" s="31" t="s">
        <v>75</v>
      </c>
      <c r="AZ148" s="31" t="s">
        <v>75</v>
      </c>
      <c r="BA148" s="31" t="s">
        <v>75</v>
      </c>
      <c r="BB148" s="31" t="s">
        <v>75</v>
      </c>
      <c r="BC148" s="31" t="s">
        <v>75</v>
      </c>
      <c r="BD148" s="31" t="s">
        <v>75</v>
      </c>
      <c r="BE148" s="113">
        <v>0</v>
      </c>
      <c r="BF148" s="113">
        <v>0</v>
      </c>
      <c r="BG148" s="113">
        <v>0</v>
      </c>
      <c r="BH148" s="113">
        <v>0</v>
      </c>
      <c r="BI148" s="113">
        <v>0</v>
      </c>
      <c r="BJ148" s="113">
        <v>0</v>
      </c>
      <c r="BK148" s="113">
        <v>0</v>
      </c>
      <c r="BL148" s="113">
        <v>0</v>
      </c>
      <c r="BM148" s="113">
        <v>0</v>
      </c>
      <c r="BN148" s="113">
        <v>0</v>
      </c>
      <c r="BO148" s="113">
        <v>0</v>
      </c>
      <c r="BP148" s="113">
        <v>0</v>
      </c>
      <c r="BQ148" s="113">
        <v>0</v>
      </c>
      <c r="BR148" s="113">
        <v>0</v>
      </c>
      <c r="BS148" s="113">
        <v>0</v>
      </c>
      <c r="BT148" s="113">
        <v>0</v>
      </c>
      <c r="BU148" s="113">
        <v>0</v>
      </c>
      <c r="BV148" s="113">
        <v>0</v>
      </c>
      <c r="BW148" s="113"/>
      <c r="BX148" s="113"/>
      <c r="BY148" s="113"/>
      <c r="BZ148" s="113">
        <v>0</v>
      </c>
      <c r="CA148" s="113">
        <v>0</v>
      </c>
      <c r="CB148" s="113">
        <v>0</v>
      </c>
      <c r="CC148" s="113"/>
      <c r="CD148" s="113"/>
      <c r="CE148" s="113"/>
      <c r="CF148" s="113">
        <v>0</v>
      </c>
      <c r="CG148" s="113">
        <v>0</v>
      </c>
      <c r="CH148" s="113">
        <v>0</v>
      </c>
      <c r="CI148" s="113">
        <v>0</v>
      </c>
      <c r="CJ148" s="113">
        <v>0</v>
      </c>
      <c r="CK148" s="113">
        <v>0</v>
      </c>
      <c r="CL148" s="113">
        <v>0</v>
      </c>
      <c r="CM148" s="113">
        <v>0</v>
      </c>
      <c r="CN148" s="113">
        <v>0</v>
      </c>
      <c r="CO148" s="113">
        <v>0</v>
      </c>
      <c r="CP148" s="113">
        <v>0</v>
      </c>
      <c r="CQ148" s="113">
        <v>0</v>
      </c>
      <c r="CR148" s="113">
        <v>0</v>
      </c>
      <c r="CS148" s="113">
        <v>0</v>
      </c>
      <c r="CT148" s="113">
        <v>0</v>
      </c>
      <c r="CU148" s="113">
        <v>0</v>
      </c>
      <c r="CV148" s="113">
        <v>0</v>
      </c>
      <c r="CW148" s="113">
        <v>0</v>
      </c>
      <c r="CX148" s="113">
        <v>0</v>
      </c>
      <c r="CY148" s="113">
        <v>0</v>
      </c>
      <c r="CZ148" s="113">
        <v>0</v>
      </c>
      <c r="DA148" s="113">
        <v>0</v>
      </c>
      <c r="DB148" s="113">
        <v>0</v>
      </c>
      <c r="DC148" s="113">
        <v>0</v>
      </c>
      <c r="DD148" s="113">
        <v>0</v>
      </c>
      <c r="DE148" s="113">
        <v>0</v>
      </c>
      <c r="DF148" s="113">
        <v>0</v>
      </c>
      <c r="DG148" s="113">
        <v>0</v>
      </c>
      <c r="DH148" s="113">
        <v>0</v>
      </c>
      <c r="DI148" s="113">
        <v>0</v>
      </c>
      <c r="DJ148" s="113">
        <v>0</v>
      </c>
      <c r="DK148" s="113">
        <v>0</v>
      </c>
      <c r="DL148" s="113">
        <v>0</v>
      </c>
      <c r="DM148" s="113">
        <v>0</v>
      </c>
      <c r="DN148" s="113">
        <v>0</v>
      </c>
      <c r="DO148" s="113">
        <v>0</v>
      </c>
      <c r="DP148" s="113">
        <v>0</v>
      </c>
      <c r="DQ148" s="113">
        <v>0</v>
      </c>
      <c r="DR148" s="113">
        <v>0</v>
      </c>
      <c r="DS148" s="113">
        <v>0</v>
      </c>
      <c r="DT148" s="113">
        <v>0</v>
      </c>
      <c r="DU148" s="113">
        <v>0</v>
      </c>
      <c r="DV148" s="113">
        <v>0</v>
      </c>
      <c r="DW148" s="113">
        <v>0</v>
      </c>
      <c r="DX148" s="113">
        <v>0</v>
      </c>
      <c r="DY148" s="113">
        <v>0</v>
      </c>
      <c r="DZ148" s="113">
        <v>0</v>
      </c>
      <c r="EA148" s="113">
        <v>0</v>
      </c>
      <c r="EB148" s="113">
        <v>0</v>
      </c>
      <c r="EC148" s="113">
        <v>0</v>
      </c>
      <c r="ED148" s="113">
        <v>0</v>
      </c>
      <c r="EE148" s="113">
        <v>0</v>
      </c>
      <c r="EF148" s="113">
        <v>0</v>
      </c>
      <c r="EG148" s="113">
        <v>0</v>
      </c>
      <c r="EH148" s="113">
        <v>0</v>
      </c>
      <c r="EI148" s="113">
        <v>0</v>
      </c>
      <c r="EJ148" s="113">
        <v>0</v>
      </c>
      <c r="EK148" s="113">
        <v>0</v>
      </c>
      <c r="EL148" s="113">
        <v>0</v>
      </c>
      <c r="EM148" s="113">
        <v>0</v>
      </c>
      <c r="EN148" s="113">
        <v>0</v>
      </c>
      <c r="EO148" s="113">
        <v>0</v>
      </c>
      <c r="EP148" s="113">
        <v>0</v>
      </c>
      <c r="EQ148" s="113">
        <v>0</v>
      </c>
      <c r="ER148" s="113">
        <v>0</v>
      </c>
      <c r="ES148" s="113">
        <v>0</v>
      </c>
      <c r="ET148" s="113">
        <v>0</v>
      </c>
      <c r="EU148" s="113">
        <v>0</v>
      </c>
      <c r="EV148" s="113">
        <v>0</v>
      </c>
      <c r="EW148" s="113">
        <v>0</v>
      </c>
      <c r="EX148" s="113">
        <v>0</v>
      </c>
      <c r="EY148" s="113">
        <v>0</v>
      </c>
      <c r="EZ148" s="113">
        <v>0</v>
      </c>
      <c r="FA148" s="113">
        <v>0</v>
      </c>
      <c r="FB148" s="113">
        <v>0</v>
      </c>
      <c r="FC148" s="113">
        <v>0</v>
      </c>
      <c r="FD148" s="113">
        <v>0</v>
      </c>
      <c r="FE148" s="113">
        <v>0</v>
      </c>
      <c r="FF148" s="113">
        <v>0</v>
      </c>
      <c r="FG148" s="113">
        <v>0</v>
      </c>
      <c r="FH148" s="113">
        <v>0</v>
      </c>
      <c r="FI148" s="113">
        <v>0</v>
      </c>
      <c r="FJ148" s="113">
        <v>0</v>
      </c>
      <c r="FK148" s="113">
        <v>0</v>
      </c>
      <c r="FL148" s="113">
        <v>0</v>
      </c>
      <c r="FM148" s="113">
        <v>0</v>
      </c>
      <c r="FN148" s="113">
        <v>0</v>
      </c>
      <c r="FO148" s="113">
        <v>0</v>
      </c>
      <c r="FP148" s="113">
        <v>0</v>
      </c>
      <c r="FQ148" s="113">
        <v>0</v>
      </c>
      <c r="FR148" s="113">
        <v>0</v>
      </c>
      <c r="FS148" s="113">
        <v>0</v>
      </c>
      <c r="FT148" s="113">
        <v>0</v>
      </c>
      <c r="FU148" s="113">
        <v>0</v>
      </c>
      <c r="FV148" s="113">
        <v>0</v>
      </c>
      <c r="FW148" s="113">
        <v>0</v>
      </c>
      <c r="FX148" s="32">
        <v>0</v>
      </c>
      <c r="FY148" s="30">
        <v>0</v>
      </c>
      <c r="FZ148" s="30">
        <v>0</v>
      </c>
    </row>
    <row r="149" spans="1:182" x14ac:dyDescent="0.2">
      <c r="A149" s="28">
        <v>36100</v>
      </c>
      <c r="B149" s="28"/>
      <c r="C149" s="29">
        <v>303336</v>
      </c>
      <c r="D149" s="29">
        <v>203571</v>
      </c>
      <c r="E149" s="29">
        <f t="shared" si="4"/>
        <v>506907</v>
      </c>
      <c r="F149" s="30">
        <v>10724992</v>
      </c>
      <c r="G149" s="30">
        <v>202382</v>
      </c>
      <c r="H149" s="30">
        <f t="shared" si="5"/>
        <v>10927374</v>
      </c>
      <c r="I149" s="42" t="s">
        <v>75</v>
      </c>
      <c r="J149" s="42" t="s">
        <v>75</v>
      </c>
      <c r="K149" s="32">
        <v>4714034</v>
      </c>
      <c r="L149" s="31" t="s">
        <v>75</v>
      </c>
      <c r="M149" s="31" t="s">
        <v>75</v>
      </c>
      <c r="N149" s="30">
        <v>13477884</v>
      </c>
      <c r="O149" s="31" t="s">
        <v>75</v>
      </c>
      <c r="P149" s="31" t="s">
        <v>75</v>
      </c>
      <c r="Q149" s="30">
        <v>18770790</v>
      </c>
      <c r="R149" s="31" t="s">
        <v>75</v>
      </c>
      <c r="S149" s="31" t="s">
        <v>75</v>
      </c>
      <c r="T149" s="32">
        <v>177671</v>
      </c>
      <c r="U149" s="31" t="s">
        <v>75</v>
      </c>
      <c r="V149" s="31" t="s">
        <v>75</v>
      </c>
      <c r="W149" s="31" t="s">
        <v>75</v>
      </c>
      <c r="X149" s="31" t="s">
        <v>75</v>
      </c>
      <c r="Y149" s="31" t="s">
        <v>75</v>
      </c>
      <c r="Z149" s="30">
        <v>149240</v>
      </c>
      <c r="AA149" s="31" t="s">
        <v>75</v>
      </c>
      <c r="AB149" s="31" t="s">
        <v>75</v>
      </c>
      <c r="AC149" s="30">
        <v>108640</v>
      </c>
      <c r="AD149" s="31" t="s">
        <v>75</v>
      </c>
      <c r="AE149" s="31" t="s">
        <v>75</v>
      </c>
      <c r="AF149" s="30">
        <v>46743</v>
      </c>
      <c r="AG149" s="42" t="s">
        <v>75</v>
      </c>
      <c r="AH149" s="42" t="s">
        <v>75</v>
      </c>
      <c r="AI149" s="32">
        <v>51339</v>
      </c>
      <c r="AJ149" s="31" t="s">
        <v>75</v>
      </c>
      <c r="AK149" s="31" t="s">
        <v>75</v>
      </c>
      <c r="AL149" s="31" t="s">
        <v>75</v>
      </c>
      <c r="AM149" s="31"/>
      <c r="AN149" s="31"/>
      <c r="AO149" s="31"/>
      <c r="AP149" s="31"/>
      <c r="AQ149" s="31"/>
      <c r="AR149" s="31"/>
      <c r="AS149" s="31" t="s">
        <v>75</v>
      </c>
      <c r="AT149" s="31" t="s">
        <v>75</v>
      </c>
      <c r="AU149" s="31" t="s">
        <v>75</v>
      </c>
      <c r="AV149" s="31" t="s">
        <v>75</v>
      </c>
      <c r="AW149" s="31" t="s">
        <v>75</v>
      </c>
      <c r="AX149" s="31" t="s">
        <v>75</v>
      </c>
      <c r="AY149" s="31" t="s">
        <v>75</v>
      </c>
      <c r="AZ149" s="31" t="s">
        <v>75</v>
      </c>
      <c r="BA149" s="31" t="s">
        <v>75</v>
      </c>
      <c r="BB149" s="31" t="s">
        <v>75</v>
      </c>
      <c r="BC149" s="31" t="s">
        <v>75</v>
      </c>
      <c r="BD149" s="31" t="s">
        <v>75</v>
      </c>
      <c r="BE149" s="113">
        <v>0</v>
      </c>
      <c r="BF149" s="113">
        <v>0</v>
      </c>
      <c r="BG149" s="113">
        <v>0</v>
      </c>
      <c r="BH149" s="113">
        <v>0</v>
      </c>
      <c r="BI149" s="113">
        <v>0</v>
      </c>
      <c r="BJ149" s="113">
        <v>0</v>
      </c>
      <c r="BK149" s="113">
        <v>0</v>
      </c>
      <c r="BL149" s="113">
        <v>0</v>
      </c>
      <c r="BM149" s="113">
        <v>0</v>
      </c>
      <c r="BN149" s="113">
        <v>0</v>
      </c>
      <c r="BO149" s="113">
        <v>0</v>
      </c>
      <c r="BP149" s="113">
        <v>0</v>
      </c>
      <c r="BQ149" s="113">
        <v>0</v>
      </c>
      <c r="BR149" s="113">
        <v>0</v>
      </c>
      <c r="BS149" s="113">
        <v>0</v>
      </c>
      <c r="BT149" s="113">
        <v>0</v>
      </c>
      <c r="BU149" s="113">
        <v>0</v>
      </c>
      <c r="BV149" s="113">
        <v>0</v>
      </c>
      <c r="BW149" s="113"/>
      <c r="BX149" s="113"/>
      <c r="BY149" s="113"/>
      <c r="BZ149" s="113">
        <v>0</v>
      </c>
      <c r="CA149" s="113">
        <v>0</v>
      </c>
      <c r="CB149" s="113">
        <v>0</v>
      </c>
      <c r="CC149" s="113"/>
      <c r="CD149" s="113"/>
      <c r="CE149" s="113"/>
      <c r="CF149" s="113">
        <v>0</v>
      </c>
      <c r="CG149" s="113">
        <v>0</v>
      </c>
      <c r="CH149" s="113">
        <v>0</v>
      </c>
      <c r="CI149" s="113">
        <v>0</v>
      </c>
      <c r="CJ149" s="113">
        <v>0</v>
      </c>
      <c r="CK149" s="113">
        <v>0</v>
      </c>
      <c r="CL149" s="113">
        <v>0</v>
      </c>
      <c r="CM149" s="113">
        <v>0</v>
      </c>
      <c r="CN149" s="113">
        <v>0</v>
      </c>
      <c r="CO149" s="113">
        <v>0</v>
      </c>
      <c r="CP149" s="113">
        <v>0</v>
      </c>
      <c r="CQ149" s="113">
        <v>0</v>
      </c>
      <c r="CR149" s="113">
        <v>0</v>
      </c>
      <c r="CS149" s="113">
        <v>0</v>
      </c>
      <c r="CT149" s="113">
        <v>0</v>
      </c>
      <c r="CU149" s="113">
        <v>0</v>
      </c>
      <c r="CV149" s="113">
        <v>0</v>
      </c>
      <c r="CW149" s="113">
        <v>0</v>
      </c>
      <c r="CX149" s="113">
        <v>0</v>
      </c>
      <c r="CY149" s="113">
        <v>0</v>
      </c>
      <c r="CZ149" s="113">
        <v>0</v>
      </c>
      <c r="DA149" s="113">
        <v>0</v>
      </c>
      <c r="DB149" s="113">
        <v>0</v>
      </c>
      <c r="DC149" s="113">
        <v>0</v>
      </c>
      <c r="DD149" s="113">
        <v>0</v>
      </c>
      <c r="DE149" s="113">
        <v>0</v>
      </c>
      <c r="DF149" s="113">
        <v>0</v>
      </c>
      <c r="DG149" s="113">
        <v>0</v>
      </c>
      <c r="DH149" s="113">
        <v>0</v>
      </c>
      <c r="DI149" s="113">
        <v>0</v>
      </c>
      <c r="DJ149" s="113">
        <v>0</v>
      </c>
      <c r="DK149" s="113">
        <v>0</v>
      </c>
      <c r="DL149" s="113">
        <v>0</v>
      </c>
      <c r="DM149" s="113">
        <v>0</v>
      </c>
      <c r="DN149" s="113">
        <v>0</v>
      </c>
      <c r="DO149" s="113">
        <v>0</v>
      </c>
      <c r="DP149" s="113">
        <v>0</v>
      </c>
      <c r="DQ149" s="113">
        <v>0</v>
      </c>
      <c r="DR149" s="113">
        <v>0</v>
      </c>
      <c r="DS149" s="113">
        <v>0</v>
      </c>
      <c r="DT149" s="113">
        <v>0</v>
      </c>
      <c r="DU149" s="113">
        <v>0</v>
      </c>
      <c r="DV149" s="113">
        <v>0</v>
      </c>
      <c r="DW149" s="113">
        <v>0</v>
      </c>
      <c r="DX149" s="113">
        <v>0</v>
      </c>
      <c r="DY149" s="113">
        <v>0</v>
      </c>
      <c r="DZ149" s="113">
        <v>0</v>
      </c>
      <c r="EA149" s="113">
        <v>0</v>
      </c>
      <c r="EB149" s="113">
        <v>0</v>
      </c>
      <c r="EC149" s="113">
        <v>0</v>
      </c>
      <c r="ED149" s="113">
        <v>0</v>
      </c>
      <c r="EE149" s="113">
        <v>0</v>
      </c>
      <c r="EF149" s="113">
        <v>0</v>
      </c>
      <c r="EG149" s="113">
        <v>0</v>
      </c>
      <c r="EH149" s="113">
        <v>0</v>
      </c>
      <c r="EI149" s="113">
        <v>0</v>
      </c>
      <c r="EJ149" s="113">
        <v>0</v>
      </c>
      <c r="EK149" s="113">
        <v>0</v>
      </c>
      <c r="EL149" s="113">
        <v>0</v>
      </c>
      <c r="EM149" s="113">
        <v>0</v>
      </c>
      <c r="EN149" s="113">
        <v>0</v>
      </c>
      <c r="EO149" s="113">
        <v>0</v>
      </c>
      <c r="EP149" s="113">
        <v>0</v>
      </c>
      <c r="EQ149" s="113">
        <v>0</v>
      </c>
      <c r="ER149" s="113">
        <v>0</v>
      </c>
      <c r="ES149" s="113">
        <v>0</v>
      </c>
      <c r="ET149" s="113">
        <v>0</v>
      </c>
      <c r="EU149" s="113">
        <v>0</v>
      </c>
      <c r="EV149" s="113">
        <v>0</v>
      </c>
      <c r="EW149" s="113">
        <v>0</v>
      </c>
      <c r="EX149" s="113">
        <v>0</v>
      </c>
      <c r="EY149" s="113">
        <v>0</v>
      </c>
      <c r="EZ149" s="113">
        <v>0</v>
      </c>
      <c r="FA149" s="113">
        <v>0</v>
      </c>
      <c r="FB149" s="113">
        <v>0</v>
      </c>
      <c r="FC149" s="113">
        <v>0</v>
      </c>
      <c r="FD149" s="113">
        <v>0</v>
      </c>
      <c r="FE149" s="113">
        <v>0</v>
      </c>
      <c r="FF149" s="113">
        <v>0</v>
      </c>
      <c r="FG149" s="113">
        <v>0</v>
      </c>
      <c r="FH149" s="113">
        <v>0</v>
      </c>
      <c r="FI149" s="113">
        <v>0</v>
      </c>
      <c r="FJ149" s="113">
        <v>0</v>
      </c>
      <c r="FK149" s="113">
        <v>0</v>
      </c>
      <c r="FL149" s="113">
        <v>0</v>
      </c>
      <c r="FM149" s="113">
        <v>0</v>
      </c>
      <c r="FN149" s="113">
        <v>0</v>
      </c>
      <c r="FO149" s="113">
        <v>0</v>
      </c>
      <c r="FP149" s="113">
        <v>0</v>
      </c>
      <c r="FQ149" s="113">
        <v>0</v>
      </c>
      <c r="FR149" s="113">
        <v>0</v>
      </c>
      <c r="FS149" s="113">
        <v>0</v>
      </c>
      <c r="FT149" s="113">
        <v>0</v>
      </c>
      <c r="FU149" s="113">
        <v>0</v>
      </c>
      <c r="FV149" s="113">
        <v>0</v>
      </c>
      <c r="FW149" s="113">
        <v>0</v>
      </c>
      <c r="FX149" s="32">
        <v>0</v>
      </c>
      <c r="FY149" s="30">
        <v>0</v>
      </c>
      <c r="FZ149" s="30">
        <v>0</v>
      </c>
    </row>
    <row r="150" spans="1:182" x14ac:dyDescent="0.2">
      <c r="A150" s="28">
        <v>36130</v>
      </c>
      <c r="B150" s="28"/>
      <c r="C150" s="29">
        <v>490454</v>
      </c>
      <c r="D150" s="29">
        <v>244596</v>
      </c>
      <c r="E150" s="29">
        <f t="shared" si="4"/>
        <v>735050</v>
      </c>
      <c r="F150" s="30">
        <v>15015166</v>
      </c>
      <c r="G150" s="30">
        <v>333594</v>
      </c>
      <c r="H150" s="30">
        <f t="shared" si="5"/>
        <v>15348760</v>
      </c>
      <c r="I150" s="42" t="s">
        <v>75</v>
      </c>
      <c r="J150" s="42" t="s">
        <v>75</v>
      </c>
      <c r="K150" s="32">
        <v>7104391</v>
      </c>
      <c r="L150" s="31" t="s">
        <v>75</v>
      </c>
      <c r="M150" s="31" t="s">
        <v>75</v>
      </c>
      <c r="N150" s="30">
        <v>22040150</v>
      </c>
      <c r="O150" s="31" t="s">
        <v>75</v>
      </c>
      <c r="P150" s="31" t="s">
        <v>75</v>
      </c>
      <c r="Q150" s="30">
        <v>24216400</v>
      </c>
      <c r="R150" s="31" t="s">
        <v>75</v>
      </c>
      <c r="S150" s="31" t="s">
        <v>75</v>
      </c>
      <c r="T150" s="32">
        <v>90443</v>
      </c>
      <c r="U150" s="31" t="s">
        <v>75</v>
      </c>
      <c r="V150" s="31" t="s">
        <v>75</v>
      </c>
      <c r="W150" s="31" t="s">
        <v>75</v>
      </c>
      <c r="X150" s="31" t="s">
        <v>75</v>
      </c>
      <c r="Y150" s="31" t="s">
        <v>75</v>
      </c>
      <c r="Z150" s="30">
        <v>177326</v>
      </c>
      <c r="AA150" s="31" t="s">
        <v>75</v>
      </c>
      <c r="AB150" s="31" t="s">
        <v>75</v>
      </c>
      <c r="AC150" s="30">
        <v>173368</v>
      </c>
      <c r="AD150" s="31" t="s">
        <v>75</v>
      </c>
      <c r="AE150" s="31" t="s">
        <v>75</v>
      </c>
      <c r="AF150" s="30">
        <v>95410</v>
      </c>
      <c r="AG150" s="42" t="s">
        <v>75</v>
      </c>
      <c r="AH150" s="42" t="s">
        <v>75</v>
      </c>
      <c r="AI150" s="32">
        <v>94279</v>
      </c>
      <c r="AJ150" s="31" t="s">
        <v>75</v>
      </c>
      <c r="AK150" s="31" t="s">
        <v>75</v>
      </c>
      <c r="AL150" s="31" t="s">
        <v>75</v>
      </c>
      <c r="AM150" s="31"/>
      <c r="AN150" s="31"/>
      <c r="AO150" s="31"/>
      <c r="AP150" s="31"/>
      <c r="AQ150" s="31"/>
      <c r="AR150" s="31"/>
      <c r="AS150" s="31" t="s">
        <v>75</v>
      </c>
      <c r="AT150" s="31" t="s">
        <v>75</v>
      </c>
      <c r="AU150" s="31" t="s">
        <v>75</v>
      </c>
      <c r="AV150" s="31" t="s">
        <v>75</v>
      </c>
      <c r="AW150" s="31" t="s">
        <v>75</v>
      </c>
      <c r="AX150" s="31" t="s">
        <v>75</v>
      </c>
      <c r="AY150" s="31" t="s">
        <v>75</v>
      </c>
      <c r="AZ150" s="31" t="s">
        <v>75</v>
      </c>
      <c r="BA150" s="29">
        <v>20618940</v>
      </c>
      <c r="BB150" s="31" t="s">
        <v>75</v>
      </c>
      <c r="BC150" s="31" t="s">
        <v>75</v>
      </c>
      <c r="BD150" s="29">
        <v>1283295</v>
      </c>
      <c r="BE150" s="113">
        <v>0</v>
      </c>
      <c r="BF150" s="113">
        <v>0</v>
      </c>
      <c r="BG150" s="113">
        <v>0</v>
      </c>
      <c r="BH150" s="113">
        <v>0</v>
      </c>
      <c r="BI150" s="113">
        <v>0</v>
      </c>
      <c r="BJ150" s="113">
        <v>0</v>
      </c>
      <c r="BK150" s="113">
        <v>0</v>
      </c>
      <c r="BL150" s="113">
        <v>0</v>
      </c>
      <c r="BM150" s="113">
        <v>0</v>
      </c>
      <c r="BN150" s="113">
        <v>0</v>
      </c>
      <c r="BO150" s="113">
        <v>0</v>
      </c>
      <c r="BP150" s="113">
        <v>0</v>
      </c>
      <c r="BQ150" s="113">
        <v>0</v>
      </c>
      <c r="BR150" s="113">
        <v>0</v>
      </c>
      <c r="BS150" s="113">
        <v>0</v>
      </c>
      <c r="BT150" s="113">
        <v>0</v>
      </c>
      <c r="BU150" s="113">
        <v>0</v>
      </c>
      <c r="BV150" s="113">
        <v>0</v>
      </c>
      <c r="BW150" s="113"/>
      <c r="BX150" s="113"/>
      <c r="BY150" s="113"/>
      <c r="BZ150" s="113">
        <v>0</v>
      </c>
      <c r="CA150" s="113">
        <v>0</v>
      </c>
      <c r="CB150" s="113">
        <v>0</v>
      </c>
      <c r="CC150" s="113"/>
      <c r="CD150" s="113"/>
      <c r="CE150" s="113"/>
      <c r="CF150" s="113">
        <v>0</v>
      </c>
      <c r="CG150" s="113">
        <v>0</v>
      </c>
      <c r="CH150" s="113">
        <v>0</v>
      </c>
      <c r="CI150" s="113">
        <v>0</v>
      </c>
      <c r="CJ150" s="113">
        <v>0</v>
      </c>
      <c r="CK150" s="113">
        <v>0</v>
      </c>
      <c r="CL150" s="113">
        <v>0</v>
      </c>
      <c r="CM150" s="113">
        <v>0</v>
      </c>
      <c r="CN150" s="113">
        <v>0</v>
      </c>
      <c r="CO150" s="113">
        <v>0</v>
      </c>
      <c r="CP150" s="113">
        <v>0</v>
      </c>
      <c r="CQ150" s="113">
        <v>0</v>
      </c>
      <c r="CR150" s="113">
        <v>0</v>
      </c>
      <c r="CS150" s="113">
        <v>0</v>
      </c>
      <c r="CT150" s="113">
        <v>0</v>
      </c>
      <c r="CU150" s="113">
        <v>0</v>
      </c>
      <c r="CV150" s="113">
        <v>0</v>
      </c>
      <c r="CW150" s="113">
        <v>0</v>
      </c>
      <c r="CX150" s="113">
        <v>0</v>
      </c>
      <c r="CY150" s="113">
        <v>0</v>
      </c>
      <c r="CZ150" s="113">
        <v>0</v>
      </c>
      <c r="DA150" s="113">
        <v>0</v>
      </c>
      <c r="DB150" s="113">
        <v>0</v>
      </c>
      <c r="DC150" s="113">
        <v>0</v>
      </c>
      <c r="DD150" s="113">
        <v>0</v>
      </c>
      <c r="DE150" s="113">
        <v>0</v>
      </c>
      <c r="DF150" s="113">
        <v>0</v>
      </c>
      <c r="DG150" s="113">
        <v>0</v>
      </c>
      <c r="DH150" s="113">
        <v>0</v>
      </c>
      <c r="DI150" s="113">
        <v>0</v>
      </c>
      <c r="DJ150" s="113">
        <v>0</v>
      </c>
      <c r="DK150" s="113">
        <v>0</v>
      </c>
      <c r="DL150" s="113">
        <v>0</v>
      </c>
      <c r="DM150" s="113">
        <v>0</v>
      </c>
      <c r="DN150" s="113">
        <v>0</v>
      </c>
      <c r="DO150" s="113">
        <v>0</v>
      </c>
      <c r="DP150" s="113">
        <v>0</v>
      </c>
      <c r="DQ150" s="113">
        <v>0</v>
      </c>
      <c r="DR150" s="113">
        <v>0</v>
      </c>
      <c r="DS150" s="113">
        <v>0</v>
      </c>
      <c r="DT150" s="113">
        <v>0</v>
      </c>
      <c r="DU150" s="113">
        <v>0</v>
      </c>
      <c r="DV150" s="113">
        <v>0</v>
      </c>
      <c r="DW150" s="113">
        <v>0</v>
      </c>
      <c r="DX150" s="113">
        <v>0</v>
      </c>
      <c r="DY150" s="113">
        <v>0</v>
      </c>
      <c r="DZ150" s="113">
        <v>0</v>
      </c>
      <c r="EA150" s="113">
        <v>0</v>
      </c>
      <c r="EB150" s="113">
        <v>0</v>
      </c>
      <c r="EC150" s="113">
        <v>0</v>
      </c>
      <c r="ED150" s="113">
        <v>0</v>
      </c>
      <c r="EE150" s="113">
        <v>0</v>
      </c>
      <c r="EF150" s="113">
        <v>0</v>
      </c>
      <c r="EG150" s="113">
        <v>0</v>
      </c>
      <c r="EH150" s="113">
        <v>0</v>
      </c>
      <c r="EI150" s="113">
        <v>0</v>
      </c>
      <c r="EJ150" s="113">
        <v>0</v>
      </c>
      <c r="EK150" s="113">
        <v>0</v>
      </c>
      <c r="EL150" s="113">
        <v>0</v>
      </c>
      <c r="EM150" s="113">
        <v>0</v>
      </c>
      <c r="EN150" s="113">
        <v>0</v>
      </c>
      <c r="EO150" s="113">
        <v>0</v>
      </c>
      <c r="EP150" s="113">
        <v>0</v>
      </c>
      <c r="EQ150" s="113">
        <v>0</v>
      </c>
      <c r="ER150" s="113">
        <v>0</v>
      </c>
      <c r="ES150" s="113">
        <v>0</v>
      </c>
      <c r="ET150" s="113">
        <v>0</v>
      </c>
      <c r="EU150" s="113">
        <v>0</v>
      </c>
      <c r="EV150" s="113">
        <v>0</v>
      </c>
      <c r="EW150" s="113">
        <v>0</v>
      </c>
      <c r="EX150" s="113">
        <v>0</v>
      </c>
      <c r="EY150" s="113">
        <v>0</v>
      </c>
      <c r="EZ150" s="113">
        <v>0</v>
      </c>
      <c r="FA150" s="113">
        <v>0</v>
      </c>
      <c r="FB150" s="113">
        <v>0</v>
      </c>
      <c r="FC150" s="113">
        <v>0</v>
      </c>
      <c r="FD150" s="113">
        <v>0</v>
      </c>
      <c r="FE150" s="113">
        <v>0</v>
      </c>
      <c r="FF150" s="113">
        <v>0</v>
      </c>
      <c r="FG150" s="113">
        <v>0</v>
      </c>
      <c r="FH150" s="113">
        <v>0</v>
      </c>
      <c r="FI150" s="113">
        <v>0</v>
      </c>
      <c r="FJ150" s="113">
        <v>0</v>
      </c>
      <c r="FK150" s="113">
        <v>0</v>
      </c>
      <c r="FL150" s="113">
        <v>0</v>
      </c>
      <c r="FM150" s="113">
        <v>0</v>
      </c>
      <c r="FN150" s="113">
        <v>0</v>
      </c>
      <c r="FO150" s="113">
        <v>0</v>
      </c>
      <c r="FP150" s="113">
        <v>0</v>
      </c>
      <c r="FQ150" s="113">
        <v>0</v>
      </c>
      <c r="FR150" s="113">
        <v>0</v>
      </c>
      <c r="FS150" s="113">
        <v>0</v>
      </c>
      <c r="FT150" s="113">
        <v>0</v>
      </c>
      <c r="FU150" s="113">
        <v>0</v>
      </c>
      <c r="FV150" s="113">
        <v>0</v>
      </c>
      <c r="FW150" s="113">
        <v>0</v>
      </c>
      <c r="FX150" s="32">
        <v>0</v>
      </c>
      <c r="FY150" s="30">
        <v>0</v>
      </c>
      <c r="FZ150" s="30">
        <v>0</v>
      </c>
    </row>
    <row r="151" spans="1:182" x14ac:dyDescent="0.2">
      <c r="A151" s="28">
        <v>36161</v>
      </c>
      <c r="B151" s="28"/>
      <c r="C151" s="29">
        <v>165411</v>
      </c>
      <c r="D151" s="29">
        <v>69731</v>
      </c>
      <c r="E151" s="29">
        <f t="shared" si="4"/>
        <v>235142</v>
      </c>
      <c r="F151" s="30">
        <v>5294267</v>
      </c>
      <c r="G151" s="30">
        <v>230467</v>
      </c>
      <c r="H151" s="30">
        <f t="shared" si="5"/>
        <v>5524734</v>
      </c>
      <c r="I151" s="42" t="s">
        <v>75</v>
      </c>
      <c r="J151" s="42" t="s">
        <v>75</v>
      </c>
      <c r="K151" s="32">
        <v>4280152</v>
      </c>
      <c r="L151" s="31" t="s">
        <v>75</v>
      </c>
      <c r="M151" s="31" t="s">
        <v>75</v>
      </c>
      <c r="N151" s="30">
        <v>9645691</v>
      </c>
      <c r="O151" s="31" t="s">
        <v>75</v>
      </c>
      <c r="P151" s="31" t="s">
        <v>75</v>
      </c>
      <c r="Q151" s="30">
        <v>17375977</v>
      </c>
      <c r="R151" s="31" t="s">
        <v>75</v>
      </c>
      <c r="S151" s="31" t="s">
        <v>75</v>
      </c>
      <c r="T151" s="32">
        <v>129373</v>
      </c>
      <c r="U151" s="31" t="s">
        <v>75</v>
      </c>
      <c r="V151" s="31" t="s">
        <v>75</v>
      </c>
      <c r="W151" s="31" t="s">
        <v>75</v>
      </c>
      <c r="X151" s="31" t="s">
        <v>75</v>
      </c>
      <c r="Y151" s="31" t="s">
        <v>75</v>
      </c>
      <c r="Z151" s="30">
        <v>42483</v>
      </c>
      <c r="AA151" s="31" t="s">
        <v>75</v>
      </c>
      <c r="AB151" s="31" t="s">
        <v>75</v>
      </c>
      <c r="AC151" s="30">
        <v>77605</v>
      </c>
      <c r="AD151" s="31" t="s">
        <v>75</v>
      </c>
      <c r="AE151" s="31" t="s">
        <v>75</v>
      </c>
      <c r="AF151" s="30">
        <v>22618</v>
      </c>
      <c r="AG151" s="42" t="s">
        <v>75</v>
      </c>
      <c r="AH151" s="42" t="s">
        <v>75</v>
      </c>
      <c r="AI151" s="32">
        <v>57991</v>
      </c>
      <c r="AJ151" s="31" t="s">
        <v>75</v>
      </c>
      <c r="AK151" s="31" t="s">
        <v>75</v>
      </c>
      <c r="AL151" s="31" t="s">
        <v>75</v>
      </c>
      <c r="AM151" s="31"/>
      <c r="AN151" s="31"/>
      <c r="AO151" s="31"/>
      <c r="AP151" s="31"/>
      <c r="AQ151" s="31"/>
      <c r="AR151" s="31"/>
      <c r="AS151" s="31" t="s">
        <v>75</v>
      </c>
      <c r="AT151" s="31" t="s">
        <v>75</v>
      </c>
      <c r="AU151" s="31" t="s">
        <v>75</v>
      </c>
      <c r="AV151" s="31" t="s">
        <v>75</v>
      </c>
      <c r="AW151" s="31" t="s">
        <v>75</v>
      </c>
      <c r="AX151" s="31" t="s">
        <v>75</v>
      </c>
      <c r="AY151" s="31" t="s">
        <v>75</v>
      </c>
      <c r="AZ151" s="31" t="s">
        <v>75</v>
      </c>
      <c r="BA151" s="29">
        <v>14625011</v>
      </c>
      <c r="BB151" s="31" t="s">
        <v>75</v>
      </c>
      <c r="BC151" s="31" t="s">
        <v>75</v>
      </c>
      <c r="BD151" s="29">
        <v>709546</v>
      </c>
      <c r="BE151" s="113">
        <v>0</v>
      </c>
      <c r="BF151" s="113">
        <v>0</v>
      </c>
      <c r="BG151" s="113">
        <v>0</v>
      </c>
      <c r="BH151" s="113">
        <v>0</v>
      </c>
      <c r="BI151" s="113">
        <v>0</v>
      </c>
      <c r="BJ151" s="113">
        <v>0</v>
      </c>
      <c r="BK151" s="113">
        <v>0</v>
      </c>
      <c r="BL151" s="113">
        <v>0</v>
      </c>
      <c r="BM151" s="113">
        <v>0</v>
      </c>
      <c r="BN151" s="113">
        <v>0</v>
      </c>
      <c r="BO151" s="113">
        <v>0</v>
      </c>
      <c r="BP151" s="113">
        <v>0</v>
      </c>
      <c r="BQ151" s="113">
        <v>0</v>
      </c>
      <c r="BR151" s="113">
        <v>0</v>
      </c>
      <c r="BS151" s="113">
        <v>0</v>
      </c>
      <c r="BT151" s="113">
        <v>0</v>
      </c>
      <c r="BU151" s="113">
        <v>0</v>
      </c>
      <c r="BV151" s="113">
        <v>0</v>
      </c>
      <c r="BW151" s="113"/>
      <c r="BX151" s="113"/>
      <c r="BY151" s="113"/>
      <c r="BZ151" s="113">
        <v>0</v>
      </c>
      <c r="CA151" s="113">
        <v>0</v>
      </c>
      <c r="CB151" s="113">
        <v>0</v>
      </c>
      <c r="CC151" s="113"/>
      <c r="CD151" s="113"/>
      <c r="CE151" s="113"/>
      <c r="CF151" s="113">
        <v>0</v>
      </c>
      <c r="CG151" s="113">
        <v>0</v>
      </c>
      <c r="CH151" s="113">
        <v>0</v>
      </c>
      <c r="CI151" s="113">
        <v>0</v>
      </c>
      <c r="CJ151" s="113">
        <v>0</v>
      </c>
      <c r="CK151" s="113">
        <v>0</v>
      </c>
      <c r="CL151" s="113">
        <v>0</v>
      </c>
      <c r="CM151" s="113">
        <v>0</v>
      </c>
      <c r="CN151" s="113">
        <v>0</v>
      </c>
      <c r="CO151" s="113">
        <v>0</v>
      </c>
      <c r="CP151" s="113">
        <v>0</v>
      </c>
      <c r="CQ151" s="113">
        <v>0</v>
      </c>
      <c r="CR151" s="113">
        <v>0</v>
      </c>
      <c r="CS151" s="113">
        <v>0</v>
      </c>
      <c r="CT151" s="113">
        <v>0</v>
      </c>
      <c r="CU151" s="113">
        <v>0</v>
      </c>
      <c r="CV151" s="113">
        <v>0</v>
      </c>
      <c r="CW151" s="113">
        <v>0</v>
      </c>
      <c r="CX151" s="113">
        <v>0</v>
      </c>
      <c r="CY151" s="113">
        <v>0</v>
      </c>
      <c r="CZ151" s="113">
        <v>0</v>
      </c>
      <c r="DA151" s="113">
        <v>0</v>
      </c>
      <c r="DB151" s="113">
        <v>0</v>
      </c>
      <c r="DC151" s="113">
        <v>0</v>
      </c>
      <c r="DD151" s="113">
        <v>0</v>
      </c>
      <c r="DE151" s="113">
        <v>0</v>
      </c>
      <c r="DF151" s="113">
        <v>0</v>
      </c>
      <c r="DG151" s="113">
        <v>0</v>
      </c>
      <c r="DH151" s="113">
        <v>0</v>
      </c>
      <c r="DI151" s="113">
        <v>0</v>
      </c>
      <c r="DJ151" s="113">
        <v>0</v>
      </c>
      <c r="DK151" s="113">
        <v>0</v>
      </c>
      <c r="DL151" s="113">
        <v>0</v>
      </c>
      <c r="DM151" s="113">
        <v>0</v>
      </c>
      <c r="DN151" s="113">
        <v>0</v>
      </c>
      <c r="DO151" s="113">
        <v>0</v>
      </c>
      <c r="DP151" s="113">
        <v>0</v>
      </c>
      <c r="DQ151" s="113">
        <v>0</v>
      </c>
      <c r="DR151" s="113">
        <v>0</v>
      </c>
      <c r="DS151" s="113">
        <v>0</v>
      </c>
      <c r="DT151" s="113">
        <v>0</v>
      </c>
      <c r="DU151" s="113">
        <v>0</v>
      </c>
      <c r="DV151" s="113">
        <v>0</v>
      </c>
      <c r="DW151" s="113">
        <v>0</v>
      </c>
      <c r="DX151" s="113">
        <v>0</v>
      </c>
      <c r="DY151" s="113">
        <v>0</v>
      </c>
      <c r="DZ151" s="113">
        <v>0</v>
      </c>
      <c r="EA151" s="113">
        <v>0</v>
      </c>
      <c r="EB151" s="113">
        <v>0</v>
      </c>
      <c r="EC151" s="113">
        <v>0</v>
      </c>
      <c r="ED151" s="113">
        <v>0</v>
      </c>
      <c r="EE151" s="113">
        <v>0</v>
      </c>
      <c r="EF151" s="113">
        <v>0</v>
      </c>
      <c r="EG151" s="113">
        <v>0</v>
      </c>
      <c r="EH151" s="113">
        <v>0</v>
      </c>
      <c r="EI151" s="113">
        <v>0</v>
      </c>
      <c r="EJ151" s="113">
        <v>0</v>
      </c>
      <c r="EK151" s="113">
        <v>0</v>
      </c>
      <c r="EL151" s="113">
        <v>0</v>
      </c>
      <c r="EM151" s="113">
        <v>0</v>
      </c>
      <c r="EN151" s="113">
        <v>0</v>
      </c>
      <c r="EO151" s="113">
        <v>0</v>
      </c>
      <c r="EP151" s="113">
        <v>0</v>
      </c>
      <c r="EQ151" s="113">
        <v>0</v>
      </c>
      <c r="ER151" s="113">
        <v>0</v>
      </c>
      <c r="ES151" s="113">
        <v>0</v>
      </c>
      <c r="ET151" s="113">
        <v>0</v>
      </c>
      <c r="EU151" s="113">
        <v>0</v>
      </c>
      <c r="EV151" s="113">
        <v>0</v>
      </c>
      <c r="EW151" s="113">
        <v>0</v>
      </c>
      <c r="EX151" s="113">
        <v>0</v>
      </c>
      <c r="EY151" s="113">
        <v>0</v>
      </c>
      <c r="EZ151" s="113">
        <v>0</v>
      </c>
      <c r="FA151" s="113">
        <v>0</v>
      </c>
      <c r="FB151" s="113">
        <v>0</v>
      </c>
      <c r="FC151" s="113">
        <v>0</v>
      </c>
      <c r="FD151" s="113">
        <v>0</v>
      </c>
      <c r="FE151" s="113">
        <v>0</v>
      </c>
      <c r="FF151" s="113">
        <v>0</v>
      </c>
      <c r="FG151" s="113">
        <v>0</v>
      </c>
      <c r="FH151" s="113">
        <v>0</v>
      </c>
      <c r="FI151" s="113">
        <v>0</v>
      </c>
      <c r="FJ151" s="113">
        <v>0</v>
      </c>
      <c r="FK151" s="113">
        <v>0</v>
      </c>
      <c r="FL151" s="113">
        <v>0</v>
      </c>
      <c r="FM151" s="113">
        <v>0</v>
      </c>
      <c r="FN151" s="113">
        <v>0</v>
      </c>
      <c r="FO151" s="113">
        <v>0</v>
      </c>
      <c r="FP151" s="113">
        <v>0</v>
      </c>
      <c r="FQ151" s="113">
        <v>0</v>
      </c>
      <c r="FR151" s="113">
        <v>0</v>
      </c>
      <c r="FS151" s="113">
        <v>0</v>
      </c>
      <c r="FT151" s="113">
        <v>0</v>
      </c>
      <c r="FU151" s="113">
        <v>0</v>
      </c>
      <c r="FV151" s="113">
        <v>0</v>
      </c>
      <c r="FW151" s="113">
        <v>0</v>
      </c>
      <c r="FX151" s="32">
        <v>0</v>
      </c>
      <c r="FY151" s="30">
        <v>0</v>
      </c>
      <c r="FZ151" s="30">
        <v>0</v>
      </c>
    </row>
    <row r="152" spans="1:182" x14ac:dyDescent="0.2">
      <c r="A152" s="28">
        <v>36192</v>
      </c>
      <c r="B152" s="28"/>
      <c r="C152" s="29">
        <v>215537</v>
      </c>
      <c r="D152" s="29">
        <v>76729</v>
      </c>
      <c r="E152" s="29">
        <f t="shared" si="4"/>
        <v>292266</v>
      </c>
      <c r="F152" s="30">
        <v>6421369</v>
      </c>
      <c r="G152" s="30">
        <v>168299</v>
      </c>
      <c r="H152" s="30">
        <f t="shared" si="5"/>
        <v>6589668</v>
      </c>
      <c r="I152" s="42" t="s">
        <v>75</v>
      </c>
      <c r="J152" s="42" t="s">
        <v>75</v>
      </c>
      <c r="K152" s="32">
        <v>4287143</v>
      </c>
      <c r="L152" s="31" t="s">
        <v>75</v>
      </c>
      <c r="M152" s="31" t="s">
        <v>75</v>
      </c>
      <c r="N152" s="30">
        <v>11184337</v>
      </c>
      <c r="O152" s="31" t="s">
        <v>75</v>
      </c>
      <c r="P152" s="31" t="s">
        <v>75</v>
      </c>
      <c r="Q152" s="30">
        <v>18292095</v>
      </c>
      <c r="R152" s="31" t="s">
        <v>75</v>
      </c>
      <c r="S152" s="31" t="s">
        <v>75</v>
      </c>
      <c r="T152" s="32">
        <v>130150</v>
      </c>
      <c r="U152" s="31" t="s">
        <v>75</v>
      </c>
      <c r="V152" s="31" t="s">
        <v>75</v>
      </c>
      <c r="W152" s="31" t="s">
        <v>75</v>
      </c>
      <c r="X152" s="31" t="s">
        <v>75</v>
      </c>
      <c r="Y152" s="31" t="s">
        <v>75</v>
      </c>
      <c r="Z152" s="30">
        <v>46534</v>
      </c>
      <c r="AA152" s="31" t="s">
        <v>75</v>
      </c>
      <c r="AB152" s="31" t="s">
        <v>75</v>
      </c>
      <c r="AC152" s="30">
        <v>107672</v>
      </c>
      <c r="AD152" s="31" t="s">
        <v>75</v>
      </c>
      <c r="AE152" s="31" t="s">
        <v>75</v>
      </c>
      <c r="AF152" s="30">
        <v>10296</v>
      </c>
      <c r="AG152" s="42" t="s">
        <v>75</v>
      </c>
      <c r="AH152" s="42" t="s">
        <v>75</v>
      </c>
      <c r="AI152" s="32">
        <v>64596</v>
      </c>
      <c r="AJ152" s="31" t="s">
        <v>75</v>
      </c>
      <c r="AK152" s="31" t="s">
        <v>75</v>
      </c>
      <c r="AL152" s="31" t="s">
        <v>75</v>
      </c>
      <c r="AM152" s="31"/>
      <c r="AN152" s="31"/>
      <c r="AO152" s="31"/>
      <c r="AP152" s="31"/>
      <c r="AQ152" s="31"/>
      <c r="AR152" s="31"/>
      <c r="AS152" s="31" t="s">
        <v>75</v>
      </c>
      <c r="AT152" s="31" t="s">
        <v>75</v>
      </c>
      <c r="AU152" s="31" t="s">
        <v>75</v>
      </c>
      <c r="AV152" s="31" t="s">
        <v>75</v>
      </c>
      <c r="AW152" s="31" t="s">
        <v>75</v>
      </c>
      <c r="AX152" s="31" t="s">
        <v>75</v>
      </c>
      <c r="AY152" s="31" t="s">
        <v>75</v>
      </c>
      <c r="AZ152" s="31" t="s">
        <v>75</v>
      </c>
      <c r="BA152" s="29">
        <v>14227723</v>
      </c>
      <c r="BB152" s="31" t="s">
        <v>75</v>
      </c>
      <c r="BC152" s="31" t="s">
        <v>75</v>
      </c>
      <c r="BD152" s="29">
        <v>957323</v>
      </c>
      <c r="BE152" s="113">
        <v>0</v>
      </c>
      <c r="BF152" s="113">
        <v>0</v>
      </c>
      <c r="BG152" s="113">
        <v>0</v>
      </c>
      <c r="BH152" s="113">
        <v>0</v>
      </c>
      <c r="BI152" s="113">
        <v>0</v>
      </c>
      <c r="BJ152" s="113">
        <v>0</v>
      </c>
      <c r="BK152" s="113">
        <v>0</v>
      </c>
      <c r="BL152" s="113">
        <v>0</v>
      </c>
      <c r="BM152" s="113">
        <v>0</v>
      </c>
      <c r="BN152" s="113">
        <v>0</v>
      </c>
      <c r="BO152" s="113">
        <v>0</v>
      </c>
      <c r="BP152" s="113">
        <v>0</v>
      </c>
      <c r="BQ152" s="113">
        <v>0</v>
      </c>
      <c r="BR152" s="113">
        <v>0</v>
      </c>
      <c r="BS152" s="113">
        <v>0</v>
      </c>
      <c r="BT152" s="113">
        <v>0</v>
      </c>
      <c r="BU152" s="113">
        <v>0</v>
      </c>
      <c r="BV152" s="113">
        <v>0</v>
      </c>
      <c r="BW152" s="113"/>
      <c r="BX152" s="113"/>
      <c r="BY152" s="113"/>
      <c r="BZ152" s="113">
        <v>0</v>
      </c>
      <c r="CA152" s="113">
        <v>0</v>
      </c>
      <c r="CB152" s="113">
        <v>0</v>
      </c>
      <c r="CC152" s="113"/>
      <c r="CD152" s="113"/>
      <c r="CE152" s="113"/>
      <c r="CF152" s="113">
        <v>0</v>
      </c>
      <c r="CG152" s="113">
        <v>0</v>
      </c>
      <c r="CH152" s="113">
        <v>0</v>
      </c>
      <c r="CI152" s="113">
        <v>0</v>
      </c>
      <c r="CJ152" s="113">
        <v>0</v>
      </c>
      <c r="CK152" s="113">
        <v>0</v>
      </c>
      <c r="CL152" s="113">
        <v>0</v>
      </c>
      <c r="CM152" s="113">
        <v>0</v>
      </c>
      <c r="CN152" s="113">
        <v>0</v>
      </c>
      <c r="CO152" s="113">
        <v>0</v>
      </c>
      <c r="CP152" s="113">
        <v>0</v>
      </c>
      <c r="CQ152" s="113">
        <v>0</v>
      </c>
      <c r="CR152" s="113">
        <v>0</v>
      </c>
      <c r="CS152" s="113">
        <v>0</v>
      </c>
      <c r="CT152" s="113">
        <v>0</v>
      </c>
      <c r="CU152" s="113">
        <v>0</v>
      </c>
      <c r="CV152" s="113">
        <v>0</v>
      </c>
      <c r="CW152" s="113">
        <v>0</v>
      </c>
      <c r="CX152" s="113">
        <v>0</v>
      </c>
      <c r="CY152" s="113">
        <v>0</v>
      </c>
      <c r="CZ152" s="113">
        <v>0</v>
      </c>
      <c r="DA152" s="113">
        <v>0</v>
      </c>
      <c r="DB152" s="113">
        <v>0</v>
      </c>
      <c r="DC152" s="113">
        <v>0</v>
      </c>
      <c r="DD152" s="113">
        <v>0</v>
      </c>
      <c r="DE152" s="113">
        <v>0</v>
      </c>
      <c r="DF152" s="113">
        <v>0</v>
      </c>
      <c r="DG152" s="113">
        <v>0</v>
      </c>
      <c r="DH152" s="113">
        <v>0</v>
      </c>
      <c r="DI152" s="113">
        <v>0</v>
      </c>
      <c r="DJ152" s="113">
        <v>0</v>
      </c>
      <c r="DK152" s="113">
        <v>0</v>
      </c>
      <c r="DL152" s="113">
        <v>0</v>
      </c>
      <c r="DM152" s="113">
        <v>0</v>
      </c>
      <c r="DN152" s="113">
        <v>0</v>
      </c>
      <c r="DO152" s="113">
        <v>0</v>
      </c>
      <c r="DP152" s="113">
        <v>0</v>
      </c>
      <c r="DQ152" s="113">
        <v>0</v>
      </c>
      <c r="DR152" s="113">
        <v>0</v>
      </c>
      <c r="DS152" s="113">
        <v>0</v>
      </c>
      <c r="DT152" s="113">
        <v>0</v>
      </c>
      <c r="DU152" s="113">
        <v>0</v>
      </c>
      <c r="DV152" s="113">
        <v>0</v>
      </c>
      <c r="DW152" s="113">
        <v>0</v>
      </c>
      <c r="DX152" s="113">
        <v>0</v>
      </c>
      <c r="DY152" s="113">
        <v>0</v>
      </c>
      <c r="DZ152" s="113">
        <v>0</v>
      </c>
      <c r="EA152" s="113">
        <v>0</v>
      </c>
      <c r="EB152" s="113">
        <v>0</v>
      </c>
      <c r="EC152" s="113">
        <v>0</v>
      </c>
      <c r="ED152" s="113">
        <v>0</v>
      </c>
      <c r="EE152" s="113">
        <v>0</v>
      </c>
      <c r="EF152" s="113">
        <v>0</v>
      </c>
      <c r="EG152" s="113">
        <v>0</v>
      </c>
      <c r="EH152" s="113">
        <v>0</v>
      </c>
      <c r="EI152" s="113">
        <v>0</v>
      </c>
      <c r="EJ152" s="113">
        <v>0</v>
      </c>
      <c r="EK152" s="113">
        <v>0</v>
      </c>
      <c r="EL152" s="113">
        <v>0</v>
      </c>
      <c r="EM152" s="113">
        <v>0</v>
      </c>
      <c r="EN152" s="113">
        <v>0</v>
      </c>
      <c r="EO152" s="113">
        <v>0</v>
      </c>
      <c r="EP152" s="113">
        <v>0</v>
      </c>
      <c r="EQ152" s="113">
        <v>0</v>
      </c>
      <c r="ER152" s="113">
        <v>0</v>
      </c>
      <c r="ES152" s="113">
        <v>0</v>
      </c>
      <c r="ET152" s="113">
        <v>0</v>
      </c>
      <c r="EU152" s="113">
        <v>0</v>
      </c>
      <c r="EV152" s="113">
        <v>0</v>
      </c>
      <c r="EW152" s="113">
        <v>0</v>
      </c>
      <c r="EX152" s="113">
        <v>0</v>
      </c>
      <c r="EY152" s="113">
        <v>0</v>
      </c>
      <c r="EZ152" s="113">
        <v>0</v>
      </c>
      <c r="FA152" s="113">
        <v>0</v>
      </c>
      <c r="FB152" s="113">
        <v>0</v>
      </c>
      <c r="FC152" s="113">
        <v>0</v>
      </c>
      <c r="FD152" s="113">
        <v>0</v>
      </c>
      <c r="FE152" s="113">
        <v>0</v>
      </c>
      <c r="FF152" s="113">
        <v>0</v>
      </c>
      <c r="FG152" s="113">
        <v>0</v>
      </c>
      <c r="FH152" s="113">
        <v>0</v>
      </c>
      <c r="FI152" s="113">
        <v>0</v>
      </c>
      <c r="FJ152" s="113">
        <v>0</v>
      </c>
      <c r="FK152" s="113">
        <v>0</v>
      </c>
      <c r="FL152" s="113">
        <v>0</v>
      </c>
      <c r="FM152" s="113">
        <v>0</v>
      </c>
      <c r="FN152" s="113">
        <v>0</v>
      </c>
      <c r="FO152" s="113">
        <v>0</v>
      </c>
      <c r="FP152" s="113">
        <v>0</v>
      </c>
      <c r="FQ152" s="113">
        <v>0</v>
      </c>
      <c r="FR152" s="113">
        <v>0</v>
      </c>
      <c r="FS152" s="113">
        <v>0</v>
      </c>
      <c r="FT152" s="113">
        <v>0</v>
      </c>
      <c r="FU152" s="113">
        <v>0</v>
      </c>
      <c r="FV152" s="113">
        <v>0</v>
      </c>
      <c r="FW152" s="113">
        <v>0</v>
      </c>
      <c r="FX152" s="32">
        <v>0</v>
      </c>
      <c r="FY152" s="30">
        <v>0</v>
      </c>
      <c r="FZ152" s="30">
        <v>0</v>
      </c>
    </row>
    <row r="153" spans="1:182" x14ac:dyDescent="0.2">
      <c r="A153" s="28">
        <v>36220</v>
      </c>
      <c r="B153" s="28"/>
      <c r="C153" s="29">
        <v>251882</v>
      </c>
      <c r="D153" s="29">
        <v>93585</v>
      </c>
      <c r="E153" s="29">
        <f t="shared" si="4"/>
        <v>345467</v>
      </c>
      <c r="F153" s="30">
        <v>8086388</v>
      </c>
      <c r="G153" s="30">
        <v>153484</v>
      </c>
      <c r="H153" s="30">
        <f t="shared" si="5"/>
        <v>8239872</v>
      </c>
      <c r="I153" s="42" t="s">
        <v>75</v>
      </c>
      <c r="J153" s="42" t="s">
        <v>75</v>
      </c>
      <c r="K153" s="32">
        <v>4859874</v>
      </c>
      <c r="L153" s="31" t="s">
        <v>75</v>
      </c>
      <c r="M153" s="31" t="s">
        <v>75</v>
      </c>
      <c r="N153" s="30">
        <v>12363308</v>
      </c>
      <c r="O153" s="31" t="s">
        <v>75</v>
      </c>
      <c r="P153" s="31" t="s">
        <v>75</v>
      </c>
      <c r="Q153" s="30">
        <v>23358984</v>
      </c>
      <c r="R153" s="31" t="s">
        <v>75</v>
      </c>
      <c r="S153" s="31" t="s">
        <v>75</v>
      </c>
      <c r="T153" s="32">
        <v>162621</v>
      </c>
      <c r="U153" s="31" t="s">
        <v>75</v>
      </c>
      <c r="V153" s="31" t="s">
        <v>75</v>
      </c>
      <c r="W153" s="31" t="s">
        <v>75</v>
      </c>
      <c r="X153" s="31" t="s">
        <v>75</v>
      </c>
      <c r="Y153" s="31" t="s">
        <v>75</v>
      </c>
      <c r="Z153" s="30">
        <v>62643</v>
      </c>
      <c r="AA153" s="31" t="s">
        <v>75</v>
      </c>
      <c r="AB153" s="31" t="s">
        <v>75</v>
      </c>
      <c r="AC153" s="30">
        <v>124918</v>
      </c>
      <c r="AD153" s="31" t="s">
        <v>75</v>
      </c>
      <c r="AE153" s="31" t="s">
        <v>75</v>
      </c>
      <c r="AF153" s="30">
        <v>7583</v>
      </c>
      <c r="AG153" s="42" t="s">
        <v>75</v>
      </c>
      <c r="AH153" s="42" t="s">
        <v>75</v>
      </c>
      <c r="AI153" s="32">
        <v>60906</v>
      </c>
      <c r="AJ153" s="31" t="s">
        <v>75</v>
      </c>
      <c r="AK153" s="31" t="s">
        <v>75</v>
      </c>
      <c r="AL153" s="31" t="s">
        <v>75</v>
      </c>
      <c r="AM153" s="31"/>
      <c r="AN153" s="31"/>
      <c r="AO153" s="31"/>
      <c r="AP153" s="31"/>
      <c r="AQ153" s="31"/>
      <c r="AR153" s="31"/>
      <c r="AS153" s="31" t="s">
        <v>75</v>
      </c>
      <c r="AT153" s="31" t="s">
        <v>75</v>
      </c>
      <c r="AU153" s="31" t="s">
        <v>75</v>
      </c>
      <c r="AV153" s="31" t="s">
        <v>75</v>
      </c>
      <c r="AW153" s="31" t="s">
        <v>75</v>
      </c>
      <c r="AX153" s="31" t="s">
        <v>75</v>
      </c>
      <c r="AY153" s="31" t="s">
        <v>75</v>
      </c>
      <c r="AZ153" s="31" t="s">
        <v>75</v>
      </c>
      <c r="BA153" s="29">
        <v>19176341</v>
      </c>
      <c r="BB153" s="31" t="s">
        <v>75</v>
      </c>
      <c r="BC153" s="31" t="s">
        <v>75</v>
      </c>
      <c r="BD153" s="29">
        <v>1258474</v>
      </c>
      <c r="BE153" s="113">
        <v>0</v>
      </c>
      <c r="BF153" s="113">
        <v>0</v>
      </c>
      <c r="BG153" s="113">
        <v>0</v>
      </c>
      <c r="BH153" s="113">
        <v>0</v>
      </c>
      <c r="BI153" s="113">
        <v>0</v>
      </c>
      <c r="BJ153" s="113">
        <v>0</v>
      </c>
      <c r="BK153" s="113">
        <v>0</v>
      </c>
      <c r="BL153" s="113">
        <v>0</v>
      </c>
      <c r="BM153" s="113">
        <v>0</v>
      </c>
      <c r="BN153" s="113">
        <v>0</v>
      </c>
      <c r="BO153" s="113">
        <v>0</v>
      </c>
      <c r="BP153" s="113">
        <v>0</v>
      </c>
      <c r="BQ153" s="113">
        <v>0</v>
      </c>
      <c r="BR153" s="113">
        <v>0</v>
      </c>
      <c r="BS153" s="113">
        <v>0</v>
      </c>
      <c r="BT153" s="113">
        <v>0</v>
      </c>
      <c r="BU153" s="113">
        <v>0</v>
      </c>
      <c r="BV153" s="113">
        <v>0</v>
      </c>
      <c r="BW153" s="113"/>
      <c r="BX153" s="113"/>
      <c r="BY153" s="113"/>
      <c r="BZ153" s="113">
        <v>0</v>
      </c>
      <c r="CA153" s="113">
        <v>0</v>
      </c>
      <c r="CB153" s="113">
        <v>0</v>
      </c>
      <c r="CC153" s="113"/>
      <c r="CD153" s="113"/>
      <c r="CE153" s="113"/>
      <c r="CF153" s="113">
        <v>0</v>
      </c>
      <c r="CG153" s="113">
        <v>0</v>
      </c>
      <c r="CH153" s="113">
        <v>0</v>
      </c>
      <c r="CI153" s="113">
        <v>0</v>
      </c>
      <c r="CJ153" s="113">
        <v>0</v>
      </c>
      <c r="CK153" s="113">
        <v>0</v>
      </c>
      <c r="CL153" s="113">
        <v>0</v>
      </c>
      <c r="CM153" s="113">
        <v>0</v>
      </c>
      <c r="CN153" s="113">
        <v>0</v>
      </c>
      <c r="CO153" s="113">
        <v>0</v>
      </c>
      <c r="CP153" s="113">
        <v>0</v>
      </c>
      <c r="CQ153" s="113">
        <v>0</v>
      </c>
      <c r="CR153" s="113">
        <v>0</v>
      </c>
      <c r="CS153" s="113">
        <v>0</v>
      </c>
      <c r="CT153" s="113">
        <v>0</v>
      </c>
      <c r="CU153" s="113">
        <v>0</v>
      </c>
      <c r="CV153" s="113">
        <v>0</v>
      </c>
      <c r="CW153" s="113">
        <v>0</v>
      </c>
      <c r="CX153" s="113">
        <v>0</v>
      </c>
      <c r="CY153" s="113">
        <v>0</v>
      </c>
      <c r="CZ153" s="113">
        <v>0</v>
      </c>
      <c r="DA153" s="113">
        <v>0</v>
      </c>
      <c r="DB153" s="113">
        <v>0</v>
      </c>
      <c r="DC153" s="113">
        <v>0</v>
      </c>
      <c r="DD153" s="113">
        <v>0</v>
      </c>
      <c r="DE153" s="113">
        <v>0</v>
      </c>
      <c r="DF153" s="113">
        <v>0</v>
      </c>
      <c r="DG153" s="113">
        <v>0</v>
      </c>
      <c r="DH153" s="113">
        <v>0</v>
      </c>
      <c r="DI153" s="113">
        <v>0</v>
      </c>
      <c r="DJ153" s="113">
        <v>0</v>
      </c>
      <c r="DK153" s="113">
        <v>0</v>
      </c>
      <c r="DL153" s="113">
        <v>0</v>
      </c>
      <c r="DM153" s="113">
        <v>0</v>
      </c>
      <c r="DN153" s="113">
        <v>0</v>
      </c>
      <c r="DO153" s="113">
        <v>0</v>
      </c>
      <c r="DP153" s="113">
        <v>0</v>
      </c>
      <c r="DQ153" s="113">
        <v>0</v>
      </c>
      <c r="DR153" s="113">
        <v>0</v>
      </c>
      <c r="DS153" s="113">
        <v>0</v>
      </c>
      <c r="DT153" s="113">
        <v>0</v>
      </c>
      <c r="DU153" s="113">
        <v>0</v>
      </c>
      <c r="DV153" s="113">
        <v>0</v>
      </c>
      <c r="DW153" s="113">
        <v>0</v>
      </c>
      <c r="DX153" s="113">
        <v>0</v>
      </c>
      <c r="DY153" s="113">
        <v>0</v>
      </c>
      <c r="DZ153" s="113">
        <v>0</v>
      </c>
      <c r="EA153" s="113">
        <v>0</v>
      </c>
      <c r="EB153" s="113">
        <v>0</v>
      </c>
      <c r="EC153" s="113">
        <v>0</v>
      </c>
      <c r="ED153" s="113">
        <v>0</v>
      </c>
      <c r="EE153" s="113">
        <v>0</v>
      </c>
      <c r="EF153" s="113">
        <v>0</v>
      </c>
      <c r="EG153" s="113">
        <v>0</v>
      </c>
      <c r="EH153" s="113">
        <v>0</v>
      </c>
      <c r="EI153" s="113">
        <v>0</v>
      </c>
      <c r="EJ153" s="113">
        <v>0</v>
      </c>
      <c r="EK153" s="113">
        <v>0</v>
      </c>
      <c r="EL153" s="113">
        <v>0</v>
      </c>
      <c r="EM153" s="113">
        <v>0</v>
      </c>
      <c r="EN153" s="113">
        <v>0</v>
      </c>
      <c r="EO153" s="113">
        <v>0</v>
      </c>
      <c r="EP153" s="113">
        <v>0</v>
      </c>
      <c r="EQ153" s="113">
        <v>0</v>
      </c>
      <c r="ER153" s="113">
        <v>0</v>
      </c>
      <c r="ES153" s="113">
        <v>0</v>
      </c>
      <c r="ET153" s="113">
        <v>0</v>
      </c>
      <c r="EU153" s="113">
        <v>0</v>
      </c>
      <c r="EV153" s="113">
        <v>0</v>
      </c>
      <c r="EW153" s="113">
        <v>0</v>
      </c>
      <c r="EX153" s="113">
        <v>0</v>
      </c>
      <c r="EY153" s="113">
        <v>0</v>
      </c>
      <c r="EZ153" s="113">
        <v>0</v>
      </c>
      <c r="FA153" s="113">
        <v>0</v>
      </c>
      <c r="FB153" s="113">
        <v>0</v>
      </c>
      <c r="FC153" s="113">
        <v>0</v>
      </c>
      <c r="FD153" s="113">
        <v>0</v>
      </c>
      <c r="FE153" s="113">
        <v>0</v>
      </c>
      <c r="FF153" s="113">
        <v>0</v>
      </c>
      <c r="FG153" s="113">
        <v>0</v>
      </c>
      <c r="FH153" s="113">
        <v>0</v>
      </c>
      <c r="FI153" s="113">
        <v>0</v>
      </c>
      <c r="FJ153" s="113">
        <v>0</v>
      </c>
      <c r="FK153" s="113">
        <v>0</v>
      </c>
      <c r="FL153" s="113">
        <v>0</v>
      </c>
      <c r="FM153" s="113">
        <v>0</v>
      </c>
      <c r="FN153" s="113">
        <v>0</v>
      </c>
      <c r="FO153" s="113">
        <v>0</v>
      </c>
      <c r="FP153" s="113">
        <v>0</v>
      </c>
      <c r="FQ153" s="113">
        <v>0</v>
      </c>
      <c r="FR153" s="113">
        <v>0</v>
      </c>
      <c r="FS153" s="113">
        <v>0</v>
      </c>
      <c r="FT153" s="113">
        <v>0</v>
      </c>
      <c r="FU153" s="113">
        <v>0</v>
      </c>
      <c r="FV153" s="113">
        <v>0</v>
      </c>
      <c r="FW153" s="113">
        <v>0</v>
      </c>
      <c r="FX153" s="32">
        <v>0</v>
      </c>
      <c r="FY153" s="30">
        <v>0</v>
      </c>
      <c r="FZ153" s="30">
        <v>0</v>
      </c>
    </row>
    <row r="154" spans="1:182" x14ac:dyDescent="0.2">
      <c r="A154" s="28">
        <v>36251</v>
      </c>
      <c r="B154" s="28"/>
      <c r="C154" s="29">
        <v>131648</v>
      </c>
      <c r="D154" s="29">
        <v>141875</v>
      </c>
      <c r="E154" s="29">
        <f t="shared" si="4"/>
        <v>273523</v>
      </c>
      <c r="F154" s="30">
        <v>3042493</v>
      </c>
      <c r="G154" s="30">
        <v>94447</v>
      </c>
      <c r="H154" s="30">
        <f t="shared" si="5"/>
        <v>3136940</v>
      </c>
      <c r="I154" s="42" t="s">
        <v>75</v>
      </c>
      <c r="J154" s="42" t="s">
        <v>75</v>
      </c>
      <c r="K154" s="32">
        <v>4013676</v>
      </c>
      <c r="L154" s="31" t="s">
        <v>75</v>
      </c>
      <c r="M154" s="31" t="s">
        <v>75</v>
      </c>
      <c r="N154" s="30">
        <v>8611745</v>
      </c>
      <c r="O154" s="31" t="s">
        <v>75</v>
      </c>
      <c r="P154" s="31" t="s">
        <v>75</v>
      </c>
      <c r="Q154" s="30">
        <v>13880599</v>
      </c>
      <c r="R154" s="31" t="s">
        <v>75</v>
      </c>
      <c r="S154" s="31" t="s">
        <v>75</v>
      </c>
      <c r="T154" s="32">
        <v>190318</v>
      </c>
      <c r="U154" s="31" t="s">
        <v>75</v>
      </c>
      <c r="V154" s="31" t="s">
        <v>75</v>
      </c>
      <c r="W154" s="31" t="s">
        <v>75</v>
      </c>
      <c r="X154" s="31" t="s">
        <v>75</v>
      </c>
      <c r="Y154" s="31" t="s">
        <v>75</v>
      </c>
      <c r="Z154" s="30">
        <v>89170</v>
      </c>
      <c r="AA154" s="31" t="s">
        <v>75</v>
      </c>
      <c r="AB154" s="31" t="s">
        <v>75</v>
      </c>
      <c r="AC154" s="30">
        <v>150017</v>
      </c>
      <c r="AD154" s="31" t="s">
        <v>75</v>
      </c>
      <c r="AE154" s="31" t="s">
        <v>75</v>
      </c>
      <c r="AF154" s="30">
        <v>9681</v>
      </c>
      <c r="AG154" s="42" t="s">
        <v>75</v>
      </c>
      <c r="AH154" s="42" t="s">
        <v>75</v>
      </c>
      <c r="AI154" s="32">
        <v>81125</v>
      </c>
      <c r="AJ154" s="31" t="s">
        <v>75</v>
      </c>
      <c r="AK154" s="31" t="s">
        <v>75</v>
      </c>
      <c r="AL154" s="31" t="s">
        <v>75</v>
      </c>
      <c r="AM154" s="31"/>
      <c r="AN154" s="31"/>
      <c r="AO154" s="31"/>
      <c r="AP154" s="31"/>
      <c r="AQ154" s="31"/>
      <c r="AR154" s="31"/>
      <c r="AS154" s="31" t="s">
        <v>75</v>
      </c>
      <c r="AT154" s="31" t="s">
        <v>75</v>
      </c>
      <c r="AU154" s="31" t="s">
        <v>75</v>
      </c>
      <c r="AV154" s="31" t="s">
        <v>75</v>
      </c>
      <c r="AW154" s="31" t="s">
        <v>75</v>
      </c>
      <c r="AX154" s="31" t="s">
        <v>75</v>
      </c>
      <c r="AY154" s="31" t="s">
        <v>75</v>
      </c>
      <c r="AZ154" s="31" t="s">
        <v>75</v>
      </c>
      <c r="BA154" s="29">
        <v>14246182</v>
      </c>
      <c r="BB154" s="31" t="s">
        <v>75</v>
      </c>
      <c r="BC154" s="31" t="s">
        <v>75</v>
      </c>
      <c r="BD154" s="29">
        <v>889418</v>
      </c>
      <c r="BE154" s="113">
        <v>0</v>
      </c>
      <c r="BF154" s="113">
        <v>0</v>
      </c>
      <c r="BG154" s="113">
        <v>0</v>
      </c>
      <c r="BH154" s="113">
        <v>0</v>
      </c>
      <c r="BI154" s="113">
        <v>0</v>
      </c>
      <c r="BJ154" s="113">
        <v>0</v>
      </c>
      <c r="BK154" s="113">
        <v>0</v>
      </c>
      <c r="BL154" s="113">
        <v>0</v>
      </c>
      <c r="BM154" s="113">
        <v>0</v>
      </c>
      <c r="BN154" s="113">
        <v>0</v>
      </c>
      <c r="BO154" s="113">
        <v>0</v>
      </c>
      <c r="BP154" s="113">
        <v>0</v>
      </c>
      <c r="BQ154" s="113">
        <v>0</v>
      </c>
      <c r="BR154" s="113">
        <v>0</v>
      </c>
      <c r="BS154" s="113">
        <v>0</v>
      </c>
      <c r="BT154" s="113">
        <v>0</v>
      </c>
      <c r="BU154" s="113">
        <v>0</v>
      </c>
      <c r="BV154" s="113">
        <v>0</v>
      </c>
      <c r="BW154" s="113"/>
      <c r="BX154" s="113"/>
      <c r="BY154" s="113"/>
      <c r="BZ154" s="113">
        <v>0</v>
      </c>
      <c r="CA154" s="113">
        <v>0</v>
      </c>
      <c r="CB154" s="113">
        <v>0</v>
      </c>
      <c r="CC154" s="113"/>
      <c r="CD154" s="113"/>
      <c r="CE154" s="113"/>
      <c r="CF154" s="113">
        <v>0</v>
      </c>
      <c r="CG154" s="113">
        <v>0</v>
      </c>
      <c r="CH154" s="113">
        <v>0</v>
      </c>
      <c r="CI154" s="113">
        <v>0</v>
      </c>
      <c r="CJ154" s="113">
        <v>0</v>
      </c>
      <c r="CK154" s="113">
        <v>0</v>
      </c>
      <c r="CL154" s="113">
        <v>0</v>
      </c>
      <c r="CM154" s="113">
        <v>0</v>
      </c>
      <c r="CN154" s="113">
        <v>0</v>
      </c>
      <c r="CO154" s="113">
        <v>0</v>
      </c>
      <c r="CP154" s="113">
        <v>0</v>
      </c>
      <c r="CQ154" s="113">
        <v>0</v>
      </c>
      <c r="CR154" s="113">
        <v>0</v>
      </c>
      <c r="CS154" s="113">
        <v>0</v>
      </c>
      <c r="CT154" s="113">
        <v>0</v>
      </c>
      <c r="CU154" s="113">
        <v>0</v>
      </c>
      <c r="CV154" s="113">
        <v>0</v>
      </c>
      <c r="CW154" s="113">
        <v>0</v>
      </c>
      <c r="CX154" s="113">
        <v>0</v>
      </c>
      <c r="CY154" s="113">
        <v>0</v>
      </c>
      <c r="CZ154" s="113">
        <v>0</v>
      </c>
      <c r="DA154" s="113">
        <v>0</v>
      </c>
      <c r="DB154" s="113">
        <v>0</v>
      </c>
      <c r="DC154" s="113">
        <v>0</v>
      </c>
      <c r="DD154" s="113">
        <v>0</v>
      </c>
      <c r="DE154" s="113">
        <v>0</v>
      </c>
      <c r="DF154" s="113">
        <v>0</v>
      </c>
      <c r="DG154" s="113">
        <v>0</v>
      </c>
      <c r="DH154" s="113">
        <v>0</v>
      </c>
      <c r="DI154" s="113">
        <v>0</v>
      </c>
      <c r="DJ154" s="113">
        <v>0</v>
      </c>
      <c r="DK154" s="113">
        <v>0</v>
      </c>
      <c r="DL154" s="113">
        <v>0</v>
      </c>
      <c r="DM154" s="113">
        <v>0</v>
      </c>
      <c r="DN154" s="113">
        <v>0</v>
      </c>
      <c r="DO154" s="113">
        <v>0</v>
      </c>
      <c r="DP154" s="113">
        <v>0</v>
      </c>
      <c r="DQ154" s="113">
        <v>0</v>
      </c>
      <c r="DR154" s="113">
        <v>0</v>
      </c>
      <c r="DS154" s="113">
        <v>0</v>
      </c>
      <c r="DT154" s="113">
        <v>0</v>
      </c>
      <c r="DU154" s="113">
        <v>0</v>
      </c>
      <c r="DV154" s="113">
        <v>0</v>
      </c>
      <c r="DW154" s="113">
        <v>0</v>
      </c>
      <c r="DX154" s="113">
        <v>0</v>
      </c>
      <c r="DY154" s="113">
        <v>0</v>
      </c>
      <c r="DZ154" s="113">
        <v>0</v>
      </c>
      <c r="EA154" s="113">
        <v>0</v>
      </c>
      <c r="EB154" s="113">
        <v>0</v>
      </c>
      <c r="EC154" s="113">
        <v>0</v>
      </c>
      <c r="ED154" s="113">
        <v>0</v>
      </c>
      <c r="EE154" s="113">
        <v>0</v>
      </c>
      <c r="EF154" s="113">
        <v>0</v>
      </c>
      <c r="EG154" s="113">
        <v>0</v>
      </c>
      <c r="EH154" s="113">
        <v>0</v>
      </c>
      <c r="EI154" s="113">
        <v>0</v>
      </c>
      <c r="EJ154" s="113">
        <v>0</v>
      </c>
      <c r="EK154" s="113">
        <v>0</v>
      </c>
      <c r="EL154" s="113">
        <v>0</v>
      </c>
      <c r="EM154" s="113">
        <v>0</v>
      </c>
      <c r="EN154" s="113">
        <v>0</v>
      </c>
      <c r="EO154" s="113">
        <v>0</v>
      </c>
      <c r="EP154" s="113">
        <v>0</v>
      </c>
      <c r="EQ154" s="113">
        <v>0</v>
      </c>
      <c r="ER154" s="113">
        <v>0</v>
      </c>
      <c r="ES154" s="113">
        <v>0</v>
      </c>
      <c r="ET154" s="113">
        <v>0</v>
      </c>
      <c r="EU154" s="113">
        <v>0</v>
      </c>
      <c r="EV154" s="113">
        <v>0</v>
      </c>
      <c r="EW154" s="113">
        <v>0</v>
      </c>
      <c r="EX154" s="113">
        <v>0</v>
      </c>
      <c r="EY154" s="113">
        <v>0</v>
      </c>
      <c r="EZ154" s="113">
        <v>0</v>
      </c>
      <c r="FA154" s="113">
        <v>0</v>
      </c>
      <c r="FB154" s="113">
        <v>0</v>
      </c>
      <c r="FC154" s="113">
        <v>0</v>
      </c>
      <c r="FD154" s="113">
        <v>0</v>
      </c>
      <c r="FE154" s="113">
        <v>0</v>
      </c>
      <c r="FF154" s="113">
        <v>0</v>
      </c>
      <c r="FG154" s="113">
        <v>0</v>
      </c>
      <c r="FH154" s="113">
        <v>0</v>
      </c>
      <c r="FI154" s="113">
        <v>0</v>
      </c>
      <c r="FJ154" s="113">
        <v>0</v>
      </c>
      <c r="FK154" s="113">
        <v>0</v>
      </c>
      <c r="FL154" s="113">
        <v>0</v>
      </c>
      <c r="FM154" s="113">
        <v>0</v>
      </c>
      <c r="FN154" s="113">
        <v>0</v>
      </c>
      <c r="FO154" s="113">
        <v>0</v>
      </c>
      <c r="FP154" s="113">
        <v>0</v>
      </c>
      <c r="FQ154" s="113">
        <v>0</v>
      </c>
      <c r="FR154" s="113">
        <v>0</v>
      </c>
      <c r="FS154" s="113">
        <v>0</v>
      </c>
      <c r="FT154" s="113">
        <v>0</v>
      </c>
      <c r="FU154" s="113">
        <v>0</v>
      </c>
      <c r="FV154" s="113">
        <v>0</v>
      </c>
      <c r="FW154" s="113">
        <v>0</v>
      </c>
      <c r="FX154" s="32">
        <v>0</v>
      </c>
      <c r="FY154" s="30">
        <v>0</v>
      </c>
      <c r="FZ154" s="30">
        <v>0</v>
      </c>
    </row>
    <row r="155" spans="1:182" x14ac:dyDescent="0.2">
      <c r="A155" s="28">
        <v>36281</v>
      </c>
      <c r="B155" s="28"/>
      <c r="C155" s="29">
        <v>363670</v>
      </c>
      <c r="D155" s="29">
        <v>78958</v>
      </c>
      <c r="E155" s="29">
        <f t="shared" si="4"/>
        <v>442628</v>
      </c>
      <c r="F155" s="30">
        <v>3336605</v>
      </c>
      <c r="G155" s="30">
        <v>81732</v>
      </c>
      <c r="H155" s="30">
        <f t="shared" si="5"/>
        <v>3418337</v>
      </c>
      <c r="I155" s="42" t="s">
        <v>75</v>
      </c>
      <c r="J155" s="42" t="s">
        <v>75</v>
      </c>
      <c r="K155" s="32">
        <v>3820107</v>
      </c>
      <c r="L155" s="31" t="s">
        <v>75</v>
      </c>
      <c r="M155" s="31" t="s">
        <v>75</v>
      </c>
      <c r="N155" s="30">
        <v>9526476</v>
      </c>
      <c r="O155" s="31" t="s">
        <v>75</v>
      </c>
      <c r="P155" s="31" t="s">
        <v>75</v>
      </c>
      <c r="Q155" s="30">
        <v>11914454</v>
      </c>
      <c r="R155" s="31" t="s">
        <v>75</v>
      </c>
      <c r="S155" s="31" t="s">
        <v>75</v>
      </c>
      <c r="T155" s="32">
        <v>160029</v>
      </c>
      <c r="U155" s="31" t="s">
        <v>75</v>
      </c>
      <c r="V155" s="31" t="s">
        <v>75</v>
      </c>
      <c r="W155" s="31" t="s">
        <v>75</v>
      </c>
      <c r="X155" s="31" t="s">
        <v>75</v>
      </c>
      <c r="Y155" s="31" t="s">
        <v>75</v>
      </c>
      <c r="Z155" s="30">
        <v>64934</v>
      </c>
      <c r="AA155" s="31" t="s">
        <v>75</v>
      </c>
      <c r="AB155" s="31" t="s">
        <v>75</v>
      </c>
      <c r="AC155" s="30">
        <v>131270</v>
      </c>
      <c r="AD155" s="31" t="s">
        <v>75</v>
      </c>
      <c r="AE155" s="31" t="s">
        <v>75</v>
      </c>
      <c r="AF155" s="30">
        <v>6532</v>
      </c>
      <c r="AG155" s="42" t="s">
        <v>75</v>
      </c>
      <c r="AH155" s="42" t="s">
        <v>75</v>
      </c>
      <c r="AI155" s="32">
        <v>68641</v>
      </c>
      <c r="AJ155" s="31" t="s">
        <v>75</v>
      </c>
      <c r="AK155" s="31" t="s">
        <v>75</v>
      </c>
      <c r="AL155" s="31" t="s">
        <v>75</v>
      </c>
      <c r="AM155" s="31"/>
      <c r="AN155" s="31"/>
      <c r="AO155" s="31"/>
      <c r="AP155" s="31"/>
      <c r="AQ155" s="31"/>
      <c r="AR155" s="31"/>
      <c r="AS155" s="31" t="s">
        <v>75</v>
      </c>
      <c r="AT155" s="31" t="s">
        <v>75</v>
      </c>
      <c r="AU155" s="31" t="s">
        <v>75</v>
      </c>
      <c r="AV155" s="31" t="s">
        <v>75</v>
      </c>
      <c r="AW155" s="31" t="s">
        <v>75</v>
      </c>
      <c r="AX155" s="31" t="s">
        <v>75</v>
      </c>
      <c r="AY155" s="31" t="s">
        <v>75</v>
      </c>
      <c r="AZ155" s="31" t="s">
        <v>75</v>
      </c>
      <c r="BA155" s="29">
        <v>15414517</v>
      </c>
      <c r="BB155" s="31" t="s">
        <v>75</v>
      </c>
      <c r="BC155" s="31" t="s">
        <v>75</v>
      </c>
      <c r="BD155" s="29">
        <v>1064242</v>
      </c>
      <c r="BE155" s="113">
        <v>0</v>
      </c>
      <c r="BF155" s="113">
        <v>0</v>
      </c>
      <c r="BG155" s="113">
        <v>0</v>
      </c>
      <c r="BH155" s="113">
        <v>0</v>
      </c>
      <c r="BI155" s="113">
        <v>0</v>
      </c>
      <c r="BJ155" s="113">
        <v>0</v>
      </c>
      <c r="BK155" s="113">
        <v>0</v>
      </c>
      <c r="BL155" s="113">
        <v>0</v>
      </c>
      <c r="BM155" s="113">
        <v>0</v>
      </c>
      <c r="BN155" s="113">
        <v>0</v>
      </c>
      <c r="BO155" s="113">
        <v>0</v>
      </c>
      <c r="BP155" s="113">
        <v>0</v>
      </c>
      <c r="BQ155" s="113">
        <v>0</v>
      </c>
      <c r="BR155" s="113">
        <v>0</v>
      </c>
      <c r="BS155" s="113">
        <v>0</v>
      </c>
      <c r="BT155" s="113">
        <v>0</v>
      </c>
      <c r="BU155" s="113">
        <v>0</v>
      </c>
      <c r="BV155" s="113">
        <v>0</v>
      </c>
      <c r="BW155" s="113"/>
      <c r="BX155" s="113"/>
      <c r="BY155" s="113"/>
      <c r="BZ155" s="113">
        <v>0</v>
      </c>
      <c r="CA155" s="113">
        <v>0</v>
      </c>
      <c r="CB155" s="113">
        <v>0</v>
      </c>
      <c r="CC155" s="113"/>
      <c r="CD155" s="113"/>
      <c r="CE155" s="113"/>
      <c r="CF155" s="113">
        <v>0</v>
      </c>
      <c r="CG155" s="113">
        <v>0</v>
      </c>
      <c r="CH155" s="113">
        <v>0</v>
      </c>
      <c r="CI155" s="113">
        <v>0</v>
      </c>
      <c r="CJ155" s="113">
        <v>0</v>
      </c>
      <c r="CK155" s="113">
        <v>0</v>
      </c>
      <c r="CL155" s="113">
        <v>0</v>
      </c>
      <c r="CM155" s="113">
        <v>0</v>
      </c>
      <c r="CN155" s="113">
        <v>0</v>
      </c>
      <c r="CO155" s="113">
        <v>0</v>
      </c>
      <c r="CP155" s="113">
        <v>0</v>
      </c>
      <c r="CQ155" s="113">
        <v>0</v>
      </c>
      <c r="CR155" s="113">
        <v>0</v>
      </c>
      <c r="CS155" s="113">
        <v>0</v>
      </c>
      <c r="CT155" s="113">
        <v>0</v>
      </c>
      <c r="CU155" s="113">
        <v>0</v>
      </c>
      <c r="CV155" s="113">
        <v>0</v>
      </c>
      <c r="CW155" s="113">
        <v>0</v>
      </c>
      <c r="CX155" s="113">
        <v>0</v>
      </c>
      <c r="CY155" s="113">
        <v>0</v>
      </c>
      <c r="CZ155" s="113">
        <v>0</v>
      </c>
      <c r="DA155" s="113">
        <v>0</v>
      </c>
      <c r="DB155" s="113">
        <v>0</v>
      </c>
      <c r="DC155" s="113">
        <v>0</v>
      </c>
      <c r="DD155" s="113">
        <v>0</v>
      </c>
      <c r="DE155" s="113">
        <v>0</v>
      </c>
      <c r="DF155" s="113">
        <v>0</v>
      </c>
      <c r="DG155" s="113">
        <v>0</v>
      </c>
      <c r="DH155" s="113">
        <v>0</v>
      </c>
      <c r="DI155" s="113">
        <v>0</v>
      </c>
      <c r="DJ155" s="113">
        <v>0</v>
      </c>
      <c r="DK155" s="113">
        <v>0</v>
      </c>
      <c r="DL155" s="113">
        <v>0</v>
      </c>
      <c r="DM155" s="113">
        <v>0</v>
      </c>
      <c r="DN155" s="113">
        <v>0</v>
      </c>
      <c r="DO155" s="113">
        <v>0</v>
      </c>
      <c r="DP155" s="113">
        <v>0</v>
      </c>
      <c r="DQ155" s="113">
        <v>0</v>
      </c>
      <c r="DR155" s="113">
        <v>0</v>
      </c>
      <c r="DS155" s="113">
        <v>0</v>
      </c>
      <c r="DT155" s="113">
        <v>0</v>
      </c>
      <c r="DU155" s="113">
        <v>0</v>
      </c>
      <c r="DV155" s="113">
        <v>0</v>
      </c>
      <c r="DW155" s="113">
        <v>0</v>
      </c>
      <c r="DX155" s="113">
        <v>0</v>
      </c>
      <c r="DY155" s="113">
        <v>0</v>
      </c>
      <c r="DZ155" s="113">
        <v>0</v>
      </c>
      <c r="EA155" s="113">
        <v>0</v>
      </c>
      <c r="EB155" s="113">
        <v>0</v>
      </c>
      <c r="EC155" s="113">
        <v>0</v>
      </c>
      <c r="ED155" s="113">
        <v>0</v>
      </c>
      <c r="EE155" s="113">
        <v>0</v>
      </c>
      <c r="EF155" s="113">
        <v>0</v>
      </c>
      <c r="EG155" s="113">
        <v>0</v>
      </c>
      <c r="EH155" s="113">
        <v>0</v>
      </c>
      <c r="EI155" s="113">
        <v>0</v>
      </c>
      <c r="EJ155" s="113">
        <v>0</v>
      </c>
      <c r="EK155" s="113">
        <v>0</v>
      </c>
      <c r="EL155" s="113">
        <v>0</v>
      </c>
      <c r="EM155" s="113">
        <v>0</v>
      </c>
      <c r="EN155" s="113">
        <v>0</v>
      </c>
      <c r="EO155" s="113">
        <v>0</v>
      </c>
      <c r="EP155" s="113">
        <v>0</v>
      </c>
      <c r="EQ155" s="113">
        <v>0</v>
      </c>
      <c r="ER155" s="113">
        <v>0</v>
      </c>
      <c r="ES155" s="113">
        <v>0</v>
      </c>
      <c r="ET155" s="113">
        <v>0</v>
      </c>
      <c r="EU155" s="113">
        <v>0</v>
      </c>
      <c r="EV155" s="113">
        <v>0</v>
      </c>
      <c r="EW155" s="113">
        <v>0</v>
      </c>
      <c r="EX155" s="113">
        <v>0</v>
      </c>
      <c r="EY155" s="113">
        <v>0</v>
      </c>
      <c r="EZ155" s="113">
        <v>0</v>
      </c>
      <c r="FA155" s="113">
        <v>0</v>
      </c>
      <c r="FB155" s="113">
        <v>0</v>
      </c>
      <c r="FC155" s="113">
        <v>0</v>
      </c>
      <c r="FD155" s="113">
        <v>0</v>
      </c>
      <c r="FE155" s="113">
        <v>0</v>
      </c>
      <c r="FF155" s="113">
        <v>0</v>
      </c>
      <c r="FG155" s="113">
        <v>0</v>
      </c>
      <c r="FH155" s="113">
        <v>0</v>
      </c>
      <c r="FI155" s="113">
        <v>0</v>
      </c>
      <c r="FJ155" s="113">
        <v>0</v>
      </c>
      <c r="FK155" s="113">
        <v>0</v>
      </c>
      <c r="FL155" s="113">
        <v>0</v>
      </c>
      <c r="FM155" s="113">
        <v>0</v>
      </c>
      <c r="FN155" s="113">
        <v>0</v>
      </c>
      <c r="FO155" s="113">
        <v>0</v>
      </c>
      <c r="FP155" s="113">
        <v>0</v>
      </c>
      <c r="FQ155" s="113">
        <v>0</v>
      </c>
      <c r="FR155" s="113">
        <v>0</v>
      </c>
      <c r="FS155" s="113">
        <v>0</v>
      </c>
      <c r="FT155" s="113">
        <v>0</v>
      </c>
      <c r="FU155" s="113">
        <v>0</v>
      </c>
      <c r="FV155" s="113">
        <v>0</v>
      </c>
      <c r="FW155" s="113">
        <v>0</v>
      </c>
      <c r="FX155" s="32">
        <v>0</v>
      </c>
      <c r="FY155" s="30">
        <v>0</v>
      </c>
      <c r="FZ155" s="30">
        <v>0</v>
      </c>
    </row>
    <row r="156" spans="1:182" x14ac:dyDescent="0.2">
      <c r="A156" s="28">
        <v>36312</v>
      </c>
      <c r="B156" s="28"/>
      <c r="C156" s="29">
        <v>341535</v>
      </c>
      <c r="D156" s="29">
        <v>112860</v>
      </c>
      <c r="E156" s="29">
        <f t="shared" si="4"/>
        <v>454395</v>
      </c>
      <c r="F156" s="30">
        <v>2337054</v>
      </c>
      <c r="G156" s="30">
        <v>69892</v>
      </c>
      <c r="H156" s="30">
        <f t="shared" si="5"/>
        <v>2406946</v>
      </c>
      <c r="I156" s="42" t="s">
        <v>75</v>
      </c>
      <c r="J156" s="42" t="s">
        <v>75</v>
      </c>
      <c r="K156" s="32">
        <v>2890891</v>
      </c>
      <c r="L156" s="31" t="s">
        <v>75</v>
      </c>
      <c r="M156" s="31" t="s">
        <v>75</v>
      </c>
      <c r="N156" s="30">
        <v>10012217</v>
      </c>
      <c r="O156" s="31" t="s">
        <v>75</v>
      </c>
      <c r="P156" s="31" t="s">
        <v>75</v>
      </c>
      <c r="Q156" s="30">
        <v>11397785</v>
      </c>
      <c r="R156" s="31" t="s">
        <v>75</v>
      </c>
      <c r="S156" s="31" t="s">
        <v>75</v>
      </c>
      <c r="T156" s="32">
        <v>268070</v>
      </c>
      <c r="U156" s="31" t="s">
        <v>75</v>
      </c>
      <c r="V156" s="31" t="s">
        <v>75</v>
      </c>
      <c r="W156" s="31" t="s">
        <v>75</v>
      </c>
      <c r="X156" s="31" t="s">
        <v>75</v>
      </c>
      <c r="Y156" s="31" t="s">
        <v>75</v>
      </c>
      <c r="Z156" s="30">
        <v>85872</v>
      </c>
      <c r="AA156" s="31" t="s">
        <v>75</v>
      </c>
      <c r="AB156" s="31" t="s">
        <v>75</v>
      </c>
      <c r="AC156" s="30">
        <v>177347</v>
      </c>
      <c r="AD156" s="31" t="s">
        <v>75</v>
      </c>
      <c r="AE156" s="31" t="s">
        <v>75</v>
      </c>
      <c r="AF156" s="30">
        <v>9893</v>
      </c>
      <c r="AG156" s="42" t="s">
        <v>75</v>
      </c>
      <c r="AH156" s="42" t="s">
        <v>75</v>
      </c>
      <c r="AI156" s="32">
        <v>93678</v>
      </c>
      <c r="AJ156" s="31" t="s">
        <v>75</v>
      </c>
      <c r="AK156" s="31" t="s">
        <v>75</v>
      </c>
      <c r="AL156" s="31" t="s">
        <v>75</v>
      </c>
      <c r="AM156" s="31"/>
      <c r="AN156" s="31"/>
      <c r="AO156" s="31"/>
      <c r="AP156" s="31"/>
      <c r="AQ156" s="31"/>
      <c r="AR156" s="31"/>
      <c r="AS156" s="31" t="s">
        <v>75</v>
      </c>
      <c r="AT156" s="31" t="s">
        <v>75</v>
      </c>
      <c r="AU156" s="31" t="s">
        <v>75</v>
      </c>
      <c r="AV156" s="31" t="s">
        <v>75</v>
      </c>
      <c r="AW156" s="31" t="s">
        <v>75</v>
      </c>
      <c r="AX156" s="31" t="s">
        <v>75</v>
      </c>
      <c r="AY156" s="31" t="s">
        <v>75</v>
      </c>
      <c r="AZ156" s="31" t="s">
        <v>75</v>
      </c>
      <c r="BA156" s="29">
        <v>14149939</v>
      </c>
      <c r="BB156" s="31" t="s">
        <v>75</v>
      </c>
      <c r="BC156" s="31" t="s">
        <v>75</v>
      </c>
      <c r="BD156" s="29">
        <v>957294</v>
      </c>
      <c r="BE156" s="113">
        <v>0</v>
      </c>
      <c r="BF156" s="113">
        <v>0</v>
      </c>
      <c r="BG156" s="113">
        <v>0</v>
      </c>
      <c r="BH156" s="113">
        <v>0</v>
      </c>
      <c r="BI156" s="113">
        <v>0</v>
      </c>
      <c r="BJ156" s="113">
        <v>0</v>
      </c>
      <c r="BK156" s="113">
        <v>0</v>
      </c>
      <c r="BL156" s="113">
        <v>0</v>
      </c>
      <c r="BM156" s="113">
        <v>0</v>
      </c>
      <c r="BN156" s="113">
        <v>0</v>
      </c>
      <c r="BO156" s="113">
        <v>0</v>
      </c>
      <c r="BP156" s="113">
        <v>0</v>
      </c>
      <c r="BQ156" s="113">
        <v>0</v>
      </c>
      <c r="BR156" s="113">
        <v>0</v>
      </c>
      <c r="BS156" s="113">
        <v>0</v>
      </c>
      <c r="BT156" s="113">
        <v>0</v>
      </c>
      <c r="BU156" s="113">
        <v>0</v>
      </c>
      <c r="BV156" s="113">
        <v>0</v>
      </c>
      <c r="BW156" s="113"/>
      <c r="BX156" s="113"/>
      <c r="BY156" s="113"/>
      <c r="BZ156" s="113">
        <v>0</v>
      </c>
      <c r="CA156" s="113">
        <v>0</v>
      </c>
      <c r="CB156" s="113">
        <v>0</v>
      </c>
      <c r="CC156" s="113"/>
      <c r="CD156" s="113"/>
      <c r="CE156" s="113"/>
      <c r="CF156" s="113">
        <v>0</v>
      </c>
      <c r="CG156" s="113">
        <v>0</v>
      </c>
      <c r="CH156" s="113">
        <v>0</v>
      </c>
      <c r="CI156" s="113">
        <v>0</v>
      </c>
      <c r="CJ156" s="113">
        <v>0</v>
      </c>
      <c r="CK156" s="113">
        <v>0</v>
      </c>
      <c r="CL156" s="113">
        <v>0</v>
      </c>
      <c r="CM156" s="113">
        <v>0</v>
      </c>
      <c r="CN156" s="113">
        <v>0</v>
      </c>
      <c r="CO156" s="113">
        <v>0</v>
      </c>
      <c r="CP156" s="113">
        <v>0</v>
      </c>
      <c r="CQ156" s="113">
        <v>0</v>
      </c>
      <c r="CR156" s="113">
        <v>0</v>
      </c>
      <c r="CS156" s="113">
        <v>0</v>
      </c>
      <c r="CT156" s="113">
        <v>0</v>
      </c>
      <c r="CU156" s="113">
        <v>0</v>
      </c>
      <c r="CV156" s="113">
        <v>0</v>
      </c>
      <c r="CW156" s="113">
        <v>0</v>
      </c>
      <c r="CX156" s="113">
        <v>0</v>
      </c>
      <c r="CY156" s="113">
        <v>0</v>
      </c>
      <c r="CZ156" s="113">
        <v>0</v>
      </c>
      <c r="DA156" s="113">
        <v>0</v>
      </c>
      <c r="DB156" s="113">
        <v>0</v>
      </c>
      <c r="DC156" s="113">
        <v>0</v>
      </c>
      <c r="DD156" s="113">
        <v>0</v>
      </c>
      <c r="DE156" s="113">
        <v>0</v>
      </c>
      <c r="DF156" s="113">
        <v>0</v>
      </c>
      <c r="DG156" s="113">
        <v>0</v>
      </c>
      <c r="DH156" s="113">
        <v>0</v>
      </c>
      <c r="DI156" s="113">
        <v>0</v>
      </c>
      <c r="DJ156" s="113">
        <v>0</v>
      </c>
      <c r="DK156" s="113">
        <v>0</v>
      </c>
      <c r="DL156" s="113">
        <v>0</v>
      </c>
      <c r="DM156" s="113">
        <v>0</v>
      </c>
      <c r="DN156" s="113">
        <v>0</v>
      </c>
      <c r="DO156" s="113">
        <v>0</v>
      </c>
      <c r="DP156" s="113">
        <v>0</v>
      </c>
      <c r="DQ156" s="113">
        <v>0</v>
      </c>
      <c r="DR156" s="113">
        <v>0</v>
      </c>
      <c r="DS156" s="113">
        <v>0</v>
      </c>
      <c r="DT156" s="113">
        <v>0</v>
      </c>
      <c r="DU156" s="113">
        <v>0</v>
      </c>
      <c r="DV156" s="113">
        <v>0</v>
      </c>
      <c r="DW156" s="113">
        <v>0</v>
      </c>
      <c r="DX156" s="113">
        <v>0</v>
      </c>
      <c r="DY156" s="113">
        <v>0</v>
      </c>
      <c r="DZ156" s="113">
        <v>0</v>
      </c>
      <c r="EA156" s="113">
        <v>0</v>
      </c>
      <c r="EB156" s="113">
        <v>0</v>
      </c>
      <c r="EC156" s="113">
        <v>0</v>
      </c>
      <c r="ED156" s="113">
        <v>0</v>
      </c>
      <c r="EE156" s="113">
        <v>0</v>
      </c>
      <c r="EF156" s="113">
        <v>0</v>
      </c>
      <c r="EG156" s="113">
        <v>0</v>
      </c>
      <c r="EH156" s="113">
        <v>0</v>
      </c>
      <c r="EI156" s="113">
        <v>0</v>
      </c>
      <c r="EJ156" s="113">
        <v>0</v>
      </c>
      <c r="EK156" s="113">
        <v>0</v>
      </c>
      <c r="EL156" s="113">
        <v>0</v>
      </c>
      <c r="EM156" s="113">
        <v>0</v>
      </c>
      <c r="EN156" s="113">
        <v>0</v>
      </c>
      <c r="EO156" s="113">
        <v>0</v>
      </c>
      <c r="EP156" s="113">
        <v>0</v>
      </c>
      <c r="EQ156" s="113">
        <v>0</v>
      </c>
      <c r="ER156" s="113">
        <v>0</v>
      </c>
      <c r="ES156" s="113">
        <v>0</v>
      </c>
      <c r="ET156" s="113">
        <v>0</v>
      </c>
      <c r="EU156" s="113">
        <v>0</v>
      </c>
      <c r="EV156" s="113">
        <v>0</v>
      </c>
      <c r="EW156" s="113">
        <v>0</v>
      </c>
      <c r="EX156" s="113">
        <v>0</v>
      </c>
      <c r="EY156" s="113">
        <v>0</v>
      </c>
      <c r="EZ156" s="113">
        <v>0</v>
      </c>
      <c r="FA156" s="113">
        <v>0</v>
      </c>
      <c r="FB156" s="113">
        <v>0</v>
      </c>
      <c r="FC156" s="113">
        <v>0</v>
      </c>
      <c r="FD156" s="113">
        <v>0</v>
      </c>
      <c r="FE156" s="113">
        <v>0</v>
      </c>
      <c r="FF156" s="113">
        <v>0</v>
      </c>
      <c r="FG156" s="113">
        <v>0</v>
      </c>
      <c r="FH156" s="113">
        <v>0</v>
      </c>
      <c r="FI156" s="113">
        <v>0</v>
      </c>
      <c r="FJ156" s="113">
        <v>0</v>
      </c>
      <c r="FK156" s="113">
        <v>0</v>
      </c>
      <c r="FL156" s="113">
        <v>0</v>
      </c>
      <c r="FM156" s="113">
        <v>0</v>
      </c>
      <c r="FN156" s="113">
        <v>0</v>
      </c>
      <c r="FO156" s="113">
        <v>0</v>
      </c>
      <c r="FP156" s="113">
        <v>0</v>
      </c>
      <c r="FQ156" s="113">
        <v>0</v>
      </c>
      <c r="FR156" s="113">
        <v>0</v>
      </c>
      <c r="FS156" s="113">
        <v>0</v>
      </c>
      <c r="FT156" s="113">
        <v>0</v>
      </c>
      <c r="FU156" s="113">
        <v>0</v>
      </c>
      <c r="FV156" s="113">
        <v>0</v>
      </c>
      <c r="FW156" s="113">
        <v>0</v>
      </c>
      <c r="FX156" s="32">
        <v>0</v>
      </c>
      <c r="FY156" s="30">
        <v>0</v>
      </c>
      <c r="FZ156" s="30">
        <v>0</v>
      </c>
    </row>
    <row r="157" spans="1:182" x14ac:dyDescent="0.2">
      <c r="A157" s="28">
        <v>36342</v>
      </c>
      <c r="B157" s="28"/>
      <c r="C157" s="29">
        <v>236049</v>
      </c>
      <c r="D157" s="29">
        <v>128201</v>
      </c>
      <c r="E157" s="29">
        <f t="shared" si="4"/>
        <v>364250</v>
      </c>
      <c r="F157" s="30">
        <v>3177815</v>
      </c>
      <c r="G157" s="30">
        <v>88673</v>
      </c>
      <c r="H157" s="30">
        <f t="shared" si="5"/>
        <v>3266488</v>
      </c>
      <c r="I157" s="42" t="s">
        <v>75</v>
      </c>
      <c r="J157" s="42" t="s">
        <v>75</v>
      </c>
      <c r="K157" s="32">
        <v>3828324</v>
      </c>
      <c r="L157" s="31" t="s">
        <v>75</v>
      </c>
      <c r="M157" s="31" t="s">
        <v>75</v>
      </c>
      <c r="N157" s="30">
        <v>12457410</v>
      </c>
      <c r="O157" s="31" t="s">
        <v>75</v>
      </c>
      <c r="P157" s="31" t="s">
        <v>75</v>
      </c>
      <c r="Q157" s="30">
        <v>11992601</v>
      </c>
      <c r="R157" s="31" t="s">
        <v>75</v>
      </c>
      <c r="S157" s="31" t="s">
        <v>75</v>
      </c>
      <c r="T157" s="32">
        <v>215453</v>
      </c>
      <c r="U157" s="31" t="s">
        <v>75</v>
      </c>
      <c r="V157" s="31" t="s">
        <v>75</v>
      </c>
      <c r="W157" s="31" t="s">
        <v>75</v>
      </c>
      <c r="X157" s="31" t="s">
        <v>75</v>
      </c>
      <c r="Y157" s="31" t="s">
        <v>75</v>
      </c>
      <c r="Z157" s="30">
        <v>64692</v>
      </c>
      <c r="AA157" s="31" t="s">
        <v>75</v>
      </c>
      <c r="AB157" s="31" t="s">
        <v>75</v>
      </c>
      <c r="AC157" s="30">
        <v>217920</v>
      </c>
      <c r="AD157" s="31" t="s">
        <v>75</v>
      </c>
      <c r="AE157" s="31" t="s">
        <v>75</v>
      </c>
      <c r="AF157" s="30">
        <v>11318</v>
      </c>
      <c r="AG157" s="42" t="s">
        <v>75</v>
      </c>
      <c r="AH157" s="42" t="s">
        <v>75</v>
      </c>
      <c r="AI157" s="32">
        <v>60876</v>
      </c>
      <c r="AJ157" s="31" t="s">
        <v>75</v>
      </c>
      <c r="AK157" s="31" t="s">
        <v>75</v>
      </c>
      <c r="AL157" s="31" t="s">
        <v>75</v>
      </c>
      <c r="AM157" s="31"/>
      <c r="AN157" s="31"/>
      <c r="AO157" s="31"/>
      <c r="AP157" s="31"/>
      <c r="AQ157" s="31"/>
      <c r="AR157" s="31"/>
      <c r="AS157" s="31" t="s">
        <v>75</v>
      </c>
      <c r="AT157" s="31" t="s">
        <v>75</v>
      </c>
      <c r="AU157" s="31" t="s">
        <v>75</v>
      </c>
      <c r="AV157" s="31" t="s">
        <v>75</v>
      </c>
      <c r="AW157" s="31" t="s">
        <v>75</v>
      </c>
      <c r="AX157" s="31" t="s">
        <v>75</v>
      </c>
      <c r="AY157" s="31" t="s">
        <v>75</v>
      </c>
      <c r="AZ157" s="31" t="s">
        <v>75</v>
      </c>
      <c r="BA157" s="29">
        <v>17512235</v>
      </c>
      <c r="BB157" s="31" t="s">
        <v>75</v>
      </c>
      <c r="BC157" s="31" t="s">
        <v>75</v>
      </c>
      <c r="BD157" s="29">
        <v>1086297</v>
      </c>
      <c r="BE157" s="113">
        <v>0</v>
      </c>
      <c r="BF157" s="113">
        <v>0</v>
      </c>
      <c r="BG157" s="113">
        <v>0</v>
      </c>
      <c r="BH157" s="113">
        <v>0</v>
      </c>
      <c r="BI157" s="113">
        <v>0</v>
      </c>
      <c r="BJ157" s="113">
        <v>0</v>
      </c>
      <c r="BK157" s="113">
        <v>0</v>
      </c>
      <c r="BL157" s="113">
        <v>0</v>
      </c>
      <c r="BM157" s="113">
        <v>0</v>
      </c>
      <c r="BN157" s="113">
        <v>0</v>
      </c>
      <c r="BO157" s="113">
        <v>0</v>
      </c>
      <c r="BP157" s="113">
        <v>0</v>
      </c>
      <c r="BQ157" s="113">
        <v>0</v>
      </c>
      <c r="BR157" s="113">
        <v>0</v>
      </c>
      <c r="BS157" s="113">
        <v>0</v>
      </c>
      <c r="BT157" s="113">
        <v>0</v>
      </c>
      <c r="BU157" s="113">
        <v>0</v>
      </c>
      <c r="BV157" s="113">
        <v>0</v>
      </c>
      <c r="BW157" s="113"/>
      <c r="BX157" s="113"/>
      <c r="BY157" s="113"/>
      <c r="BZ157" s="113">
        <v>0</v>
      </c>
      <c r="CA157" s="113">
        <v>0</v>
      </c>
      <c r="CB157" s="113">
        <v>0</v>
      </c>
      <c r="CC157" s="113"/>
      <c r="CD157" s="113"/>
      <c r="CE157" s="113"/>
      <c r="CF157" s="113">
        <v>0</v>
      </c>
      <c r="CG157" s="113">
        <v>0</v>
      </c>
      <c r="CH157" s="113">
        <v>0</v>
      </c>
      <c r="CI157" s="113">
        <v>0</v>
      </c>
      <c r="CJ157" s="113">
        <v>0</v>
      </c>
      <c r="CK157" s="113">
        <v>0</v>
      </c>
      <c r="CL157" s="113">
        <v>0</v>
      </c>
      <c r="CM157" s="113">
        <v>0</v>
      </c>
      <c r="CN157" s="113">
        <v>0</v>
      </c>
      <c r="CO157" s="113">
        <v>0</v>
      </c>
      <c r="CP157" s="113">
        <v>0</v>
      </c>
      <c r="CQ157" s="113">
        <v>0</v>
      </c>
      <c r="CR157" s="113">
        <v>0</v>
      </c>
      <c r="CS157" s="113">
        <v>0</v>
      </c>
      <c r="CT157" s="113">
        <v>0</v>
      </c>
      <c r="CU157" s="113">
        <v>0</v>
      </c>
      <c r="CV157" s="113">
        <v>0</v>
      </c>
      <c r="CW157" s="113">
        <v>0</v>
      </c>
      <c r="CX157" s="113">
        <v>0</v>
      </c>
      <c r="CY157" s="113">
        <v>0</v>
      </c>
      <c r="CZ157" s="113">
        <v>0</v>
      </c>
      <c r="DA157" s="113">
        <v>0</v>
      </c>
      <c r="DB157" s="113">
        <v>0</v>
      </c>
      <c r="DC157" s="113">
        <v>0</v>
      </c>
      <c r="DD157" s="113">
        <v>0</v>
      </c>
      <c r="DE157" s="113">
        <v>0</v>
      </c>
      <c r="DF157" s="113">
        <v>0</v>
      </c>
      <c r="DG157" s="113">
        <v>0</v>
      </c>
      <c r="DH157" s="113">
        <v>0</v>
      </c>
      <c r="DI157" s="113">
        <v>0</v>
      </c>
      <c r="DJ157" s="113">
        <v>0</v>
      </c>
      <c r="DK157" s="113">
        <v>0</v>
      </c>
      <c r="DL157" s="113">
        <v>0</v>
      </c>
      <c r="DM157" s="113">
        <v>0</v>
      </c>
      <c r="DN157" s="113">
        <v>0</v>
      </c>
      <c r="DO157" s="113">
        <v>0</v>
      </c>
      <c r="DP157" s="113">
        <v>0</v>
      </c>
      <c r="DQ157" s="113">
        <v>0</v>
      </c>
      <c r="DR157" s="113">
        <v>0</v>
      </c>
      <c r="DS157" s="113">
        <v>0</v>
      </c>
      <c r="DT157" s="113">
        <v>0</v>
      </c>
      <c r="DU157" s="113">
        <v>0</v>
      </c>
      <c r="DV157" s="113">
        <v>0</v>
      </c>
      <c r="DW157" s="113">
        <v>0</v>
      </c>
      <c r="DX157" s="113">
        <v>0</v>
      </c>
      <c r="DY157" s="113">
        <v>0</v>
      </c>
      <c r="DZ157" s="113">
        <v>0</v>
      </c>
      <c r="EA157" s="113">
        <v>0</v>
      </c>
      <c r="EB157" s="113">
        <v>0</v>
      </c>
      <c r="EC157" s="113">
        <v>0</v>
      </c>
      <c r="ED157" s="113">
        <v>0</v>
      </c>
      <c r="EE157" s="113">
        <v>0</v>
      </c>
      <c r="EF157" s="113">
        <v>0</v>
      </c>
      <c r="EG157" s="113">
        <v>0</v>
      </c>
      <c r="EH157" s="113">
        <v>0</v>
      </c>
      <c r="EI157" s="113">
        <v>0</v>
      </c>
      <c r="EJ157" s="113">
        <v>0</v>
      </c>
      <c r="EK157" s="113">
        <v>0</v>
      </c>
      <c r="EL157" s="113">
        <v>0</v>
      </c>
      <c r="EM157" s="113">
        <v>0</v>
      </c>
      <c r="EN157" s="113">
        <v>0</v>
      </c>
      <c r="EO157" s="113">
        <v>0</v>
      </c>
      <c r="EP157" s="113">
        <v>0</v>
      </c>
      <c r="EQ157" s="113">
        <v>0</v>
      </c>
      <c r="ER157" s="113">
        <v>0</v>
      </c>
      <c r="ES157" s="113">
        <v>0</v>
      </c>
      <c r="ET157" s="113">
        <v>0</v>
      </c>
      <c r="EU157" s="113">
        <v>0</v>
      </c>
      <c r="EV157" s="113">
        <v>0</v>
      </c>
      <c r="EW157" s="113">
        <v>0</v>
      </c>
      <c r="EX157" s="113">
        <v>0</v>
      </c>
      <c r="EY157" s="113">
        <v>0</v>
      </c>
      <c r="EZ157" s="113">
        <v>0</v>
      </c>
      <c r="FA157" s="113">
        <v>0</v>
      </c>
      <c r="FB157" s="113">
        <v>0</v>
      </c>
      <c r="FC157" s="113">
        <v>0</v>
      </c>
      <c r="FD157" s="113">
        <v>0</v>
      </c>
      <c r="FE157" s="113">
        <v>0</v>
      </c>
      <c r="FF157" s="113">
        <v>0</v>
      </c>
      <c r="FG157" s="113">
        <v>0</v>
      </c>
      <c r="FH157" s="113">
        <v>0</v>
      </c>
      <c r="FI157" s="113">
        <v>0</v>
      </c>
      <c r="FJ157" s="113">
        <v>0</v>
      </c>
      <c r="FK157" s="113">
        <v>0</v>
      </c>
      <c r="FL157" s="113">
        <v>0</v>
      </c>
      <c r="FM157" s="113">
        <v>0</v>
      </c>
      <c r="FN157" s="113">
        <v>0</v>
      </c>
      <c r="FO157" s="113">
        <v>0</v>
      </c>
      <c r="FP157" s="113">
        <v>0</v>
      </c>
      <c r="FQ157" s="113">
        <v>0</v>
      </c>
      <c r="FR157" s="113">
        <v>0</v>
      </c>
      <c r="FS157" s="113">
        <v>0</v>
      </c>
      <c r="FT157" s="113">
        <v>0</v>
      </c>
      <c r="FU157" s="113">
        <v>0</v>
      </c>
      <c r="FV157" s="113">
        <v>0</v>
      </c>
      <c r="FW157" s="113">
        <v>0</v>
      </c>
      <c r="FX157" s="32">
        <v>0</v>
      </c>
      <c r="FY157" s="30">
        <v>0</v>
      </c>
      <c r="FZ157" s="30">
        <v>0</v>
      </c>
    </row>
    <row r="158" spans="1:182" x14ac:dyDescent="0.2">
      <c r="A158" s="28">
        <v>36373</v>
      </c>
      <c r="B158" s="28"/>
      <c r="C158" s="29">
        <v>267638</v>
      </c>
      <c r="D158" s="29">
        <v>148236</v>
      </c>
      <c r="E158" s="29">
        <f t="shared" si="4"/>
        <v>415874</v>
      </c>
      <c r="F158" s="30">
        <v>3532792</v>
      </c>
      <c r="G158" s="30">
        <v>124848</v>
      </c>
      <c r="H158" s="30">
        <f t="shared" si="5"/>
        <v>3657640</v>
      </c>
      <c r="I158" s="42" t="s">
        <v>75</v>
      </c>
      <c r="J158" s="42" t="s">
        <v>75</v>
      </c>
      <c r="K158" s="32">
        <v>4209307</v>
      </c>
      <c r="L158" s="31" t="s">
        <v>75</v>
      </c>
      <c r="M158" s="31" t="s">
        <v>75</v>
      </c>
      <c r="N158" s="30">
        <v>10868380</v>
      </c>
      <c r="O158" s="31" t="s">
        <v>75</v>
      </c>
      <c r="P158" s="31" t="s">
        <v>75</v>
      </c>
      <c r="Q158" s="30">
        <v>13098165</v>
      </c>
      <c r="R158" s="31" t="s">
        <v>75</v>
      </c>
      <c r="S158" s="31" t="s">
        <v>75</v>
      </c>
      <c r="T158" s="32">
        <v>129933</v>
      </c>
      <c r="U158" s="31" t="s">
        <v>75</v>
      </c>
      <c r="V158" s="31" t="s">
        <v>75</v>
      </c>
      <c r="W158" s="31" t="s">
        <v>75</v>
      </c>
      <c r="X158" s="31" t="s">
        <v>75</v>
      </c>
      <c r="Y158" s="31" t="s">
        <v>75</v>
      </c>
      <c r="Z158" s="30">
        <v>82419</v>
      </c>
      <c r="AA158" s="31" t="s">
        <v>75</v>
      </c>
      <c r="AB158" s="31" t="s">
        <v>75</v>
      </c>
      <c r="AC158" s="30">
        <v>144780</v>
      </c>
      <c r="AD158" s="31" t="s">
        <v>75</v>
      </c>
      <c r="AE158" s="31" t="s">
        <v>75</v>
      </c>
      <c r="AF158" s="30">
        <v>6618</v>
      </c>
      <c r="AG158" s="42" t="s">
        <v>75</v>
      </c>
      <c r="AH158" s="42" t="s">
        <v>75</v>
      </c>
      <c r="AI158" s="32">
        <v>48992</v>
      </c>
      <c r="AJ158" s="31" t="s">
        <v>75</v>
      </c>
      <c r="AK158" s="31" t="s">
        <v>75</v>
      </c>
      <c r="AL158" s="31" t="s">
        <v>75</v>
      </c>
      <c r="AM158" s="31"/>
      <c r="AN158" s="31"/>
      <c r="AO158" s="31"/>
      <c r="AP158" s="31"/>
      <c r="AQ158" s="31"/>
      <c r="AR158" s="31"/>
      <c r="AS158" s="31" t="s">
        <v>75</v>
      </c>
      <c r="AT158" s="31" t="s">
        <v>75</v>
      </c>
      <c r="AU158" s="31" t="s">
        <v>75</v>
      </c>
      <c r="AV158" s="31" t="s">
        <v>75</v>
      </c>
      <c r="AW158" s="31" t="s">
        <v>75</v>
      </c>
      <c r="AX158" s="31" t="s">
        <v>75</v>
      </c>
      <c r="AY158" s="31" t="s">
        <v>75</v>
      </c>
      <c r="AZ158" s="31" t="s">
        <v>75</v>
      </c>
      <c r="BA158" s="29">
        <v>13129630</v>
      </c>
      <c r="BB158" s="31" t="s">
        <v>75</v>
      </c>
      <c r="BC158" s="31" t="s">
        <v>75</v>
      </c>
      <c r="BD158" s="29">
        <v>1247805</v>
      </c>
      <c r="BE158" s="113">
        <v>0</v>
      </c>
      <c r="BF158" s="113">
        <v>0</v>
      </c>
      <c r="BG158" s="113">
        <v>0</v>
      </c>
      <c r="BH158" s="113">
        <v>0</v>
      </c>
      <c r="BI158" s="113">
        <v>0</v>
      </c>
      <c r="BJ158" s="113">
        <v>0</v>
      </c>
      <c r="BK158" s="113">
        <v>0</v>
      </c>
      <c r="BL158" s="113">
        <v>0</v>
      </c>
      <c r="BM158" s="113">
        <v>0</v>
      </c>
      <c r="BN158" s="113">
        <v>0</v>
      </c>
      <c r="BO158" s="113">
        <v>0</v>
      </c>
      <c r="BP158" s="113">
        <v>0</v>
      </c>
      <c r="BQ158" s="113">
        <v>0</v>
      </c>
      <c r="BR158" s="113">
        <v>0</v>
      </c>
      <c r="BS158" s="113">
        <v>0</v>
      </c>
      <c r="BT158" s="113">
        <v>0</v>
      </c>
      <c r="BU158" s="113">
        <v>0</v>
      </c>
      <c r="BV158" s="113">
        <v>0</v>
      </c>
      <c r="BW158" s="113"/>
      <c r="BX158" s="113"/>
      <c r="BY158" s="113"/>
      <c r="BZ158" s="113">
        <v>0</v>
      </c>
      <c r="CA158" s="113">
        <v>0</v>
      </c>
      <c r="CB158" s="113">
        <v>0</v>
      </c>
      <c r="CC158" s="113"/>
      <c r="CD158" s="113"/>
      <c r="CE158" s="113"/>
      <c r="CF158" s="113">
        <v>0</v>
      </c>
      <c r="CG158" s="113">
        <v>0</v>
      </c>
      <c r="CH158" s="113">
        <v>0</v>
      </c>
      <c r="CI158" s="113">
        <v>0</v>
      </c>
      <c r="CJ158" s="113">
        <v>0</v>
      </c>
      <c r="CK158" s="113">
        <v>0</v>
      </c>
      <c r="CL158" s="113">
        <v>0</v>
      </c>
      <c r="CM158" s="113">
        <v>0</v>
      </c>
      <c r="CN158" s="113">
        <v>0</v>
      </c>
      <c r="CO158" s="113">
        <v>0</v>
      </c>
      <c r="CP158" s="113">
        <v>0</v>
      </c>
      <c r="CQ158" s="113">
        <v>0</v>
      </c>
      <c r="CR158" s="113">
        <v>0</v>
      </c>
      <c r="CS158" s="113">
        <v>0</v>
      </c>
      <c r="CT158" s="113">
        <v>0</v>
      </c>
      <c r="CU158" s="113">
        <v>0</v>
      </c>
      <c r="CV158" s="113">
        <v>0</v>
      </c>
      <c r="CW158" s="113">
        <v>0</v>
      </c>
      <c r="CX158" s="113">
        <v>0</v>
      </c>
      <c r="CY158" s="113">
        <v>0</v>
      </c>
      <c r="CZ158" s="113">
        <v>0</v>
      </c>
      <c r="DA158" s="113">
        <v>0</v>
      </c>
      <c r="DB158" s="113">
        <v>0</v>
      </c>
      <c r="DC158" s="113">
        <v>0</v>
      </c>
      <c r="DD158" s="113">
        <v>0</v>
      </c>
      <c r="DE158" s="113">
        <v>0</v>
      </c>
      <c r="DF158" s="113">
        <v>0</v>
      </c>
      <c r="DG158" s="113">
        <v>0</v>
      </c>
      <c r="DH158" s="113">
        <v>0</v>
      </c>
      <c r="DI158" s="113">
        <v>0</v>
      </c>
      <c r="DJ158" s="113">
        <v>0</v>
      </c>
      <c r="DK158" s="113">
        <v>0</v>
      </c>
      <c r="DL158" s="113">
        <v>0</v>
      </c>
      <c r="DM158" s="113">
        <v>0</v>
      </c>
      <c r="DN158" s="113">
        <v>0</v>
      </c>
      <c r="DO158" s="113">
        <v>0</v>
      </c>
      <c r="DP158" s="113">
        <v>0</v>
      </c>
      <c r="DQ158" s="113">
        <v>0</v>
      </c>
      <c r="DR158" s="113">
        <v>0</v>
      </c>
      <c r="DS158" s="113">
        <v>0</v>
      </c>
      <c r="DT158" s="113">
        <v>0</v>
      </c>
      <c r="DU158" s="113">
        <v>0</v>
      </c>
      <c r="DV158" s="113">
        <v>0</v>
      </c>
      <c r="DW158" s="113">
        <v>0</v>
      </c>
      <c r="DX158" s="113">
        <v>0</v>
      </c>
      <c r="DY158" s="113">
        <v>0</v>
      </c>
      <c r="DZ158" s="113">
        <v>0</v>
      </c>
      <c r="EA158" s="113">
        <v>0</v>
      </c>
      <c r="EB158" s="113">
        <v>0</v>
      </c>
      <c r="EC158" s="113">
        <v>0</v>
      </c>
      <c r="ED158" s="113">
        <v>0</v>
      </c>
      <c r="EE158" s="113">
        <v>0</v>
      </c>
      <c r="EF158" s="113">
        <v>0</v>
      </c>
      <c r="EG158" s="113">
        <v>0</v>
      </c>
      <c r="EH158" s="113">
        <v>0</v>
      </c>
      <c r="EI158" s="113">
        <v>0</v>
      </c>
      <c r="EJ158" s="113">
        <v>0</v>
      </c>
      <c r="EK158" s="113">
        <v>0</v>
      </c>
      <c r="EL158" s="113">
        <v>0</v>
      </c>
      <c r="EM158" s="113">
        <v>0</v>
      </c>
      <c r="EN158" s="113">
        <v>0</v>
      </c>
      <c r="EO158" s="113">
        <v>0</v>
      </c>
      <c r="EP158" s="113">
        <v>0</v>
      </c>
      <c r="EQ158" s="113">
        <v>0</v>
      </c>
      <c r="ER158" s="113">
        <v>0</v>
      </c>
      <c r="ES158" s="113">
        <v>0</v>
      </c>
      <c r="ET158" s="113">
        <v>0</v>
      </c>
      <c r="EU158" s="113">
        <v>0</v>
      </c>
      <c r="EV158" s="113">
        <v>0</v>
      </c>
      <c r="EW158" s="113">
        <v>0</v>
      </c>
      <c r="EX158" s="113">
        <v>0</v>
      </c>
      <c r="EY158" s="113">
        <v>0</v>
      </c>
      <c r="EZ158" s="113">
        <v>0</v>
      </c>
      <c r="FA158" s="113">
        <v>0</v>
      </c>
      <c r="FB158" s="113">
        <v>0</v>
      </c>
      <c r="FC158" s="113">
        <v>0</v>
      </c>
      <c r="FD158" s="113">
        <v>0</v>
      </c>
      <c r="FE158" s="113">
        <v>0</v>
      </c>
      <c r="FF158" s="113">
        <v>0</v>
      </c>
      <c r="FG158" s="113">
        <v>0</v>
      </c>
      <c r="FH158" s="113">
        <v>0</v>
      </c>
      <c r="FI158" s="113">
        <v>0</v>
      </c>
      <c r="FJ158" s="113">
        <v>0</v>
      </c>
      <c r="FK158" s="113">
        <v>0</v>
      </c>
      <c r="FL158" s="113">
        <v>0</v>
      </c>
      <c r="FM158" s="113">
        <v>0</v>
      </c>
      <c r="FN158" s="113">
        <v>0</v>
      </c>
      <c r="FO158" s="113">
        <v>0</v>
      </c>
      <c r="FP158" s="113">
        <v>0</v>
      </c>
      <c r="FQ158" s="113">
        <v>0</v>
      </c>
      <c r="FR158" s="113">
        <v>0</v>
      </c>
      <c r="FS158" s="113">
        <v>0</v>
      </c>
      <c r="FT158" s="113">
        <v>0</v>
      </c>
      <c r="FU158" s="113">
        <v>0</v>
      </c>
      <c r="FV158" s="113">
        <v>0</v>
      </c>
      <c r="FW158" s="113">
        <v>0</v>
      </c>
      <c r="FX158" s="32">
        <v>0</v>
      </c>
      <c r="FY158" s="30">
        <v>0</v>
      </c>
      <c r="FZ158" s="30">
        <v>0</v>
      </c>
    </row>
    <row r="159" spans="1:182" x14ac:dyDescent="0.2">
      <c r="A159" s="28">
        <v>36404</v>
      </c>
      <c r="B159" s="28"/>
      <c r="C159" s="29">
        <v>268580</v>
      </c>
      <c r="D159" s="29">
        <v>159015</v>
      </c>
      <c r="E159" s="29">
        <f t="shared" si="4"/>
        <v>427595</v>
      </c>
      <c r="F159" s="30">
        <v>4893702</v>
      </c>
      <c r="G159" s="30">
        <v>129510</v>
      </c>
      <c r="H159" s="30">
        <f t="shared" si="5"/>
        <v>5023212</v>
      </c>
      <c r="I159" s="42" t="s">
        <v>75</v>
      </c>
      <c r="J159" s="42" t="s">
        <v>75</v>
      </c>
      <c r="K159" s="32">
        <v>3780618</v>
      </c>
      <c r="L159" s="31" t="s">
        <v>75</v>
      </c>
      <c r="M159" s="31" t="s">
        <v>75</v>
      </c>
      <c r="N159" s="30">
        <v>12040985</v>
      </c>
      <c r="O159" s="31" t="s">
        <v>75</v>
      </c>
      <c r="P159" s="31" t="s">
        <v>75</v>
      </c>
      <c r="Q159" s="30">
        <v>14578246</v>
      </c>
      <c r="R159" s="31" t="s">
        <v>75</v>
      </c>
      <c r="S159" s="31" t="s">
        <v>75</v>
      </c>
      <c r="T159" s="32">
        <v>158305</v>
      </c>
      <c r="U159" s="31" t="s">
        <v>75</v>
      </c>
      <c r="V159" s="31" t="s">
        <v>75</v>
      </c>
      <c r="W159" s="31" t="s">
        <v>75</v>
      </c>
      <c r="X159" s="31" t="s">
        <v>75</v>
      </c>
      <c r="Y159" s="31" t="s">
        <v>75</v>
      </c>
      <c r="Z159" s="30">
        <v>106616</v>
      </c>
      <c r="AA159" s="31" t="s">
        <v>75</v>
      </c>
      <c r="AB159" s="31" t="s">
        <v>75</v>
      </c>
      <c r="AC159" s="30">
        <v>137723</v>
      </c>
      <c r="AD159" s="31" t="s">
        <v>75</v>
      </c>
      <c r="AE159" s="31" t="s">
        <v>75</v>
      </c>
      <c r="AF159" s="30">
        <v>15363</v>
      </c>
      <c r="AG159" s="42" t="s">
        <v>75</v>
      </c>
      <c r="AH159" s="42" t="s">
        <v>75</v>
      </c>
      <c r="AI159" s="32">
        <v>48301</v>
      </c>
      <c r="AJ159" s="31" t="s">
        <v>75</v>
      </c>
      <c r="AK159" s="31" t="s">
        <v>75</v>
      </c>
      <c r="AL159" s="31" t="s">
        <v>75</v>
      </c>
      <c r="AM159" s="31"/>
      <c r="AN159" s="31"/>
      <c r="AO159" s="31"/>
      <c r="AP159" s="31"/>
      <c r="AQ159" s="31"/>
      <c r="AR159" s="31"/>
      <c r="AS159" s="31" t="s">
        <v>75</v>
      </c>
      <c r="AT159" s="31" t="s">
        <v>75</v>
      </c>
      <c r="AU159" s="31" t="s">
        <v>75</v>
      </c>
      <c r="AV159" s="31" t="s">
        <v>75</v>
      </c>
      <c r="AW159" s="31" t="s">
        <v>75</v>
      </c>
      <c r="AX159" s="31" t="s">
        <v>75</v>
      </c>
      <c r="AY159" s="31" t="s">
        <v>75</v>
      </c>
      <c r="AZ159" s="31" t="s">
        <v>75</v>
      </c>
      <c r="BA159" s="29">
        <v>13032615</v>
      </c>
      <c r="BB159" s="31" t="s">
        <v>75</v>
      </c>
      <c r="BC159" s="31" t="s">
        <v>75</v>
      </c>
      <c r="BD159" s="29">
        <v>928882</v>
      </c>
      <c r="BE159" s="113">
        <v>0</v>
      </c>
      <c r="BF159" s="113">
        <v>0</v>
      </c>
      <c r="BG159" s="113">
        <v>0</v>
      </c>
      <c r="BH159" s="113">
        <v>0</v>
      </c>
      <c r="BI159" s="113">
        <v>0</v>
      </c>
      <c r="BJ159" s="113">
        <v>0</v>
      </c>
      <c r="BK159" s="113">
        <v>0</v>
      </c>
      <c r="BL159" s="113">
        <v>0</v>
      </c>
      <c r="BM159" s="113">
        <v>0</v>
      </c>
      <c r="BN159" s="113">
        <v>0</v>
      </c>
      <c r="BO159" s="113">
        <v>0</v>
      </c>
      <c r="BP159" s="113">
        <v>0</v>
      </c>
      <c r="BQ159" s="113">
        <v>0</v>
      </c>
      <c r="BR159" s="113">
        <v>0</v>
      </c>
      <c r="BS159" s="113">
        <v>0</v>
      </c>
      <c r="BT159" s="113">
        <v>0</v>
      </c>
      <c r="BU159" s="113">
        <v>0</v>
      </c>
      <c r="BV159" s="113">
        <v>0</v>
      </c>
      <c r="BW159" s="113"/>
      <c r="BX159" s="113"/>
      <c r="BY159" s="113"/>
      <c r="BZ159" s="113">
        <v>0</v>
      </c>
      <c r="CA159" s="113">
        <v>0</v>
      </c>
      <c r="CB159" s="113">
        <v>0</v>
      </c>
      <c r="CC159" s="113"/>
      <c r="CD159" s="113"/>
      <c r="CE159" s="113"/>
      <c r="CF159" s="113">
        <v>0</v>
      </c>
      <c r="CG159" s="113">
        <v>0</v>
      </c>
      <c r="CH159" s="113">
        <v>0</v>
      </c>
      <c r="CI159" s="113">
        <v>0</v>
      </c>
      <c r="CJ159" s="113">
        <v>0</v>
      </c>
      <c r="CK159" s="113">
        <v>0</v>
      </c>
      <c r="CL159" s="113">
        <v>0</v>
      </c>
      <c r="CM159" s="113">
        <v>0</v>
      </c>
      <c r="CN159" s="113">
        <v>0</v>
      </c>
      <c r="CO159" s="113">
        <v>0</v>
      </c>
      <c r="CP159" s="113">
        <v>0</v>
      </c>
      <c r="CQ159" s="113">
        <v>0</v>
      </c>
      <c r="CR159" s="113">
        <v>0</v>
      </c>
      <c r="CS159" s="113">
        <v>0</v>
      </c>
      <c r="CT159" s="113">
        <v>0</v>
      </c>
      <c r="CU159" s="113">
        <v>0</v>
      </c>
      <c r="CV159" s="113">
        <v>0</v>
      </c>
      <c r="CW159" s="113">
        <v>0</v>
      </c>
      <c r="CX159" s="113">
        <v>0</v>
      </c>
      <c r="CY159" s="113">
        <v>0</v>
      </c>
      <c r="CZ159" s="113">
        <v>0</v>
      </c>
      <c r="DA159" s="113">
        <v>0</v>
      </c>
      <c r="DB159" s="113">
        <v>0</v>
      </c>
      <c r="DC159" s="113">
        <v>0</v>
      </c>
      <c r="DD159" s="113">
        <v>0</v>
      </c>
      <c r="DE159" s="113">
        <v>0</v>
      </c>
      <c r="DF159" s="113">
        <v>0</v>
      </c>
      <c r="DG159" s="113">
        <v>0</v>
      </c>
      <c r="DH159" s="113">
        <v>0</v>
      </c>
      <c r="DI159" s="113">
        <v>0</v>
      </c>
      <c r="DJ159" s="113">
        <v>0</v>
      </c>
      <c r="DK159" s="113">
        <v>0</v>
      </c>
      <c r="DL159" s="113">
        <v>0</v>
      </c>
      <c r="DM159" s="113">
        <v>0</v>
      </c>
      <c r="DN159" s="113">
        <v>0</v>
      </c>
      <c r="DO159" s="113">
        <v>0</v>
      </c>
      <c r="DP159" s="113">
        <v>0</v>
      </c>
      <c r="DQ159" s="113">
        <v>0</v>
      </c>
      <c r="DR159" s="113">
        <v>0</v>
      </c>
      <c r="DS159" s="113">
        <v>0</v>
      </c>
      <c r="DT159" s="113">
        <v>0</v>
      </c>
      <c r="DU159" s="113">
        <v>0</v>
      </c>
      <c r="DV159" s="113">
        <v>0</v>
      </c>
      <c r="DW159" s="113">
        <v>0</v>
      </c>
      <c r="DX159" s="113">
        <v>0</v>
      </c>
      <c r="DY159" s="113">
        <v>0</v>
      </c>
      <c r="DZ159" s="113">
        <v>0</v>
      </c>
      <c r="EA159" s="113">
        <v>0</v>
      </c>
      <c r="EB159" s="113">
        <v>0</v>
      </c>
      <c r="EC159" s="113">
        <v>0</v>
      </c>
      <c r="ED159" s="113">
        <v>0</v>
      </c>
      <c r="EE159" s="113">
        <v>0</v>
      </c>
      <c r="EF159" s="113">
        <v>0</v>
      </c>
      <c r="EG159" s="113">
        <v>0</v>
      </c>
      <c r="EH159" s="113">
        <v>0</v>
      </c>
      <c r="EI159" s="113">
        <v>0</v>
      </c>
      <c r="EJ159" s="113">
        <v>0</v>
      </c>
      <c r="EK159" s="113">
        <v>0</v>
      </c>
      <c r="EL159" s="113">
        <v>0</v>
      </c>
      <c r="EM159" s="113">
        <v>0</v>
      </c>
      <c r="EN159" s="113">
        <v>0</v>
      </c>
      <c r="EO159" s="113">
        <v>0</v>
      </c>
      <c r="EP159" s="113">
        <v>0</v>
      </c>
      <c r="EQ159" s="113">
        <v>0</v>
      </c>
      <c r="ER159" s="113">
        <v>0</v>
      </c>
      <c r="ES159" s="113">
        <v>0</v>
      </c>
      <c r="ET159" s="113">
        <v>0</v>
      </c>
      <c r="EU159" s="113">
        <v>0</v>
      </c>
      <c r="EV159" s="113">
        <v>0</v>
      </c>
      <c r="EW159" s="113">
        <v>0</v>
      </c>
      <c r="EX159" s="113">
        <v>0</v>
      </c>
      <c r="EY159" s="113">
        <v>0</v>
      </c>
      <c r="EZ159" s="113">
        <v>0</v>
      </c>
      <c r="FA159" s="113">
        <v>0</v>
      </c>
      <c r="FB159" s="113">
        <v>0</v>
      </c>
      <c r="FC159" s="113">
        <v>0</v>
      </c>
      <c r="FD159" s="113">
        <v>0</v>
      </c>
      <c r="FE159" s="113">
        <v>0</v>
      </c>
      <c r="FF159" s="113">
        <v>0</v>
      </c>
      <c r="FG159" s="113">
        <v>0</v>
      </c>
      <c r="FH159" s="113">
        <v>0</v>
      </c>
      <c r="FI159" s="113">
        <v>0</v>
      </c>
      <c r="FJ159" s="113">
        <v>0</v>
      </c>
      <c r="FK159" s="113">
        <v>0</v>
      </c>
      <c r="FL159" s="113">
        <v>0</v>
      </c>
      <c r="FM159" s="113">
        <v>0</v>
      </c>
      <c r="FN159" s="113">
        <v>0</v>
      </c>
      <c r="FO159" s="113">
        <v>0</v>
      </c>
      <c r="FP159" s="113">
        <v>0</v>
      </c>
      <c r="FQ159" s="113">
        <v>0</v>
      </c>
      <c r="FR159" s="113">
        <v>0</v>
      </c>
      <c r="FS159" s="113">
        <v>0</v>
      </c>
      <c r="FT159" s="113">
        <v>0</v>
      </c>
      <c r="FU159" s="113">
        <v>0</v>
      </c>
      <c r="FV159" s="113">
        <v>0</v>
      </c>
      <c r="FW159" s="113">
        <v>0</v>
      </c>
      <c r="FX159" s="32">
        <v>0</v>
      </c>
      <c r="FY159" s="30">
        <v>0</v>
      </c>
      <c r="FZ159" s="30">
        <v>0</v>
      </c>
    </row>
    <row r="160" spans="1:182" x14ac:dyDescent="0.2">
      <c r="A160" s="28">
        <v>36434</v>
      </c>
      <c r="B160" s="28"/>
      <c r="C160" s="29">
        <v>248816</v>
      </c>
      <c r="D160" s="29">
        <v>186479</v>
      </c>
      <c r="E160" s="29">
        <f t="shared" si="4"/>
        <v>435295</v>
      </c>
      <c r="F160" s="30">
        <v>6091880</v>
      </c>
      <c r="G160" s="30">
        <v>186185</v>
      </c>
      <c r="H160" s="30">
        <f t="shared" si="5"/>
        <v>6278065</v>
      </c>
      <c r="I160" s="42" t="s">
        <v>75</v>
      </c>
      <c r="J160" s="42" t="s">
        <v>75</v>
      </c>
      <c r="K160" s="32">
        <v>4041182</v>
      </c>
      <c r="L160" s="31" t="s">
        <v>75</v>
      </c>
      <c r="M160" s="31" t="s">
        <v>75</v>
      </c>
      <c r="N160" s="30">
        <v>12290331</v>
      </c>
      <c r="O160" s="31" t="s">
        <v>75</v>
      </c>
      <c r="P160" s="31" t="s">
        <v>75</v>
      </c>
      <c r="Q160" s="30">
        <v>15738627</v>
      </c>
      <c r="R160" s="31" t="s">
        <v>75</v>
      </c>
      <c r="S160" s="31" t="s">
        <v>75</v>
      </c>
      <c r="T160" s="32">
        <v>134647</v>
      </c>
      <c r="U160" s="31" t="s">
        <v>75</v>
      </c>
      <c r="V160" s="31" t="s">
        <v>75</v>
      </c>
      <c r="W160" s="31" t="s">
        <v>75</v>
      </c>
      <c r="X160" s="31" t="s">
        <v>75</v>
      </c>
      <c r="Y160" s="31" t="s">
        <v>75</v>
      </c>
      <c r="Z160" s="30">
        <v>147670</v>
      </c>
      <c r="AA160" s="31" t="s">
        <v>75</v>
      </c>
      <c r="AB160" s="31" t="s">
        <v>75</v>
      </c>
      <c r="AC160" s="30">
        <v>117351</v>
      </c>
      <c r="AD160" s="31" t="s">
        <v>75</v>
      </c>
      <c r="AE160" s="31" t="s">
        <v>75</v>
      </c>
      <c r="AF160" s="30">
        <v>13493</v>
      </c>
      <c r="AG160" s="42" t="s">
        <v>75</v>
      </c>
      <c r="AH160" s="42" t="s">
        <v>75</v>
      </c>
      <c r="AI160" s="32">
        <v>46850</v>
      </c>
      <c r="AJ160" s="31" t="s">
        <v>75</v>
      </c>
      <c r="AK160" s="31" t="s">
        <v>75</v>
      </c>
      <c r="AL160" s="31" t="s">
        <v>75</v>
      </c>
      <c r="AM160" s="31"/>
      <c r="AN160" s="31"/>
      <c r="AO160" s="31"/>
      <c r="AP160" s="31"/>
      <c r="AQ160" s="31"/>
      <c r="AR160" s="31"/>
      <c r="AS160" s="31" t="s">
        <v>75</v>
      </c>
      <c r="AT160" s="31" t="s">
        <v>75</v>
      </c>
      <c r="AU160" s="31" t="s">
        <v>75</v>
      </c>
      <c r="AV160" s="31" t="s">
        <v>75</v>
      </c>
      <c r="AW160" s="31" t="s">
        <v>75</v>
      </c>
      <c r="AX160" s="31" t="s">
        <v>75</v>
      </c>
      <c r="AY160" s="31" t="s">
        <v>75</v>
      </c>
      <c r="AZ160" s="31" t="s">
        <v>75</v>
      </c>
      <c r="BA160" s="29">
        <v>15390720</v>
      </c>
      <c r="BB160" s="31" t="s">
        <v>75</v>
      </c>
      <c r="BC160" s="31" t="s">
        <v>75</v>
      </c>
      <c r="BD160" s="29">
        <v>1250623</v>
      </c>
      <c r="BE160" s="113">
        <v>0</v>
      </c>
      <c r="BF160" s="113">
        <v>0</v>
      </c>
      <c r="BG160" s="113">
        <v>0</v>
      </c>
      <c r="BH160" s="113">
        <v>0</v>
      </c>
      <c r="BI160" s="113">
        <v>0</v>
      </c>
      <c r="BJ160" s="113">
        <v>0</v>
      </c>
      <c r="BK160" s="113">
        <v>0</v>
      </c>
      <c r="BL160" s="113">
        <v>0</v>
      </c>
      <c r="BM160" s="113">
        <v>0</v>
      </c>
      <c r="BN160" s="113">
        <v>0</v>
      </c>
      <c r="BO160" s="113">
        <v>0</v>
      </c>
      <c r="BP160" s="113">
        <v>0</v>
      </c>
      <c r="BQ160" s="113">
        <v>0</v>
      </c>
      <c r="BR160" s="113">
        <v>0</v>
      </c>
      <c r="BS160" s="113">
        <v>0</v>
      </c>
      <c r="BT160" s="113">
        <v>0</v>
      </c>
      <c r="BU160" s="113">
        <v>0</v>
      </c>
      <c r="BV160" s="113">
        <v>0</v>
      </c>
      <c r="BW160" s="113"/>
      <c r="BX160" s="113"/>
      <c r="BY160" s="113"/>
      <c r="BZ160" s="113">
        <v>0</v>
      </c>
      <c r="CA160" s="113">
        <v>0</v>
      </c>
      <c r="CB160" s="113">
        <v>0</v>
      </c>
      <c r="CC160" s="113"/>
      <c r="CD160" s="113"/>
      <c r="CE160" s="113"/>
      <c r="CF160" s="113">
        <v>0</v>
      </c>
      <c r="CG160" s="113">
        <v>0</v>
      </c>
      <c r="CH160" s="113">
        <v>0</v>
      </c>
      <c r="CI160" s="113">
        <v>0</v>
      </c>
      <c r="CJ160" s="113">
        <v>0</v>
      </c>
      <c r="CK160" s="113">
        <v>0</v>
      </c>
      <c r="CL160" s="113">
        <v>0</v>
      </c>
      <c r="CM160" s="113">
        <v>0</v>
      </c>
      <c r="CN160" s="113">
        <v>0</v>
      </c>
      <c r="CO160" s="113">
        <v>0</v>
      </c>
      <c r="CP160" s="113">
        <v>0</v>
      </c>
      <c r="CQ160" s="113">
        <v>0</v>
      </c>
      <c r="CR160" s="113">
        <v>0</v>
      </c>
      <c r="CS160" s="113">
        <v>0</v>
      </c>
      <c r="CT160" s="113">
        <v>0</v>
      </c>
      <c r="CU160" s="113">
        <v>0</v>
      </c>
      <c r="CV160" s="113">
        <v>0</v>
      </c>
      <c r="CW160" s="113">
        <v>0</v>
      </c>
      <c r="CX160" s="113">
        <v>0</v>
      </c>
      <c r="CY160" s="113">
        <v>0</v>
      </c>
      <c r="CZ160" s="113">
        <v>0</v>
      </c>
      <c r="DA160" s="113">
        <v>0</v>
      </c>
      <c r="DB160" s="113">
        <v>0</v>
      </c>
      <c r="DC160" s="113">
        <v>0</v>
      </c>
      <c r="DD160" s="113">
        <v>0</v>
      </c>
      <c r="DE160" s="113">
        <v>0</v>
      </c>
      <c r="DF160" s="113">
        <v>0</v>
      </c>
      <c r="DG160" s="113">
        <v>0</v>
      </c>
      <c r="DH160" s="113">
        <v>0</v>
      </c>
      <c r="DI160" s="113">
        <v>0</v>
      </c>
      <c r="DJ160" s="113">
        <v>0</v>
      </c>
      <c r="DK160" s="113">
        <v>0</v>
      </c>
      <c r="DL160" s="113">
        <v>0</v>
      </c>
      <c r="DM160" s="113">
        <v>0</v>
      </c>
      <c r="DN160" s="113">
        <v>0</v>
      </c>
      <c r="DO160" s="113">
        <v>0</v>
      </c>
      <c r="DP160" s="113">
        <v>0</v>
      </c>
      <c r="DQ160" s="113">
        <v>0</v>
      </c>
      <c r="DR160" s="113">
        <v>0</v>
      </c>
      <c r="DS160" s="113">
        <v>0</v>
      </c>
      <c r="DT160" s="113">
        <v>0</v>
      </c>
      <c r="DU160" s="113">
        <v>0</v>
      </c>
      <c r="DV160" s="113">
        <v>0</v>
      </c>
      <c r="DW160" s="113">
        <v>0</v>
      </c>
      <c r="DX160" s="113">
        <v>0</v>
      </c>
      <c r="DY160" s="113">
        <v>0</v>
      </c>
      <c r="DZ160" s="113">
        <v>0</v>
      </c>
      <c r="EA160" s="113">
        <v>0</v>
      </c>
      <c r="EB160" s="113">
        <v>0</v>
      </c>
      <c r="EC160" s="113">
        <v>0</v>
      </c>
      <c r="ED160" s="113">
        <v>0</v>
      </c>
      <c r="EE160" s="113">
        <v>0</v>
      </c>
      <c r="EF160" s="113">
        <v>0</v>
      </c>
      <c r="EG160" s="113">
        <v>0</v>
      </c>
      <c r="EH160" s="113">
        <v>0</v>
      </c>
      <c r="EI160" s="113">
        <v>0</v>
      </c>
      <c r="EJ160" s="113">
        <v>0</v>
      </c>
      <c r="EK160" s="113">
        <v>0</v>
      </c>
      <c r="EL160" s="113">
        <v>0</v>
      </c>
      <c r="EM160" s="113">
        <v>0</v>
      </c>
      <c r="EN160" s="113">
        <v>0</v>
      </c>
      <c r="EO160" s="113">
        <v>0</v>
      </c>
      <c r="EP160" s="113">
        <v>0</v>
      </c>
      <c r="EQ160" s="113">
        <v>0</v>
      </c>
      <c r="ER160" s="113">
        <v>0</v>
      </c>
      <c r="ES160" s="113">
        <v>0</v>
      </c>
      <c r="ET160" s="113">
        <v>0</v>
      </c>
      <c r="EU160" s="113">
        <v>0</v>
      </c>
      <c r="EV160" s="113">
        <v>0</v>
      </c>
      <c r="EW160" s="113">
        <v>0</v>
      </c>
      <c r="EX160" s="113">
        <v>0</v>
      </c>
      <c r="EY160" s="113">
        <v>0</v>
      </c>
      <c r="EZ160" s="113">
        <v>0</v>
      </c>
      <c r="FA160" s="113">
        <v>0</v>
      </c>
      <c r="FB160" s="113">
        <v>0</v>
      </c>
      <c r="FC160" s="113">
        <v>0</v>
      </c>
      <c r="FD160" s="113">
        <v>0</v>
      </c>
      <c r="FE160" s="113">
        <v>0</v>
      </c>
      <c r="FF160" s="113">
        <v>0</v>
      </c>
      <c r="FG160" s="113">
        <v>0</v>
      </c>
      <c r="FH160" s="113">
        <v>0</v>
      </c>
      <c r="FI160" s="113">
        <v>0</v>
      </c>
      <c r="FJ160" s="113">
        <v>0</v>
      </c>
      <c r="FK160" s="113">
        <v>0</v>
      </c>
      <c r="FL160" s="113">
        <v>0</v>
      </c>
      <c r="FM160" s="113">
        <v>0</v>
      </c>
      <c r="FN160" s="113">
        <v>0</v>
      </c>
      <c r="FO160" s="113">
        <v>0</v>
      </c>
      <c r="FP160" s="113">
        <v>0</v>
      </c>
      <c r="FQ160" s="113">
        <v>0</v>
      </c>
      <c r="FR160" s="113">
        <v>0</v>
      </c>
      <c r="FS160" s="113">
        <v>0</v>
      </c>
      <c r="FT160" s="113">
        <v>0</v>
      </c>
      <c r="FU160" s="113">
        <v>0</v>
      </c>
      <c r="FV160" s="113">
        <v>0</v>
      </c>
      <c r="FW160" s="113">
        <v>0</v>
      </c>
      <c r="FX160" s="32">
        <v>0</v>
      </c>
      <c r="FY160" s="30">
        <v>0</v>
      </c>
      <c r="FZ160" s="30">
        <v>0</v>
      </c>
    </row>
    <row r="161" spans="1:182" x14ac:dyDescent="0.2">
      <c r="A161" s="28">
        <v>36465</v>
      </c>
      <c r="B161" s="28"/>
      <c r="C161" s="29">
        <v>333534</v>
      </c>
      <c r="D161" s="29">
        <v>203483</v>
      </c>
      <c r="E161" s="29">
        <f t="shared" si="4"/>
        <v>537017</v>
      </c>
      <c r="F161" s="30">
        <v>9769119</v>
      </c>
      <c r="G161" s="30">
        <v>169024</v>
      </c>
      <c r="H161" s="30">
        <f t="shared" si="5"/>
        <v>9938143</v>
      </c>
      <c r="I161" s="42" t="s">
        <v>75</v>
      </c>
      <c r="J161" s="42" t="s">
        <v>75</v>
      </c>
      <c r="K161" s="32">
        <v>5893597</v>
      </c>
      <c r="L161" s="31" t="s">
        <v>75</v>
      </c>
      <c r="M161" s="31" t="s">
        <v>75</v>
      </c>
      <c r="N161" s="30">
        <v>15925900</v>
      </c>
      <c r="O161" s="31" t="s">
        <v>75</v>
      </c>
      <c r="P161" s="31" t="s">
        <v>75</v>
      </c>
      <c r="Q161" s="30">
        <v>19017903</v>
      </c>
      <c r="R161" s="31" t="s">
        <v>75</v>
      </c>
      <c r="S161" s="31" t="s">
        <v>75</v>
      </c>
      <c r="T161" s="32">
        <v>97892</v>
      </c>
      <c r="U161" s="31" t="s">
        <v>75</v>
      </c>
      <c r="V161" s="31" t="s">
        <v>75</v>
      </c>
      <c r="W161" s="31" t="s">
        <v>75</v>
      </c>
      <c r="X161" s="31" t="s">
        <v>75</v>
      </c>
      <c r="Y161" s="31" t="s">
        <v>75</v>
      </c>
      <c r="Z161" s="30">
        <v>111764</v>
      </c>
      <c r="AA161" s="31" t="s">
        <v>75</v>
      </c>
      <c r="AB161" s="31" t="s">
        <v>75</v>
      </c>
      <c r="AC161" s="30">
        <v>130298</v>
      </c>
      <c r="AD161" s="31" t="s">
        <v>75</v>
      </c>
      <c r="AE161" s="31" t="s">
        <v>75</v>
      </c>
      <c r="AF161" s="30">
        <v>42250</v>
      </c>
      <c r="AG161" s="42" t="s">
        <v>75</v>
      </c>
      <c r="AH161" s="42" t="s">
        <v>75</v>
      </c>
      <c r="AI161" s="32">
        <v>56443</v>
      </c>
      <c r="AJ161" s="31" t="s">
        <v>75</v>
      </c>
      <c r="AK161" s="31" t="s">
        <v>75</v>
      </c>
      <c r="AL161" s="31" t="s">
        <v>75</v>
      </c>
      <c r="AM161" s="31"/>
      <c r="AN161" s="31"/>
      <c r="AO161" s="31"/>
      <c r="AP161" s="31"/>
      <c r="AQ161" s="31"/>
      <c r="AR161" s="31"/>
      <c r="AS161" s="31" t="s">
        <v>75</v>
      </c>
      <c r="AT161" s="31" t="s">
        <v>75</v>
      </c>
      <c r="AU161" s="31" t="s">
        <v>75</v>
      </c>
      <c r="AV161" s="31" t="s">
        <v>75</v>
      </c>
      <c r="AW161" s="31" t="s">
        <v>75</v>
      </c>
      <c r="AX161" s="31" t="s">
        <v>75</v>
      </c>
      <c r="AY161" s="31" t="s">
        <v>75</v>
      </c>
      <c r="AZ161" s="31" t="s">
        <v>75</v>
      </c>
      <c r="BA161" s="29">
        <v>15128713</v>
      </c>
      <c r="BB161" s="31" t="s">
        <v>75</v>
      </c>
      <c r="BC161" s="31" t="s">
        <v>75</v>
      </c>
      <c r="BD161" s="29">
        <v>1014420</v>
      </c>
      <c r="BE161" s="113">
        <v>0</v>
      </c>
      <c r="BF161" s="113">
        <v>0</v>
      </c>
      <c r="BG161" s="113">
        <v>0</v>
      </c>
      <c r="BH161" s="113">
        <v>0</v>
      </c>
      <c r="BI161" s="113">
        <v>0</v>
      </c>
      <c r="BJ161" s="113">
        <v>0</v>
      </c>
      <c r="BK161" s="113">
        <v>0</v>
      </c>
      <c r="BL161" s="113">
        <v>0</v>
      </c>
      <c r="BM161" s="113">
        <v>0</v>
      </c>
      <c r="BN161" s="113">
        <v>0</v>
      </c>
      <c r="BO161" s="113">
        <v>0</v>
      </c>
      <c r="BP161" s="113">
        <v>0</v>
      </c>
      <c r="BQ161" s="113">
        <v>0</v>
      </c>
      <c r="BR161" s="113">
        <v>0</v>
      </c>
      <c r="BS161" s="113">
        <v>0</v>
      </c>
      <c r="BT161" s="113">
        <v>0</v>
      </c>
      <c r="BU161" s="113">
        <v>0</v>
      </c>
      <c r="BV161" s="113">
        <v>0</v>
      </c>
      <c r="BW161" s="113"/>
      <c r="BX161" s="113"/>
      <c r="BY161" s="113"/>
      <c r="BZ161" s="113">
        <v>0</v>
      </c>
      <c r="CA161" s="113">
        <v>0</v>
      </c>
      <c r="CB161" s="113">
        <v>0</v>
      </c>
      <c r="CC161" s="113"/>
      <c r="CD161" s="113"/>
      <c r="CE161" s="113"/>
      <c r="CF161" s="113">
        <v>0</v>
      </c>
      <c r="CG161" s="113">
        <v>0</v>
      </c>
      <c r="CH161" s="113">
        <v>0</v>
      </c>
      <c r="CI161" s="113">
        <v>0</v>
      </c>
      <c r="CJ161" s="113">
        <v>0</v>
      </c>
      <c r="CK161" s="113">
        <v>0</v>
      </c>
      <c r="CL161" s="113">
        <v>0</v>
      </c>
      <c r="CM161" s="113">
        <v>0</v>
      </c>
      <c r="CN161" s="113">
        <v>0</v>
      </c>
      <c r="CO161" s="113">
        <v>0</v>
      </c>
      <c r="CP161" s="113">
        <v>0</v>
      </c>
      <c r="CQ161" s="113">
        <v>0</v>
      </c>
      <c r="CR161" s="113">
        <v>0</v>
      </c>
      <c r="CS161" s="113">
        <v>0</v>
      </c>
      <c r="CT161" s="113">
        <v>0</v>
      </c>
      <c r="CU161" s="113">
        <v>0</v>
      </c>
      <c r="CV161" s="113">
        <v>0</v>
      </c>
      <c r="CW161" s="113">
        <v>0</v>
      </c>
      <c r="CX161" s="113">
        <v>0</v>
      </c>
      <c r="CY161" s="113">
        <v>0</v>
      </c>
      <c r="CZ161" s="113">
        <v>0</v>
      </c>
      <c r="DA161" s="113">
        <v>0</v>
      </c>
      <c r="DB161" s="113">
        <v>0</v>
      </c>
      <c r="DC161" s="113">
        <v>0</v>
      </c>
      <c r="DD161" s="113">
        <v>0</v>
      </c>
      <c r="DE161" s="113">
        <v>0</v>
      </c>
      <c r="DF161" s="113">
        <v>0</v>
      </c>
      <c r="DG161" s="113">
        <v>0</v>
      </c>
      <c r="DH161" s="113">
        <v>0</v>
      </c>
      <c r="DI161" s="113">
        <v>0</v>
      </c>
      <c r="DJ161" s="113">
        <v>0</v>
      </c>
      <c r="DK161" s="113">
        <v>0</v>
      </c>
      <c r="DL161" s="113">
        <v>0</v>
      </c>
      <c r="DM161" s="113">
        <v>0</v>
      </c>
      <c r="DN161" s="113">
        <v>0</v>
      </c>
      <c r="DO161" s="113">
        <v>0</v>
      </c>
      <c r="DP161" s="113">
        <v>0</v>
      </c>
      <c r="DQ161" s="113">
        <v>0</v>
      </c>
      <c r="DR161" s="113">
        <v>0</v>
      </c>
      <c r="DS161" s="113">
        <v>0</v>
      </c>
      <c r="DT161" s="113">
        <v>0</v>
      </c>
      <c r="DU161" s="113">
        <v>0</v>
      </c>
      <c r="DV161" s="113">
        <v>0</v>
      </c>
      <c r="DW161" s="113">
        <v>0</v>
      </c>
      <c r="DX161" s="113">
        <v>0</v>
      </c>
      <c r="DY161" s="113">
        <v>0</v>
      </c>
      <c r="DZ161" s="113">
        <v>0</v>
      </c>
      <c r="EA161" s="113">
        <v>0</v>
      </c>
      <c r="EB161" s="113">
        <v>0</v>
      </c>
      <c r="EC161" s="113">
        <v>0</v>
      </c>
      <c r="ED161" s="113">
        <v>0</v>
      </c>
      <c r="EE161" s="113">
        <v>0</v>
      </c>
      <c r="EF161" s="113">
        <v>0</v>
      </c>
      <c r="EG161" s="113">
        <v>0</v>
      </c>
      <c r="EH161" s="113">
        <v>0</v>
      </c>
      <c r="EI161" s="113">
        <v>0</v>
      </c>
      <c r="EJ161" s="113">
        <v>0</v>
      </c>
      <c r="EK161" s="113">
        <v>0</v>
      </c>
      <c r="EL161" s="113">
        <v>0</v>
      </c>
      <c r="EM161" s="113">
        <v>0</v>
      </c>
      <c r="EN161" s="113">
        <v>0</v>
      </c>
      <c r="EO161" s="113">
        <v>0</v>
      </c>
      <c r="EP161" s="113">
        <v>0</v>
      </c>
      <c r="EQ161" s="113">
        <v>0</v>
      </c>
      <c r="ER161" s="113">
        <v>0</v>
      </c>
      <c r="ES161" s="113">
        <v>0</v>
      </c>
      <c r="ET161" s="113">
        <v>0</v>
      </c>
      <c r="EU161" s="113">
        <v>0</v>
      </c>
      <c r="EV161" s="113">
        <v>0</v>
      </c>
      <c r="EW161" s="113">
        <v>0</v>
      </c>
      <c r="EX161" s="113">
        <v>0</v>
      </c>
      <c r="EY161" s="113">
        <v>0</v>
      </c>
      <c r="EZ161" s="113">
        <v>0</v>
      </c>
      <c r="FA161" s="113">
        <v>0</v>
      </c>
      <c r="FB161" s="113">
        <v>0</v>
      </c>
      <c r="FC161" s="113">
        <v>0</v>
      </c>
      <c r="FD161" s="113">
        <v>0</v>
      </c>
      <c r="FE161" s="113">
        <v>0</v>
      </c>
      <c r="FF161" s="113">
        <v>0</v>
      </c>
      <c r="FG161" s="113">
        <v>0</v>
      </c>
      <c r="FH161" s="113">
        <v>0</v>
      </c>
      <c r="FI161" s="113">
        <v>0</v>
      </c>
      <c r="FJ161" s="113">
        <v>0</v>
      </c>
      <c r="FK161" s="113">
        <v>0</v>
      </c>
      <c r="FL161" s="113">
        <v>0</v>
      </c>
      <c r="FM161" s="113">
        <v>0</v>
      </c>
      <c r="FN161" s="113">
        <v>0</v>
      </c>
      <c r="FO161" s="113">
        <v>0</v>
      </c>
      <c r="FP161" s="113">
        <v>0</v>
      </c>
      <c r="FQ161" s="113">
        <v>0</v>
      </c>
      <c r="FR161" s="113">
        <v>0</v>
      </c>
      <c r="FS161" s="113">
        <v>0</v>
      </c>
      <c r="FT161" s="113">
        <v>0</v>
      </c>
      <c r="FU161" s="113">
        <v>0</v>
      </c>
      <c r="FV161" s="113">
        <v>0</v>
      </c>
      <c r="FW161" s="113">
        <v>0</v>
      </c>
      <c r="FX161" s="32">
        <v>0</v>
      </c>
      <c r="FY161" s="30">
        <v>0</v>
      </c>
      <c r="FZ161" s="30">
        <v>0</v>
      </c>
    </row>
    <row r="162" spans="1:182" x14ac:dyDescent="0.2">
      <c r="A162" s="28">
        <v>36495</v>
      </c>
      <c r="B162" s="28"/>
      <c r="C162" s="29">
        <v>466449</v>
      </c>
      <c r="D162" s="29">
        <v>261148</v>
      </c>
      <c r="E162" s="29">
        <f t="shared" si="4"/>
        <v>727597</v>
      </c>
      <c r="F162" s="30">
        <v>13880565</v>
      </c>
      <c r="G162" s="30">
        <v>553386</v>
      </c>
      <c r="H162" s="30">
        <f t="shared" si="5"/>
        <v>14433951</v>
      </c>
      <c r="I162" s="42" t="s">
        <v>75</v>
      </c>
      <c r="J162" s="42" t="s">
        <v>75</v>
      </c>
      <c r="K162" s="32">
        <v>7523302</v>
      </c>
      <c r="L162" s="31" t="s">
        <v>75</v>
      </c>
      <c r="M162" s="31" t="s">
        <v>75</v>
      </c>
      <c r="N162" s="30">
        <v>21030831</v>
      </c>
      <c r="O162" s="31" t="s">
        <v>75</v>
      </c>
      <c r="P162" s="31" t="s">
        <v>75</v>
      </c>
      <c r="Q162" s="30">
        <v>25329929</v>
      </c>
      <c r="R162" s="31" t="s">
        <v>75</v>
      </c>
      <c r="S162" s="31" t="s">
        <v>75</v>
      </c>
      <c r="T162" s="32">
        <v>99473</v>
      </c>
      <c r="U162" s="31" t="s">
        <v>75</v>
      </c>
      <c r="V162" s="31" t="s">
        <v>75</v>
      </c>
      <c r="W162" s="31" t="s">
        <v>75</v>
      </c>
      <c r="X162" s="31" t="s">
        <v>75</v>
      </c>
      <c r="Y162" s="31" t="s">
        <v>75</v>
      </c>
      <c r="Z162" s="30">
        <v>197781</v>
      </c>
      <c r="AA162" s="31" t="s">
        <v>75</v>
      </c>
      <c r="AB162" s="31" t="s">
        <v>75</v>
      </c>
      <c r="AC162" s="30">
        <v>178685</v>
      </c>
      <c r="AD162" s="31" t="s">
        <v>75</v>
      </c>
      <c r="AE162" s="31" t="s">
        <v>75</v>
      </c>
      <c r="AF162" s="30">
        <v>94298</v>
      </c>
      <c r="AG162" s="42" t="s">
        <v>75</v>
      </c>
      <c r="AH162" s="42" t="s">
        <v>75</v>
      </c>
      <c r="AI162" s="32">
        <v>104263</v>
      </c>
      <c r="AJ162" s="31" t="s">
        <v>75</v>
      </c>
      <c r="AK162" s="31" t="s">
        <v>75</v>
      </c>
      <c r="AL162" s="31" t="s">
        <v>75</v>
      </c>
      <c r="AM162" s="31"/>
      <c r="AN162" s="31"/>
      <c r="AO162" s="31"/>
      <c r="AP162" s="31"/>
      <c r="AQ162" s="31"/>
      <c r="AR162" s="31"/>
      <c r="AS162" s="31" t="s">
        <v>75</v>
      </c>
      <c r="AT162" s="31" t="s">
        <v>75</v>
      </c>
      <c r="AU162" s="31" t="s">
        <v>75</v>
      </c>
      <c r="AV162" s="31" t="s">
        <v>75</v>
      </c>
      <c r="AW162" s="31" t="s">
        <v>75</v>
      </c>
      <c r="AX162" s="31" t="s">
        <v>75</v>
      </c>
      <c r="AY162" s="31" t="s">
        <v>75</v>
      </c>
      <c r="AZ162" s="31" t="s">
        <v>75</v>
      </c>
      <c r="BA162" s="29">
        <v>19260309</v>
      </c>
      <c r="BB162" s="31" t="s">
        <v>75</v>
      </c>
      <c r="BC162" s="31" t="s">
        <v>75</v>
      </c>
      <c r="BD162" s="29">
        <v>1452899</v>
      </c>
      <c r="BE162" s="113">
        <v>0</v>
      </c>
      <c r="BF162" s="113">
        <v>0</v>
      </c>
      <c r="BG162" s="113">
        <v>0</v>
      </c>
      <c r="BH162" s="113">
        <v>0</v>
      </c>
      <c r="BI162" s="113">
        <v>0</v>
      </c>
      <c r="BJ162" s="113">
        <v>0</v>
      </c>
      <c r="BK162" s="113">
        <v>0</v>
      </c>
      <c r="BL162" s="113">
        <v>0</v>
      </c>
      <c r="BM162" s="113">
        <v>0</v>
      </c>
      <c r="BN162" s="113">
        <v>0</v>
      </c>
      <c r="BO162" s="113">
        <v>0</v>
      </c>
      <c r="BP162" s="113">
        <v>0</v>
      </c>
      <c r="BQ162" s="113">
        <v>0</v>
      </c>
      <c r="BR162" s="113">
        <v>0</v>
      </c>
      <c r="BS162" s="113">
        <v>0</v>
      </c>
      <c r="BT162" s="113">
        <v>0</v>
      </c>
      <c r="BU162" s="113">
        <v>0</v>
      </c>
      <c r="BV162" s="113">
        <v>0</v>
      </c>
      <c r="BW162" s="113"/>
      <c r="BX162" s="113"/>
      <c r="BY162" s="113"/>
      <c r="BZ162" s="113">
        <v>0</v>
      </c>
      <c r="CA162" s="113">
        <v>0</v>
      </c>
      <c r="CB162" s="113">
        <v>0</v>
      </c>
      <c r="CC162" s="113"/>
      <c r="CD162" s="113"/>
      <c r="CE162" s="113"/>
      <c r="CF162" s="113">
        <v>0</v>
      </c>
      <c r="CG162" s="113">
        <v>0</v>
      </c>
      <c r="CH162" s="113">
        <v>0</v>
      </c>
      <c r="CI162" s="113">
        <v>0</v>
      </c>
      <c r="CJ162" s="113">
        <v>0</v>
      </c>
      <c r="CK162" s="113">
        <v>0</v>
      </c>
      <c r="CL162" s="113">
        <v>0</v>
      </c>
      <c r="CM162" s="113">
        <v>0</v>
      </c>
      <c r="CN162" s="113">
        <v>0</v>
      </c>
      <c r="CO162" s="113">
        <v>0</v>
      </c>
      <c r="CP162" s="113">
        <v>0</v>
      </c>
      <c r="CQ162" s="113">
        <v>0</v>
      </c>
      <c r="CR162" s="113">
        <v>0</v>
      </c>
      <c r="CS162" s="113">
        <v>0</v>
      </c>
      <c r="CT162" s="113">
        <v>0</v>
      </c>
      <c r="CU162" s="113">
        <v>0</v>
      </c>
      <c r="CV162" s="113">
        <v>0</v>
      </c>
      <c r="CW162" s="113">
        <v>0</v>
      </c>
      <c r="CX162" s="113">
        <v>0</v>
      </c>
      <c r="CY162" s="113">
        <v>0</v>
      </c>
      <c r="CZ162" s="113">
        <v>0</v>
      </c>
      <c r="DA162" s="113">
        <v>0</v>
      </c>
      <c r="DB162" s="113">
        <v>0</v>
      </c>
      <c r="DC162" s="113">
        <v>0</v>
      </c>
      <c r="DD162" s="113">
        <v>0</v>
      </c>
      <c r="DE162" s="113">
        <v>0</v>
      </c>
      <c r="DF162" s="113">
        <v>0</v>
      </c>
      <c r="DG162" s="113">
        <v>0</v>
      </c>
      <c r="DH162" s="113">
        <v>0</v>
      </c>
      <c r="DI162" s="113">
        <v>0</v>
      </c>
      <c r="DJ162" s="113">
        <v>0</v>
      </c>
      <c r="DK162" s="113">
        <v>0</v>
      </c>
      <c r="DL162" s="113">
        <v>0</v>
      </c>
      <c r="DM162" s="113">
        <v>0</v>
      </c>
      <c r="DN162" s="113">
        <v>0</v>
      </c>
      <c r="DO162" s="113">
        <v>0</v>
      </c>
      <c r="DP162" s="113">
        <v>0</v>
      </c>
      <c r="DQ162" s="113">
        <v>0</v>
      </c>
      <c r="DR162" s="113">
        <v>0</v>
      </c>
      <c r="DS162" s="113">
        <v>0</v>
      </c>
      <c r="DT162" s="113">
        <v>0</v>
      </c>
      <c r="DU162" s="113">
        <v>0</v>
      </c>
      <c r="DV162" s="113">
        <v>0</v>
      </c>
      <c r="DW162" s="113">
        <v>0</v>
      </c>
      <c r="DX162" s="113">
        <v>0</v>
      </c>
      <c r="DY162" s="113">
        <v>0</v>
      </c>
      <c r="DZ162" s="113">
        <v>0</v>
      </c>
      <c r="EA162" s="113">
        <v>0</v>
      </c>
      <c r="EB162" s="113">
        <v>0</v>
      </c>
      <c r="EC162" s="113">
        <v>0</v>
      </c>
      <c r="ED162" s="113">
        <v>0</v>
      </c>
      <c r="EE162" s="113">
        <v>0</v>
      </c>
      <c r="EF162" s="113">
        <v>0</v>
      </c>
      <c r="EG162" s="113">
        <v>0</v>
      </c>
      <c r="EH162" s="113">
        <v>0</v>
      </c>
      <c r="EI162" s="113">
        <v>0</v>
      </c>
      <c r="EJ162" s="113">
        <v>0</v>
      </c>
      <c r="EK162" s="113">
        <v>0</v>
      </c>
      <c r="EL162" s="113">
        <v>0</v>
      </c>
      <c r="EM162" s="113">
        <v>0</v>
      </c>
      <c r="EN162" s="113">
        <v>0</v>
      </c>
      <c r="EO162" s="113">
        <v>0</v>
      </c>
      <c r="EP162" s="113">
        <v>0</v>
      </c>
      <c r="EQ162" s="113">
        <v>0</v>
      </c>
      <c r="ER162" s="113">
        <v>0</v>
      </c>
      <c r="ES162" s="113">
        <v>0</v>
      </c>
      <c r="ET162" s="113">
        <v>0</v>
      </c>
      <c r="EU162" s="113">
        <v>0</v>
      </c>
      <c r="EV162" s="113">
        <v>0</v>
      </c>
      <c r="EW162" s="113">
        <v>0</v>
      </c>
      <c r="EX162" s="113">
        <v>0</v>
      </c>
      <c r="EY162" s="113">
        <v>0</v>
      </c>
      <c r="EZ162" s="113">
        <v>0</v>
      </c>
      <c r="FA162" s="113">
        <v>0</v>
      </c>
      <c r="FB162" s="113">
        <v>0</v>
      </c>
      <c r="FC162" s="113">
        <v>0</v>
      </c>
      <c r="FD162" s="113">
        <v>0</v>
      </c>
      <c r="FE162" s="113">
        <v>0</v>
      </c>
      <c r="FF162" s="113">
        <v>0</v>
      </c>
      <c r="FG162" s="113">
        <v>0</v>
      </c>
      <c r="FH162" s="113">
        <v>0</v>
      </c>
      <c r="FI162" s="113">
        <v>0</v>
      </c>
      <c r="FJ162" s="113">
        <v>0</v>
      </c>
      <c r="FK162" s="113">
        <v>0</v>
      </c>
      <c r="FL162" s="113">
        <v>0</v>
      </c>
      <c r="FM162" s="113">
        <v>0</v>
      </c>
      <c r="FN162" s="113">
        <v>0</v>
      </c>
      <c r="FO162" s="113">
        <v>0</v>
      </c>
      <c r="FP162" s="113">
        <v>0</v>
      </c>
      <c r="FQ162" s="113">
        <v>0</v>
      </c>
      <c r="FR162" s="113">
        <v>0</v>
      </c>
      <c r="FS162" s="113">
        <v>0</v>
      </c>
      <c r="FT162" s="113">
        <v>0</v>
      </c>
      <c r="FU162" s="113">
        <v>0</v>
      </c>
      <c r="FV162" s="113">
        <v>0</v>
      </c>
      <c r="FW162" s="113">
        <v>0</v>
      </c>
      <c r="FX162" s="32">
        <v>0</v>
      </c>
      <c r="FY162" s="30">
        <v>0</v>
      </c>
      <c r="FZ162" s="30">
        <v>0</v>
      </c>
    </row>
    <row r="163" spans="1:182" x14ac:dyDescent="0.2">
      <c r="A163" s="28">
        <v>36526</v>
      </c>
      <c r="B163" s="28"/>
      <c r="C163" s="29">
        <v>163434</v>
      </c>
      <c r="D163" s="29">
        <v>91041</v>
      </c>
      <c r="E163" s="29">
        <f t="shared" si="4"/>
        <v>254475</v>
      </c>
      <c r="F163" s="30">
        <v>6545476</v>
      </c>
      <c r="G163" s="30">
        <v>314242</v>
      </c>
      <c r="H163" s="30">
        <f t="shared" si="5"/>
        <v>6859718</v>
      </c>
      <c r="I163" s="42" t="s">
        <v>75</v>
      </c>
      <c r="J163" s="42" t="s">
        <v>75</v>
      </c>
      <c r="K163" s="32">
        <v>5697651</v>
      </c>
      <c r="L163" s="31" t="s">
        <v>75</v>
      </c>
      <c r="M163" s="31" t="s">
        <v>75</v>
      </c>
      <c r="N163" s="30">
        <v>9921980</v>
      </c>
      <c r="O163" s="31" t="s">
        <v>75</v>
      </c>
      <c r="P163" s="31" t="s">
        <v>75</v>
      </c>
      <c r="Q163" s="30">
        <v>23605434</v>
      </c>
      <c r="R163" s="31" t="s">
        <v>75</v>
      </c>
      <c r="S163" s="31" t="s">
        <v>75</v>
      </c>
      <c r="T163" s="32">
        <v>111586</v>
      </c>
      <c r="U163" s="31" t="s">
        <v>75</v>
      </c>
      <c r="V163" s="31" t="s">
        <v>75</v>
      </c>
      <c r="W163" s="31" t="s">
        <v>75</v>
      </c>
      <c r="X163" s="31" t="s">
        <v>75</v>
      </c>
      <c r="Y163" s="31" t="s">
        <v>75</v>
      </c>
      <c r="Z163" s="30">
        <v>50833</v>
      </c>
      <c r="AA163" s="31" t="s">
        <v>75</v>
      </c>
      <c r="AB163" s="31" t="s">
        <v>75</v>
      </c>
      <c r="AC163" s="30">
        <v>46680</v>
      </c>
      <c r="AD163" s="31" t="s">
        <v>75</v>
      </c>
      <c r="AE163" s="31" t="s">
        <v>75</v>
      </c>
      <c r="AF163" s="30">
        <v>23746</v>
      </c>
      <c r="AG163" s="42" t="s">
        <v>75</v>
      </c>
      <c r="AH163" s="42" t="s">
        <v>75</v>
      </c>
      <c r="AI163" s="32">
        <v>46253</v>
      </c>
      <c r="AJ163" s="31" t="s">
        <v>75</v>
      </c>
      <c r="AK163" s="31" t="s">
        <v>75</v>
      </c>
      <c r="AL163" s="31" t="s">
        <v>75</v>
      </c>
      <c r="AM163" s="31"/>
      <c r="AN163" s="31"/>
      <c r="AO163" s="31"/>
      <c r="AP163" s="31"/>
      <c r="AQ163" s="31"/>
      <c r="AR163" s="31"/>
      <c r="AS163" s="31" t="s">
        <v>75</v>
      </c>
      <c r="AT163" s="31" t="s">
        <v>75</v>
      </c>
      <c r="AU163" s="31" t="s">
        <v>75</v>
      </c>
      <c r="AV163" s="31" t="s">
        <v>75</v>
      </c>
      <c r="AW163" s="31" t="s">
        <v>75</v>
      </c>
      <c r="AX163" s="31" t="s">
        <v>75</v>
      </c>
      <c r="AY163" s="31" t="s">
        <v>75</v>
      </c>
      <c r="AZ163" s="31" t="s">
        <v>75</v>
      </c>
      <c r="BA163" s="29">
        <v>15015313</v>
      </c>
      <c r="BB163" s="31" t="s">
        <v>75</v>
      </c>
      <c r="BC163" s="31" t="s">
        <v>75</v>
      </c>
      <c r="BD163" s="29">
        <v>834077</v>
      </c>
      <c r="BE163" s="113">
        <v>0</v>
      </c>
      <c r="BF163" s="113">
        <v>0</v>
      </c>
      <c r="BG163" s="113">
        <v>0</v>
      </c>
      <c r="BH163" s="113">
        <v>0</v>
      </c>
      <c r="BI163" s="113">
        <v>0</v>
      </c>
      <c r="BJ163" s="113">
        <v>0</v>
      </c>
      <c r="BK163" s="113">
        <v>0</v>
      </c>
      <c r="BL163" s="113">
        <v>0</v>
      </c>
      <c r="BM163" s="113">
        <v>0</v>
      </c>
      <c r="BN163" s="113">
        <v>0</v>
      </c>
      <c r="BO163" s="113">
        <v>0</v>
      </c>
      <c r="BP163" s="113">
        <v>0</v>
      </c>
      <c r="BQ163" s="113">
        <v>0</v>
      </c>
      <c r="BR163" s="113">
        <v>0</v>
      </c>
      <c r="BS163" s="113">
        <v>0</v>
      </c>
      <c r="BT163" s="113">
        <v>0</v>
      </c>
      <c r="BU163" s="113">
        <v>0</v>
      </c>
      <c r="BV163" s="113">
        <v>0</v>
      </c>
      <c r="BW163" s="113"/>
      <c r="BX163" s="113"/>
      <c r="BY163" s="113"/>
      <c r="BZ163" s="113">
        <v>0</v>
      </c>
      <c r="CA163" s="113">
        <v>0</v>
      </c>
      <c r="CB163" s="113">
        <v>0</v>
      </c>
      <c r="CC163" s="113"/>
      <c r="CD163" s="113"/>
      <c r="CE163" s="113"/>
      <c r="CF163" s="113">
        <v>0</v>
      </c>
      <c r="CG163" s="113">
        <v>0</v>
      </c>
      <c r="CH163" s="113">
        <v>0</v>
      </c>
      <c r="CI163" s="113">
        <v>0</v>
      </c>
      <c r="CJ163" s="113">
        <v>0</v>
      </c>
      <c r="CK163" s="113">
        <v>0</v>
      </c>
      <c r="CL163" s="113">
        <v>0</v>
      </c>
      <c r="CM163" s="113">
        <v>0</v>
      </c>
      <c r="CN163" s="113">
        <v>0</v>
      </c>
      <c r="CO163" s="113">
        <v>0</v>
      </c>
      <c r="CP163" s="113">
        <v>0</v>
      </c>
      <c r="CQ163" s="113">
        <v>0</v>
      </c>
      <c r="CR163" s="113">
        <v>0</v>
      </c>
      <c r="CS163" s="113">
        <v>0</v>
      </c>
      <c r="CT163" s="113">
        <v>0</v>
      </c>
      <c r="CU163" s="113">
        <v>0</v>
      </c>
      <c r="CV163" s="113">
        <v>0</v>
      </c>
      <c r="CW163" s="113">
        <v>0</v>
      </c>
      <c r="CX163" s="113">
        <v>0</v>
      </c>
      <c r="CY163" s="113">
        <v>0</v>
      </c>
      <c r="CZ163" s="113">
        <v>0</v>
      </c>
      <c r="DA163" s="113">
        <v>0</v>
      </c>
      <c r="DB163" s="113">
        <v>0</v>
      </c>
      <c r="DC163" s="113">
        <v>0</v>
      </c>
      <c r="DD163" s="113">
        <v>0</v>
      </c>
      <c r="DE163" s="113">
        <v>0</v>
      </c>
      <c r="DF163" s="113">
        <v>0</v>
      </c>
      <c r="DG163" s="113">
        <v>0</v>
      </c>
      <c r="DH163" s="113">
        <v>0</v>
      </c>
      <c r="DI163" s="113">
        <v>0</v>
      </c>
      <c r="DJ163" s="113">
        <v>0</v>
      </c>
      <c r="DK163" s="113">
        <v>0</v>
      </c>
      <c r="DL163" s="113">
        <v>0</v>
      </c>
      <c r="DM163" s="113">
        <v>0</v>
      </c>
      <c r="DN163" s="113">
        <v>0</v>
      </c>
      <c r="DO163" s="113">
        <v>0</v>
      </c>
      <c r="DP163" s="113">
        <v>0</v>
      </c>
      <c r="DQ163" s="113">
        <v>0</v>
      </c>
      <c r="DR163" s="113">
        <v>0</v>
      </c>
      <c r="DS163" s="113">
        <v>0</v>
      </c>
      <c r="DT163" s="113">
        <v>0</v>
      </c>
      <c r="DU163" s="113">
        <v>0</v>
      </c>
      <c r="DV163" s="113">
        <v>0</v>
      </c>
      <c r="DW163" s="113">
        <v>0</v>
      </c>
      <c r="DX163" s="113">
        <v>0</v>
      </c>
      <c r="DY163" s="113">
        <v>0</v>
      </c>
      <c r="DZ163" s="113">
        <v>0</v>
      </c>
      <c r="EA163" s="113">
        <v>0</v>
      </c>
      <c r="EB163" s="113">
        <v>0</v>
      </c>
      <c r="EC163" s="113">
        <v>0</v>
      </c>
      <c r="ED163" s="113">
        <v>0</v>
      </c>
      <c r="EE163" s="113">
        <v>0</v>
      </c>
      <c r="EF163" s="113">
        <v>0</v>
      </c>
      <c r="EG163" s="113">
        <v>0</v>
      </c>
      <c r="EH163" s="113">
        <v>0</v>
      </c>
      <c r="EI163" s="113">
        <v>0</v>
      </c>
      <c r="EJ163" s="113">
        <v>0</v>
      </c>
      <c r="EK163" s="113">
        <v>0</v>
      </c>
      <c r="EL163" s="113">
        <v>0</v>
      </c>
      <c r="EM163" s="113">
        <v>0</v>
      </c>
      <c r="EN163" s="113">
        <v>0</v>
      </c>
      <c r="EO163" s="113">
        <v>0</v>
      </c>
      <c r="EP163" s="113">
        <v>0</v>
      </c>
      <c r="EQ163" s="113">
        <v>0</v>
      </c>
      <c r="ER163" s="113">
        <v>0</v>
      </c>
      <c r="ES163" s="113">
        <v>0</v>
      </c>
      <c r="ET163" s="113">
        <v>0</v>
      </c>
      <c r="EU163" s="113">
        <v>0</v>
      </c>
      <c r="EV163" s="113">
        <v>0</v>
      </c>
      <c r="EW163" s="113">
        <v>0</v>
      </c>
      <c r="EX163" s="113">
        <v>0</v>
      </c>
      <c r="EY163" s="113">
        <v>0</v>
      </c>
      <c r="EZ163" s="113">
        <v>0</v>
      </c>
      <c r="FA163" s="113">
        <v>0</v>
      </c>
      <c r="FB163" s="113">
        <v>0</v>
      </c>
      <c r="FC163" s="113">
        <v>0</v>
      </c>
      <c r="FD163" s="113">
        <v>0</v>
      </c>
      <c r="FE163" s="113">
        <v>0</v>
      </c>
      <c r="FF163" s="113">
        <v>0</v>
      </c>
      <c r="FG163" s="113">
        <v>0</v>
      </c>
      <c r="FH163" s="113">
        <v>0</v>
      </c>
      <c r="FI163" s="113">
        <v>0</v>
      </c>
      <c r="FJ163" s="113">
        <v>0</v>
      </c>
      <c r="FK163" s="113">
        <v>0</v>
      </c>
      <c r="FL163" s="113">
        <v>0</v>
      </c>
      <c r="FM163" s="113">
        <v>0</v>
      </c>
      <c r="FN163" s="113">
        <v>0</v>
      </c>
      <c r="FO163" s="113">
        <v>0</v>
      </c>
      <c r="FP163" s="113">
        <v>0</v>
      </c>
      <c r="FQ163" s="113">
        <v>0</v>
      </c>
      <c r="FR163" s="113">
        <v>0</v>
      </c>
      <c r="FS163" s="113">
        <v>0</v>
      </c>
      <c r="FT163" s="113">
        <v>0</v>
      </c>
      <c r="FU163" s="113">
        <v>0</v>
      </c>
      <c r="FV163" s="113">
        <v>0</v>
      </c>
      <c r="FW163" s="113">
        <v>0</v>
      </c>
      <c r="FX163" s="32">
        <v>0</v>
      </c>
      <c r="FY163" s="30">
        <v>0</v>
      </c>
      <c r="FZ163" s="30">
        <v>0</v>
      </c>
    </row>
    <row r="164" spans="1:182" x14ac:dyDescent="0.2">
      <c r="A164" s="28">
        <v>36557</v>
      </c>
      <c r="B164" s="28"/>
      <c r="C164" s="29">
        <v>171344</v>
      </c>
      <c r="D164" s="29">
        <v>203961</v>
      </c>
      <c r="E164" s="29">
        <f t="shared" si="4"/>
        <v>375305</v>
      </c>
      <c r="F164" s="30">
        <v>6779561</v>
      </c>
      <c r="G164" s="30">
        <v>186533</v>
      </c>
      <c r="H164" s="30">
        <f t="shared" si="5"/>
        <v>6966094</v>
      </c>
      <c r="I164" s="42" t="s">
        <v>75</v>
      </c>
      <c r="J164" s="42" t="s">
        <v>75</v>
      </c>
      <c r="K164" s="32">
        <v>5431389</v>
      </c>
      <c r="L164" s="31" t="s">
        <v>75</v>
      </c>
      <c r="M164" s="31" t="s">
        <v>75</v>
      </c>
      <c r="N164" s="30">
        <v>12396943</v>
      </c>
      <c r="O164" s="31" t="s">
        <v>75</v>
      </c>
      <c r="P164" s="31" t="s">
        <v>75</v>
      </c>
      <c r="Q164" s="30">
        <v>20682539</v>
      </c>
      <c r="R164" s="31" t="s">
        <v>75</v>
      </c>
      <c r="S164" s="31" t="s">
        <v>75</v>
      </c>
      <c r="T164" s="32">
        <v>120854</v>
      </c>
      <c r="U164" s="31" t="s">
        <v>75</v>
      </c>
      <c r="V164" s="31" t="s">
        <v>75</v>
      </c>
      <c r="W164" s="31" t="s">
        <v>75</v>
      </c>
      <c r="X164" s="31" t="s">
        <v>75</v>
      </c>
      <c r="Y164" s="31" t="s">
        <v>75</v>
      </c>
      <c r="Z164" s="30">
        <v>48097</v>
      </c>
      <c r="AA164" s="31" t="s">
        <v>75</v>
      </c>
      <c r="AB164" s="31" t="s">
        <v>75</v>
      </c>
      <c r="AC164" s="30">
        <v>100013</v>
      </c>
      <c r="AD164" s="31" t="s">
        <v>75</v>
      </c>
      <c r="AE164" s="31" t="s">
        <v>75</v>
      </c>
      <c r="AF164" s="30">
        <v>7853</v>
      </c>
      <c r="AG164" s="42" t="s">
        <v>75</v>
      </c>
      <c r="AH164" s="42" t="s">
        <v>75</v>
      </c>
      <c r="AI164" s="32">
        <v>54377</v>
      </c>
      <c r="AJ164" s="31" t="s">
        <v>75</v>
      </c>
      <c r="AK164" s="31" t="s">
        <v>75</v>
      </c>
      <c r="AL164" s="31" t="s">
        <v>75</v>
      </c>
      <c r="AM164" s="31"/>
      <c r="AN164" s="31"/>
      <c r="AO164" s="31"/>
      <c r="AP164" s="31"/>
      <c r="AQ164" s="31"/>
      <c r="AR164" s="31"/>
      <c r="AS164" s="31" t="s">
        <v>75</v>
      </c>
      <c r="AT164" s="31" t="s">
        <v>75</v>
      </c>
      <c r="AU164" s="31" t="s">
        <v>75</v>
      </c>
      <c r="AV164" s="31" t="s">
        <v>75</v>
      </c>
      <c r="AW164" s="31" t="s">
        <v>75</v>
      </c>
      <c r="AX164" s="31" t="s">
        <v>75</v>
      </c>
      <c r="AY164" s="31" t="s">
        <v>75</v>
      </c>
      <c r="AZ164" s="31" t="s">
        <v>75</v>
      </c>
      <c r="BA164" s="29">
        <v>16085704</v>
      </c>
      <c r="BB164" s="31" t="s">
        <v>75</v>
      </c>
      <c r="BC164" s="31" t="s">
        <v>75</v>
      </c>
      <c r="BD164" s="29">
        <v>1114015</v>
      </c>
      <c r="BE164" s="113">
        <v>0</v>
      </c>
      <c r="BF164" s="113">
        <v>0</v>
      </c>
      <c r="BG164" s="113">
        <v>0</v>
      </c>
      <c r="BH164" s="113">
        <v>0</v>
      </c>
      <c r="BI164" s="113">
        <v>0</v>
      </c>
      <c r="BJ164" s="113">
        <v>0</v>
      </c>
      <c r="BK164" s="113">
        <v>0</v>
      </c>
      <c r="BL164" s="113">
        <v>0</v>
      </c>
      <c r="BM164" s="113">
        <v>0</v>
      </c>
      <c r="BN164" s="113">
        <v>0</v>
      </c>
      <c r="BO164" s="113">
        <v>0</v>
      </c>
      <c r="BP164" s="113">
        <v>0</v>
      </c>
      <c r="BQ164" s="113">
        <v>0</v>
      </c>
      <c r="BR164" s="113">
        <v>0</v>
      </c>
      <c r="BS164" s="113">
        <v>0</v>
      </c>
      <c r="BT164" s="113">
        <v>0</v>
      </c>
      <c r="BU164" s="113">
        <v>0</v>
      </c>
      <c r="BV164" s="113">
        <v>0</v>
      </c>
      <c r="BW164" s="113"/>
      <c r="BX164" s="113"/>
      <c r="BY164" s="113"/>
      <c r="BZ164" s="113">
        <v>0</v>
      </c>
      <c r="CA164" s="113">
        <v>0</v>
      </c>
      <c r="CB164" s="113">
        <v>0</v>
      </c>
      <c r="CC164" s="113"/>
      <c r="CD164" s="113"/>
      <c r="CE164" s="113"/>
      <c r="CF164" s="113">
        <v>0</v>
      </c>
      <c r="CG164" s="113">
        <v>0</v>
      </c>
      <c r="CH164" s="113">
        <v>0</v>
      </c>
      <c r="CI164" s="113">
        <v>0</v>
      </c>
      <c r="CJ164" s="113">
        <v>0</v>
      </c>
      <c r="CK164" s="113">
        <v>0</v>
      </c>
      <c r="CL164" s="113">
        <v>0</v>
      </c>
      <c r="CM164" s="113">
        <v>0</v>
      </c>
      <c r="CN164" s="113">
        <v>0</v>
      </c>
      <c r="CO164" s="113">
        <v>0</v>
      </c>
      <c r="CP164" s="113">
        <v>0</v>
      </c>
      <c r="CQ164" s="113">
        <v>0</v>
      </c>
      <c r="CR164" s="113">
        <v>0</v>
      </c>
      <c r="CS164" s="113">
        <v>0</v>
      </c>
      <c r="CT164" s="113">
        <v>0</v>
      </c>
      <c r="CU164" s="113">
        <v>0</v>
      </c>
      <c r="CV164" s="113">
        <v>0</v>
      </c>
      <c r="CW164" s="113">
        <v>0</v>
      </c>
      <c r="CX164" s="113">
        <v>0</v>
      </c>
      <c r="CY164" s="113">
        <v>0</v>
      </c>
      <c r="CZ164" s="113">
        <v>0</v>
      </c>
      <c r="DA164" s="113">
        <v>0</v>
      </c>
      <c r="DB164" s="113">
        <v>0</v>
      </c>
      <c r="DC164" s="113">
        <v>0</v>
      </c>
      <c r="DD164" s="113">
        <v>0</v>
      </c>
      <c r="DE164" s="113">
        <v>0</v>
      </c>
      <c r="DF164" s="113">
        <v>0</v>
      </c>
      <c r="DG164" s="113">
        <v>0</v>
      </c>
      <c r="DH164" s="113">
        <v>0</v>
      </c>
      <c r="DI164" s="113">
        <v>0</v>
      </c>
      <c r="DJ164" s="113">
        <v>0</v>
      </c>
      <c r="DK164" s="113">
        <v>0</v>
      </c>
      <c r="DL164" s="113">
        <v>0</v>
      </c>
      <c r="DM164" s="113">
        <v>0</v>
      </c>
      <c r="DN164" s="113">
        <v>0</v>
      </c>
      <c r="DO164" s="113">
        <v>0</v>
      </c>
      <c r="DP164" s="113">
        <v>0</v>
      </c>
      <c r="DQ164" s="113">
        <v>0</v>
      </c>
      <c r="DR164" s="113">
        <v>0</v>
      </c>
      <c r="DS164" s="113">
        <v>0</v>
      </c>
      <c r="DT164" s="113">
        <v>0</v>
      </c>
      <c r="DU164" s="113">
        <v>0</v>
      </c>
      <c r="DV164" s="113">
        <v>0</v>
      </c>
      <c r="DW164" s="113">
        <v>0</v>
      </c>
      <c r="DX164" s="113">
        <v>0</v>
      </c>
      <c r="DY164" s="113">
        <v>0</v>
      </c>
      <c r="DZ164" s="113">
        <v>0</v>
      </c>
      <c r="EA164" s="113">
        <v>0</v>
      </c>
      <c r="EB164" s="113">
        <v>0</v>
      </c>
      <c r="EC164" s="113">
        <v>0</v>
      </c>
      <c r="ED164" s="113">
        <v>0</v>
      </c>
      <c r="EE164" s="113">
        <v>0</v>
      </c>
      <c r="EF164" s="113">
        <v>0</v>
      </c>
      <c r="EG164" s="113">
        <v>0</v>
      </c>
      <c r="EH164" s="113">
        <v>0</v>
      </c>
      <c r="EI164" s="113">
        <v>0</v>
      </c>
      <c r="EJ164" s="113">
        <v>0</v>
      </c>
      <c r="EK164" s="113">
        <v>0</v>
      </c>
      <c r="EL164" s="113">
        <v>0</v>
      </c>
      <c r="EM164" s="113">
        <v>0</v>
      </c>
      <c r="EN164" s="113">
        <v>0</v>
      </c>
      <c r="EO164" s="113">
        <v>0</v>
      </c>
      <c r="EP164" s="113">
        <v>0</v>
      </c>
      <c r="EQ164" s="113">
        <v>0</v>
      </c>
      <c r="ER164" s="113">
        <v>0</v>
      </c>
      <c r="ES164" s="113">
        <v>0</v>
      </c>
      <c r="ET164" s="113">
        <v>0</v>
      </c>
      <c r="EU164" s="113">
        <v>0</v>
      </c>
      <c r="EV164" s="113">
        <v>0</v>
      </c>
      <c r="EW164" s="113">
        <v>0</v>
      </c>
      <c r="EX164" s="113">
        <v>0</v>
      </c>
      <c r="EY164" s="113">
        <v>0</v>
      </c>
      <c r="EZ164" s="113">
        <v>0</v>
      </c>
      <c r="FA164" s="113">
        <v>0</v>
      </c>
      <c r="FB164" s="113">
        <v>0</v>
      </c>
      <c r="FC164" s="113">
        <v>0</v>
      </c>
      <c r="FD164" s="113">
        <v>0</v>
      </c>
      <c r="FE164" s="113">
        <v>0</v>
      </c>
      <c r="FF164" s="113">
        <v>0</v>
      </c>
      <c r="FG164" s="113">
        <v>0</v>
      </c>
      <c r="FH164" s="113">
        <v>0</v>
      </c>
      <c r="FI164" s="113">
        <v>0</v>
      </c>
      <c r="FJ164" s="113">
        <v>0</v>
      </c>
      <c r="FK164" s="113">
        <v>0</v>
      </c>
      <c r="FL164" s="113">
        <v>0</v>
      </c>
      <c r="FM164" s="113">
        <v>0</v>
      </c>
      <c r="FN164" s="113">
        <v>0</v>
      </c>
      <c r="FO164" s="113">
        <v>0</v>
      </c>
      <c r="FP164" s="113">
        <v>0</v>
      </c>
      <c r="FQ164" s="113">
        <v>0</v>
      </c>
      <c r="FR164" s="113">
        <v>0</v>
      </c>
      <c r="FS164" s="113">
        <v>0</v>
      </c>
      <c r="FT164" s="113">
        <v>0</v>
      </c>
      <c r="FU164" s="113">
        <v>0</v>
      </c>
      <c r="FV164" s="113">
        <v>0</v>
      </c>
      <c r="FW164" s="113">
        <v>0</v>
      </c>
      <c r="FX164" s="32">
        <v>0</v>
      </c>
      <c r="FY164" s="30">
        <v>0</v>
      </c>
      <c r="FZ164" s="30">
        <v>0</v>
      </c>
    </row>
    <row r="165" spans="1:182" x14ac:dyDescent="0.2">
      <c r="A165" s="28">
        <v>36586</v>
      </c>
      <c r="B165" s="28"/>
      <c r="C165" s="29">
        <v>216633</v>
      </c>
      <c r="D165" s="29">
        <v>155933</v>
      </c>
      <c r="E165" s="29">
        <f t="shared" si="4"/>
        <v>372566</v>
      </c>
      <c r="F165" s="30">
        <v>6100378</v>
      </c>
      <c r="G165" s="30">
        <v>150780</v>
      </c>
      <c r="H165" s="30">
        <f t="shared" si="5"/>
        <v>6251158</v>
      </c>
      <c r="I165" s="42" t="s">
        <v>75</v>
      </c>
      <c r="J165" s="42" t="s">
        <v>75</v>
      </c>
      <c r="K165" s="32">
        <v>4456413</v>
      </c>
      <c r="L165" s="31" t="s">
        <v>75</v>
      </c>
      <c r="M165" s="31" t="s">
        <v>75</v>
      </c>
      <c r="N165" s="30">
        <v>12725480</v>
      </c>
      <c r="O165" s="31" t="s">
        <v>75</v>
      </c>
      <c r="P165" s="31" t="s">
        <v>75</v>
      </c>
      <c r="Q165" s="30">
        <v>17463282</v>
      </c>
      <c r="R165" s="31" t="s">
        <v>75</v>
      </c>
      <c r="S165" s="31" t="s">
        <v>75</v>
      </c>
      <c r="T165" s="32">
        <v>178701</v>
      </c>
      <c r="U165" s="31" t="s">
        <v>75</v>
      </c>
      <c r="V165" s="31" t="s">
        <v>75</v>
      </c>
      <c r="W165" s="31" t="s">
        <v>75</v>
      </c>
      <c r="X165" s="31" t="s">
        <v>75</v>
      </c>
      <c r="Y165" s="31" t="s">
        <v>75</v>
      </c>
      <c r="Z165" s="30">
        <v>58313</v>
      </c>
      <c r="AA165" s="31" t="s">
        <v>75</v>
      </c>
      <c r="AB165" s="31" t="s">
        <v>75</v>
      </c>
      <c r="AC165" s="30">
        <v>98900</v>
      </c>
      <c r="AD165" s="31" t="s">
        <v>75</v>
      </c>
      <c r="AE165" s="31" t="s">
        <v>75</v>
      </c>
      <c r="AF165" s="30">
        <v>5871</v>
      </c>
      <c r="AG165" s="42" t="s">
        <v>75</v>
      </c>
      <c r="AH165" s="42" t="s">
        <v>75</v>
      </c>
      <c r="AI165" s="32">
        <v>75047</v>
      </c>
      <c r="AJ165" s="31" t="s">
        <v>75</v>
      </c>
      <c r="AK165" s="31" t="s">
        <v>75</v>
      </c>
      <c r="AL165" s="31" t="s">
        <v>75</v>
      </c>
      <c r="AM165" s="31"/>
      <c r="AN165" s="31"/>
      <c r="AO165" s="31"/>
      <c r="AP165" s="31"/>
      <c r="AQ165" s="31"/>
      <c r="AR165" s="31"/>
      <c r="AS165" s="31" t="s">
        <v>75</v>
      </c>
      <c r="AT165" s="31" t="s">
        <v>75</v>
      </c>
      <c r="AU165" s="31" t="s">
        <v>75</v>
      </c>
      <c r="AV165" s="31" t="s">
        <v>75</v>
      </c>
      <c r="AW165" s="31" t="s">
        <v>75</v>
      </c>
      <c r="AX165" s="31" t="s">
        <v>75</v>
      </c>
      <c r="AY165" s="31" t="s">
        <v>75</v>
      </c>
      <c r="AZ165" s="31" t="s">
        <v>75</v>
      </c>
      <c r="BA165" s="29">
        <v>15618088</v>
      </c>
      <c r="BB165" s="31" t="s">
        <v>75</v>
      </c>
      <c r="BC165" s="31" t="s">
        <v>75</v>
      </c>
      <c r="BD165" s="29">
        <v>1136931</v>
      </c>
      <c r="BE165" s="113">
        <v>0</v>
      </c>
      <c r="BF165" s="113">
        <v>0</v>
      </c>
      <c r="BG165" s="113">
        <v>0</v>
      </c>
      <c r="BH165" s="113">
        <v>0</v>
      </c>
      <c r="BI165" s="113">
        <v>0</v>
      </c>
      <c r="BJ165" s="113">
        <v>0</v>
      </c>
      <c r="BK165" s="113">
        <v>0</v>
      </c>
      <c r="BL165" s="113">
        <v>0</v>
      </c>
      <c r="BM165" s="113">
        <v>0</v>
      </c>
      <c r="BN165" s="113">
        <v>0</v>
      </c>
      <c r="BO165" s="113">
        <v>0</v>
      </c>
      <c r="BP165" s="113">
        <v>0</v>
      </c>
      <c r="BQ165" s="113">
        <v>0</v>
      </c>
      <c r="BR165" s="113">
        <v>0</v>
      </c>
      <c r="BS165" s="113">
        <v>0</v>
      </c>
      <c r="BT165" s="113">
        <v>0</v>
      </c>
      <c r="BU165" s="113">
        <v>0</v>
      </c>
      <c r="BV165" s="113">
        <v>0</v>
      </c>
      <c r="BW165" s="113"/>
      <c r="BX165" s="113"/>
      <c r="BY165" s="113"/>
      <c r="BZ165" s="113">
        <v>0</v>
      </c>
      <c r="CA165" s="113">
        <v>0</v>
      </c>
      <c r="CB165" s="113">
        <v>0</v>
      </c>
      <c r="CC165" s="113"/>
      <c r="CD165" s="113"/>
      <c r="CE165" s="113"/>
      <c r="CF165" s="113">
        <v>0</v>
      </c>
      <c r="CG165" s="113">
        <v>0</v>
      </c>
      <c r="CH165" s="113">
        <v>0</v>
      </c>
      <c r="CI165" s="113">
        <v>0</v>
      </c>
      <c r="CJ165" s="113">
        <v>0</v>
      </c>
      <c r="CK165" s="113">
        <v>0</v>
      </c>
      <c r="CL165" s="113">
        <v>0</v>
      </c>
      <c r="CM165" s="113">
        <v>0</v>
      </c>
      <c r="CN165" s="113">
        <v>0</v>
      </c>
      <c r="CO165" s="113">
        <v>0</v>
      </c>
      <c r="CP165" s="113">
        <v>0</v>
      </c>
      <c r="CQ165" s="113">
        <v>0</v>
      </c>
      <c r="CR165" s="113">
        <v>0</v>
      </c>
      <c r="CS165" s="113">
        <v>0</v>
      </c>
      <c r="CT165" s="113">
        <v>0</v>
      </c>
      <c r="CU165" s="113">
        <v>0</v>
      </c>
      <c r="CV165" s="113">
        <v>0</v>
      </c>
      <c r="CW165" s="113">
        <v>0</v>
      </c>
      <c r="CX165" s="113">
        <v>0</v>
      </c>
      <c r="CY165" s="113">
        <v>0</v>
      </c>
      <c r="CZ165" s="113">
        <v>0</v>
      </c>
      <c r="DA165" s="113">
        <v>0</v>
      </c>
      <c r="DB165" s="113">
        <v>0</v>
      </c>
      <c r="DC165" s="113">
        <v>0</v>
      </c>
      <c r="DD165" s="113">
        <v>0</v>
      </c>
      <c r="DE165" s="113">
        <v>0</v>
      </c>
      <c r="DF165" s="113">
        <v>0</v>
      </c>
      <c r="DG165" s="113">
        <v>0</v>
      </c>
      <c r="DH165" s="113">
        <v>0</v>
      </c>
      <c r="DI165" s="113">
        <v>0</v>
      </c>
      <c r="DJ165" s="113">
        <v>0</v>
      </c>
      <c r="DK165" s="113">
        <v>0</v>
      </c>
      <c r="DL165" s="113">
        <v>0</v>
      </c>
      <c r="DM165" s="113">
        <v>0</v>
      </c>
      <c r="DN165" s="113">
        <v>0</v>
      </c>
      <c r="DO165" s="113">
        <v>0</v>
      </c>
      <c r="DP165" s="113">
        <v>0</v>
      </c>
      <c r="DQ165" s="113">
        <v>0</v>
      </c>
      <c r="DR165" s="113">
        <v>0</v>
      </c>
      <c r="DS165" s="113">
        <v>0</v>
      </c>
      <c r="DT165" s="113">
        <v>0</v>
      </c>
      <c r="DU165" s="113">
        <v>0</v>
      </c>
      <c r="DV165" s="113">
        <v>0</v>
      </c>
      <c r="DW165" s="113">
        <v>0</v>
      </c>
      <c r="DX165" s="113">
        <v>0</v>
      </c>
      <c r="DY165" s="113">
        <v>0</v>
      </c>
      <c r="DZ165" s="113">
        <v>0</v>
      </c>
      <c r="EA165" s="113">
        <v>0</v>
      </c>
      <c r="EB165" s="113">
        <v>0</v>
      </c>
      <c r="EC165" s="113">
        <v>0</v>
      </c>
      <c r="ED165" s="113">
        <v>0</v>
      </c>
      <c r="EE165" s="113">
        <v>0</v>
      </c>
      <c r="EF165" s="113">
        <v>0</v>
      </c>
      <c r="EG165" s="113">
        <v>0</v>
      </c>
      <c r="EH165" s="113">
        <v>0</v>
      </c>
      <c r="EI165" s="113">
        <v>0</v>
      </c>
      <c r="EJ165" s="113">
        <v>0</v>
      </c>
      <c r="EK165" s="113">
        <v>0</v>
      </c>
      <c r="EL165" s="113">
        <v>0</v>
      </c>
      <c r="EM165" s="113">
        <v>0</v>
      </c>
      <c r="EN165" s="113">
        <v>0</v>
      </c>
      <c r="EO165" s="113">
        <v>0</v>
      </c>
      <c r="EP165" s="113">
        <v>0</v>
      </c>
      <c r="EQ165" s="113">
        <v>0</v>
      </c>
      <c r="ER165" s="113">
        <v>0</v>
      </c>
      <c r="ES165" s="113">
        <v>0</v>
      </c>
      <c r="ET165" s="113">
        <v>0</v>
      </c>
      <c r="EU165" s="113">
        <v>0</v>
      </c>
      <c r="EV165" s="113">
        <v>0</v>
      </c>
      <c r="EW165" s="113">
        <v>0</v>
      </c>
      <c r="EX165" s="113">
        <v>0</v>
      </c>
      <c r="EY165" s="113">
        <v>0</v>
      </c>
      <c r="EZ165" s="113">
        <v>0</v>
      </c>
      <c r="FA165" s="113">
        <v>0</v>
      </c>
      <c r="FB165" s="113">
        <v>0</v>
      </c>
      <c r="FC165" s="113">
        <v>0</v>
      </c>
      <c r="FD165" s="113">
        <v>0</v>
      </c>
      <c r="FE165" s="113">
        <v>0</v>
      </c>
      <c r="FF165" s="113">
        <v>0</v>
      </c>
      <c r="FG165" s="113">
        <v>0</v>
      </c>
      <c r="FH165" s="113">
        <v>0</v>
      </c>
      <c r="FI165" s="113">
        <v>0</v>
      </c>
      <c r="FJ165" s="113">
        <v>0</v>
      </c>
      <c r="FK165" s="113">
        <v>0</v>
      </c>
      <c r="FL165" s="113">
        <v>0</v>
      </c>
      <c r="FM165" s="113">
        <v>0</v>
      </c>
      <c r="FN165" s="113">
        <v>0</v>
      </c>
      <c r="FO165" s="113">
        <v>0</v>
      </c>
      <c r="FP165" s="113">
        <v>0</v>
      </c>
      <c r="FQ165" s="113">
        <v>0</v>
      </c>
      <c r="FR165" s="113">
        <v>0</v>
      </c>
      <c r="FS165" s="113">
        <v>0</v>
      </c>
      <c r="FT165" s="113">
        <v>0</v>
      </c>
      <c r="FU165" s="113">
        <v>0</v>
      </c>
      <c r="FV165" s="113">
        <v>0</v>
      </c>
      <c r="FW165" s="113">
        <v>0</v>
      </c>
      <c r="FX165" s="32">
        <v>0</v>
      </c>
      <c r="FY165" s="30">
        <v>0</v>
      </c>
      <c r="FZ165" s="30">
        <v>0</v>
      </c>
    </row>
    <row r="166" spans="1:182" x14ac:dyDescent="0.2">
      <c r="A166" s="28">
        <v>36617</v>
      </c>
      <c r="B166" s="28"/>
      <c r="C166" s="29">
        <v>126339</v>
      </c>
      <c r="D166" s="29">
        <v>177111</v>
      </c>
      <c r="E166" s="29">
        <f t="shared" si="4"/>
        <v>303450</v>
      </c>
      <c r="F166" s="30">
        <v>3912486</v>
      </c>
      <c r="G166" s="30">
        <v>113802</v>
      </c>
      <c r="H166" s="30">
        <f t="shared" si="5"/>
        <v>4026288</v>
      </c>
      <c r="I166" s="42" t="s">
        <v>75</v>
      </c>
      <c r="J166" s="42" t="s">
        <v>75</v>
      </c>
      <c r="K166" s="32">
        <v>3631533</v>
      </c>
      <c r="L166" s="31" t="s">
        <v>75</v>
      </c>
      <c r="M166" s="31" t="s">
        <v>75</v>
      </c>
      <c r="N166" s="30">
        <v>10355270</v>
      </c>
      <c r="O166" s="31" t="s">
        <v>75</v>
      </c>
      <c r="P166" s="31" t="s">
        <v>75</v>
      </c>
      <c r="Q166" s="30">
        <v>12526869</v>
      </c>
      <c r="R166" s="31" t="s">
        <v>75</v>
      </c>
      <c r="S166" s="31" t="s">
        <v>75</v>
      </c>
      <c r="T166" s="32">
        <v>140869</v>
      </c>
      <c r="U166" s="31" t="s">
        <v>75</v>
      </c>
      <c r="V166" s="31" t="s">
        <v>75</v>
      </c>
      <c r="W166" s="31" t="s">
        <v>75</v>
      </c>
      <c r="X166" s="31" t="s">
        <v>75</v>
      </c>
      <c r="Y166" s="31" t="s">
        <v>75</v>
      </c>
      <c r="Z166" s="30">
        <v>43713</v>
      </c>
      <c r="AA166" s="31" t="s">
        <v>75</v>
      </c>
      <c r="AB166" s="31" t="s">
        <v>75</v>
      </c>
      <c r="AC166" s="30">
        <v>110313</v>
      </c>
      <c r="AD166" s="31" t="s">
        <v>75</v>
      </c>
      <c r="AE166" s="31" t="s">
        <v>75</v>
      </c>
      <c r="AF166" s="30">
        <v>5346</v>
      </c>
      <c r="AG166" s="42" t="s">
        <v>75</v>
      </c>
      <c r="AH166" s="42" t="s">
        <v>75</v>
      </c>
      <c r="AI166" s="32">
        <v>54398</v>
      </c>
      <c r="AJ166" s="31" t="s">
        <v>75</v>
      </c>
      <c r="AK166" s="31" t="s">
        <v>75</v>
      </c>
      <c r="AL166" s="31" t="s">
        <v>75</v>
      </c>
      <c r="AM166" s="31"/>
      <c r="AN166" s="31"/>
      <c r="AO166" s="31"/>
      <c r="AP166" s="31"/>
      <c r="AQ166" s="31"/>
      <c r="AR166" s="31"/>
      <c r="AS166" s="31" t="s">
        <v>75</v>
      </c>
      <c r="AT166" s="31" t="s">
        <v>75</v>
      </c>
      <c r="AU166" s="31" t="s">
        <v>75</v>
      </c>
      <c r="AV166" s="31" t="s">
        <v>75</v>
      </c>
      <c r="AW166" s="31" t="s">
        <v>75</v>
      </c>
      <c r="AX166" s="31" t="s">
        <v>75</v>
      </c>
      <c r="AY166" s="31" t="s">
        <v>75</v>
      </c>
      <c r="AZ166" s="31" t="s">
        <v>75</v>
      </c>
      <c r="BA166" s="29">
        <v>14072105</v>
      </c>
      <c r="BB166" s="31" t="s">
        <v>75</v>
      </c>
      <c r="BC166" s="31" t="s">
        <v>75</v>
      </c>
      <c r="BD166" s="29">
        <v>1253390</v>
      </c>
      <c r="BE166" s="113">
        <v>0</v>
      </c>
      <c r="BF166" s="113">
        <v>0</v>
      </c>
      <c r="BG166" s="113">
        <v>0</v>
      </c>
      <c r="BH166" s="113">
        <v>0</v>
      </c>
      <c r="BI166" s="113">
        <v>0</v>
      </c>
      <c r="BJ166" s="113">
        <v>0</v>
      </c>
      <c r="BK166" s="113">
        <v>0</v>
      </c>
      <c r="BL166" s="113">
        <v>0</v>
      </c>
      <c r="BM166" s="113">
        <v>0</v>
      </c>
      <c r="BN166" s="113">
        <v>0</v>
      </c>
      <c r="BO166" s="113">
        <v>0</v>
      </c>
      <c r="BP166" s="113">
        <v>0</v>
      </c>
      <c r="BQ166" s="113">
        <v>0</v>
      </c>
      <c r="BR166" s="113">
        <v>0</v>
      </c>
      <c r="BS166" s="113">
        <v>0</v>
      </c>
      <c r="BT166" s="113">
        <v>0</v>
      </c>
      <c r="BU166" s="113">
        <v>0</v>
      </c>
      <c r="BV166" s="113">
        <v>0</v>
      </c>
      <c r="BW166" s="113"/>
      <c r="BX166" s="113"/>
      <c r="BY166" s="113"/>
      <c r="BZ166" s="113">
        <v>0</v>
      </c>
      <c r="CA166" s="113">
        <v>0</v>
      </c>
      <c r="CB166" s="113">
        <v>0</v>
      </c>
      <c r="CC166" s="113"/>
      <c r="CD166" s="113"/>
      <c r="CE166" s="113"/>
      <c r="CF166" s="113">
        <v>0</v>
      </c>
      <c r="CG166" s="113">
        <v>0</v>
      </c>
      <c r="CH166" s="113">
        <v>0</v>
      </c>
      <c r="CI166" s="113">
        <v>0</v>
      </c>
      <c r="CJ166" s="113">
        <v>0</v>
      </c>
      <c r="CK166" s="113">
        <v>0</v>
      </c>
      <c r="CL166" s="113">
        <v>0</v>
      </c>
      <c r="CM166" s="113">
        <v>0</v>
      </c>
      <c r="CN166" s="113">
        <v>0</v>
      </c>
      <c r="CO166" s="113">
        <v>0</v>
      </c>
      <c r="CP166" s="113">
        <v>0</v>
      </c>
      <c r="CQ166" s="113">
        <v>0</v>
      </c>
      <c r="CR166" s="113">
        <v>0</v>
      </c>
      <c r="CS166" s="113">
        <v>0</v>
      </c>
      <c r="CT166" s="113">
        <v>0</v>
      </c>
      <c r="CU166" s="113">
        <v>0</v>
      </c>
      <c r="CV166" s="113">
        <v>0</v>
      </c>
      <c r="CW166" s="113">
        <v>0</v>
      </c>
      <c r="CX166" s="113">
        <v>0</v>
      </c>
      <c r="CY166" s="113">
        <v>0</v>
      </c>
      <c r="CZ166" s="113">
        <v>0</v>
      </c>
      <c r="DA166" s="113">
        <v>0</v>
      </c>
      <c r="DB166" s="113">
        <v>0</v>
      </c>
      <c r="DC166" s="113">
        <v>0</v>
      </c>
      <c r="DD166" s="113">
        <v>0</v>
      </c>
      <c r="DE166" s="113">
        <v>0</v>
      </c>
      <c r="DF166" s="113">
        <v>0</v>
      </c>
      <c r="DG166" s="113">
        <v>0</v>
      </c>
      <c r="DH166" s="113">
        <v>0</v>
      </c>
      <c r="DI166" s="113">
        <v>0</v>
      </c>
      <c r="DJ166" s="113">
        <v>0</v>
      </c>
      <c r="DK166" s="113">
        <v>0</v>
      </c>
      <c r="DL166" s="113">
        <v>0</v>
      </c>
      <c r="DM166" s="113">
        <v>0</v>
      </c>
      <c r="DN166" s="113">
        <v>0</v>
      </c>
      <c r="DO166" s="113">
        <v>0</v>
      </c>
      <c r="DP166" s="113">
        <v>0</v>
      </c>
      <c r="DQ166" s="113">
        <v>0</v>
      </c>
      <c r="DR166" s="113">
        <v>0</v>
      </c>
      <c r="DS166" s="113">
        <v>0</v>
      </c>
      <c r="DT166" s="113">
        <v>0</v>
      </c>
      <c r="DU166" s="113">
        <v>0</v>
      </c>
      <c r="DV166" s="113">
        <v>0</v>
      </c>
      <c r="DW166" s="113">
        <v>0</v>
      </c>
      <c r="DX166" s="113">
        <v>0</v>
      </c>
      <c r="DY166" s="113">
        <v>0</v>
      </c>
      <c r="DZ166" s="113">
        <v>0</v>
      </c>
      <c r="EA166" s="113">
        <v>0</v>
      </c>
      <c r="EB166" s="113">
        <v>0</v>
      </c>
      <c r="EC166" s="113">
        <v>0</v>
      </c>
      <c r="ED166" s="113">
        <v>0</v>
      </c>
      <c r="EE166" s="113">
        <v>0</v>
      </c>
      <c r="EF166" s="113">
        <v>0</v>
      </c>
      <c r="EG166" s="113">
        <v>0</v>
      </c>
      <c r="EH166" s="113">
        <v>0</v>
      </c>
      <c r="EI166" s="113">
        <v>0</v>
      </c>
      <c r="EJ166" s="113">
        <v>0</v>
      </c>
      <c r="EK166" s="113">
        <v>0</v>
      </c>
      <c r="EL166" s="113">
        <v>0</v>
      </c>
      <c r="EM166" s="113">
        <v>0</v>
      </c>
      <c r="EN166" s="113">
        <v>0</v>
      </c>
      <c r="EO166" s="113">
        <v>0</v>
      </c>
      <c r="EP166" s="113">
        <v>0</v>
      </c>
      <c r="EQ166" s="113">
        <v>0</v>
      </c>
      <c r="ER166" s="113">
        <v>0</v>
      </c>
      <c r="ES166" s="113">
        <v>0</v>
      </c>
      <c r="ET166" s="113">
        <v>0</v>
      </c>
      <c r="EU166" s="113">
        <v>0</v>
      </c>
      <c r="EV166" s="113">
        <v>0</v>
      </c>
      <c r="EW166" s="113">
        <v>0</v>
      </c>
      <c r="EX166" s="113">
        <v>0</v>
      </c>
      <c r="EY166" s="113">
        <v>0</v>
      </c>
      <c r="EZ166" s="113">
        <v>0</v>
      </c>
      <c r="FA166" s="113">
        <v>0</v>
      </c>
      <c r="FB166" s="113">
        <v>0</v>
      </c>
      <c r="FC166" s="113">
        <v>0</v>
      </c>
      <c r="FD166" s="113">
        <v>0</v>
      </c>
      <c r="FE166" s="113">
        <v>0</v>
      </c>
      <c r="FF166" s="113">
        <v>0</v>
      </c>
      <c r="FG166" s="113">
        <v>0</v>
      </c>
      <c r="FH166" s="113">
        <v>0</v>
      </c>
      <c r="FI166" s="113">
        <v>0</v>
      </c>
      <c r="FJ166" s="113">
        <v>0</v>
      </c>
      <c r="FK166" s="113">
        <v>0</v>
      </c>
      <c r="FL166" s="113">
        <v>0</v>
      </c>
      <c r="FM166" s="113">
        <v>0</v>
      </c>
      <c r="FN166" s="113">
        <v>0</v>
      </c>
      <c r="FO166" s="113">
        <v>0</v>
      </c>
      <c r="FP166" s="113">
        <v>0</v>
      </c>
      <c r="FQ166" s="113">
        <v>0</v>
      </c>
      <c r="FR166" s="113">
        <v>0</v>
      </c>
      <c r="FS166" s="113">
        <v>0</v>
      </c>
      <c r="FT166" s="113">
        <v>0</v>
      </c>
      <c r="FU166" s="113">
        <v>0</v>
      </c>
      <c r="FV166" s="113">
        <v>0</v>
      </c>
      <c r="FW166" s="113">
        <v>0</v>
      </c>
      <c r="FX166" s="32">
        <v>0</v>
      </c>
      <c r="FY166" s="30">
        <v>0</v>
      </c>
      <c r="FZ166" s="30">
        <v>0</v>
      </c>
    </row>
    <row r="167" spans="1:182" x14ac:dyDescent="0.2">
      <c r="A167" s="28">
        <v>36647</v>
      </c>
      <c r="B167" s="28"/>
      <c r="C167" s="29">
        <v>199492</v>
      </c>
      <c r="D167" s="29">
        <v>254146</v>
      </c>
      <c r="E167" s="29">
        <f t="shared" si="4"/>
        <v>453638</v>
      </c>
      <c r="F167" s="30">
        <v>2813699</v>
      </c>
      <c r="G167" s="30">
        <v>78716</v>
      </c>
      <c r="H167" s="30">
        <f t="shared" si="5"/>
        <v>2892415</v>
      </c>
      <c r="I167" s="42" t="s">
        <v>75</v>
      </c>
      <c r="J167" s="42" t="s">
        <v>75</v>
      </c>
      <c r="K167" s="32">
        <v>3409144</v>
      </c>
      <c r="L167" s="31" t="s">
        <v>75</v>
      </c>
      <c r="M167" s="31" t="s">
        <v>75</v>
      </c>
      <c r="N167" s="30">
        <v>10299688</v>
      </c>
      <c r="O167" s="31" t="s">
        <v>75</v>
      </c>
      <c r="P167" s="31" t="s">
        <v>75</v>
      </c>
      <c r="Q167" s="30">
        <v>11743817</v>
      </c>
      <c r="R167" s="31" t="s">
        <v>75</v>
      </c>
      <c r="S167" s="31" t="s">
        <v>75</v>
      </c>
      <c r="T167" s="32">
        <v>205044</v>
      </c>
      <c r="U167" s="31" t="s">
        <v>75</v>
      </c>
      <c r="V167" s="31" t="s">
        <v>75</v>
      </c>
      <c r="W167" s="31" t="s">
        <v>75</v>
      </c>
      <c r="X167" s="31" t="s">
        <v>75</v>
      </c>
      <c r="Y167" s="31" t="s">
        <v>75</v>
      </c>
      <c r="Z167" s="30">
        <v>72290</v>
      </c>
      <c r="AA167" s="31" t="s">
        <v>75</v>
      </c>
      <c r="AB167" s="31" t="s">
        <v>75</v>
      </c>
      <c r="AC167" s="30">
        <v>124755</v>
      </c>
      <c r="AD167" s="31" t="s">
        <v>75</v>
      </c>
      <c r="AE167" s="31" t="s">
        <v>75</v>
      </c>
      <c r="AF167" s="30">
        <v>9614</v>
      </c>
      <c r="AG167" s="42" t="s">
        <v>75</v>
      </c>
      <c r="AH167" s="42" t="s">
        <v>75</v>
      </c>
      <c r="AI167" s="32">
        <v>62375</v>
      </c>
      <c r="AJ167" s="31" t="s">
        <v>75</v>
      </c>
      <c r="AK167" s="31" t="s">
        <v>75</v>
      </c>
      <c r="AL167" s="31" t="s">
        <v>75</v>
      </c>
      <c r="AM167" s="31"/>
      <c r="AN167" s="31"/>
      <c r="AO167" s="31"/>
      <c r="AP167" s="31"/>
      <c r="AQ167" s="31"/>
      <c r="AR167" s="31"/>
      <c r="AS167" s="31" t="s">
        <v>75</v>
      </c>
      <c r="AT167" s="31" t="s">
        <v>75</v>
      </c>
      <c r="AU167" s="31" t="s">
        <v>75</v>
      </c>
      <c r="AV167" s="31" t="s">
        <v>75</v>
      </c>
      <c r="AW167" s="31" t="s">
        <v>75</v>
      </c>
      <c r="AX167" s="31" t="s">
        <v>75</v>
      </c>
      <c r="AY167" s="31" t="s">
        <v>75</v>
      </c>
      <c r="AZ167" s="31" t="s">
        <v>75</v>
      </c>
      <c r="BA167" s="29">
        <v>15041036</v>
      </c>
      <c r="BB167" s="31" t="s">
        <v>75</v>
      </c>
      <c r="BC167" s="31" t="s">
        <v>75</v>
      </c>
      <c r="BD167" s="29">
        <v>988132</v>
      </c>
      <c r="BE167" s="113">
        <v>0</v>
      </c>
      <c r="BF167" s="113">
        <v>0</v>
      </c>
      <c r="BG167" s="113">
        <v>0</v>
      </c>
      <c r="BH167" s="113">
        <v>0</v>
      </c>
      <c r="BI167" s="113">
        <v>0</v>
      </c>
      <c r="BJ167" s="113">
        <v>0</v>
      </c>
      <c r="BK167" s="113">
        <v>0</v>
      </c>
      <c r="BL167" s="113">
        <v>0</v>
      </c>
      <c r="BM167" s="113">
        <v>0</v>
      </c>
      <c r="BN167" s="113">
        <v>0</v>
      </c>
      <c r="BO167" s="113">
        <v>0</v>
      </c>
      <c r="BP167" s="113">
        <v>0</v>
      </c>
      <c r="BQ167" s="113">
        <v>0</v>
      </c>
      <c r="BR167" s="113">
        <v>0</v>
      </c>
      <c r="BS167" s="113">
        <v>0</v>
      </c>
      <c r="BT167" s="113">
        <v>0</v>
      </c>
      <c r="BU167" s="113">
        <v>0</v>
      </c>
      <c r="BV167" s="113">
        <v>0</v>
      </c>
      <c r="BW167" s="113"/>
      <c r="BX167" s="113"/>
      <c r="BY167" s="113"/>
      <c r="BZ167" s="113">
        <v>0</v>
      </c>
      <c r="CA167" s="113">
        <v>0</v>
      </c>
      <c r="CB167" s="113">
        <v>0</v>
      </c>
      <c r="CC167" s="113"/>
      <c r="CD167" s="113"/>
      <c r="CE167" s="113"/>
      <c r="CF167" s="113">
        <v>0</v>
      </c>
      <c r="CG167" s="113">
        <v>0</v>
      </c>
      <c r="CH167" s="113">
        <v>0</v>
      </c>
      <c r="CI167" s="113">
        <v>0</v>
      </c>
      <c r="CJ167" s="113">
        <v>0</v>
      </c>
      <c r="CK167" s="113">
        <v>0</v>
      </c>
      <c r="CL167" s="113">
        <v>0</v>
      </c>
      <c r="CM167" s="113">
        <v>0</v>
      </c>
      <c r="CN167" s="113">
        <v>0</v>
      </c>
      <c r="CO167" s="113">
        <v>0</v>
      </c>
      <c r="CP167" s="113">
        <v>0</v>
      </c>
      <c r="CQ167" s="113">
        <v>0</v>
      </c>
      <c r="CR167" s="113">
        <v>0</v>
      </c>
      <c r="CS167" s="113">
        <v>0</v>
      </c>
      <c r="CT167" s="113">
        <v>0</v>
      </c>
      <c r="CU167" s="113">
        <v>0</v>
      </c>
      <c r="CV167" s="113">
        <v>0</v>
      </c>
      <c r="CW167" s="113">
        <v>0</v>
      </c>
      <c r="CX167" s="113">
        <v>0</v>
      </c>
      <c r="CY167" s="113">
        <v>0</v>
      </c>
      <c r="CZ167" s="113">
        <v>0</v>
      </c>
      <c r="DA167" s="113">
        <v>0</v>
      </c>
      <c r="DB167" s="113">
        <v>0</v>
      </c>
      <c r="DC167" s="113">
        <v>0</v>
      </c>
      <c r="DD167" s="113">
        <v>0</v>
      </c>
      <c r="DE167" s="113">
        <v>0</v>
      </c>
      <c r="DF167" s="113">
        <v>0</v>
      </c>
      <c r="DG167" s="113">
        <v>0</v>
      </c>
      <c r="DH167" s="113">
        <v>0</v>
      </c>
      <c r="DI167" s="113">
        <v>0</v>
      </c>
      <c r="DJ167" s="113">
        <v>0</v>
      </c>
      <c r="DK167" s="113">
        <v>0</v>
      </c>
      <c r="DL167" s="113">
        <v>0</v>
      </c>
      <c r="DM167" s="113">
        <v>0</v>
      </c>
      <c r="DN167" s="113">
        <v>0</v>
      </c>
      <c r="DO167" s="113">
        <v>0</v>
      </c>
      <c r="DP167" s="113">
        <v>0</v>
      </c>
      <c r="DQ167" s="113">
        <v>0</v>
      </c>
      <c r="DR167" s="113">
        <v>0</v>
      </c>
      <c r="DS167" s="113">
        <v>0</v>
      </c>
      <c r="DT167" s="113">
        <v>0</v>
      </c>
      <c r="DU167" s="113">
        <v>0</v>
      </c>
      <c r="DV167" s="113">
        <v>0</v>
      </c>
      <c r="DW167" s="113">
        <v>0</v>
      </c>
      <c r="DX167" s="113">
        <v>0</v>
      </c>
      <c r="DY167" s="113">
        <v>0</v>
      </c>
      <c r="DZ167" s="113">
        <v>0</v>
      </c>
      <c r="EA167" s="113">
        <v>0</v>
      </c>
      <c r="EB167" s="113">
        <v>0</v>
      </c>
      <c r="EC167" s="113">
        <v>0</v>
      </c>
      <c r="ED167" s="113">
        <v>0</v>
      </c>
      <c r="EE167" s="113">
        <v>0</v>
      </c>
      <c r="EF167" s="113">
        <v>0</v>
      </c>
      <c r="EG167" s="113">
        <v>0</v>
      </c>
      <c r="EH167" s="113">
        <v>0</v>
      </c>
      <c r="EI167" s="113">
        <v>0</v>
      </c>
      <c r="EJ167" s="113">
        <v>0</v>
      </c>
      <c r="EK167" s="113">
        <v>0</v>
      </c>
      <c r="EL167" s="113">
        <v>0</v>
      </c>
      <c r="EM167" s="113">
        <v>0</v>
      </c>
      <c r="EN167" s="113">
        <v>0</v>
      </c>
      <c r="EO167" s="113">
        <v>0</v>
      </c>
      <c r="EP167" s="113">
        <v>0</v>
      </c>
      <c r="EQ167" s="113">
        <v>0</v>
      </c>
      <c r="ER167" s="113">
        <v>0</v>
      </c>
      <c r="ES167" s="113">
        <v>0</v>
      </c>
      <c r="ET167" s="113">
        <v>0</v>
      </c>
      <c r="EU167" s="113">
        <v>0</v>
      </c>
      <c r="EV167" s="113">
        <v>0</v>
      </c>
      <c r="EW167" s="113">
        <v>0</v>
      </c>
      <c r="EX167" s="113">
        <v>0</v>
      </c>
      <c r="EY167" s="113">
        <v>0</v>
      </c>
      <c r="EZ167" s="113">
        <v>0</v>
      </c>
      <c r="FA167" s="113">
        <v>0</v>
      </c>
      <c r="FB167" s="113">
        <v>0</v>
      </c>
      <c r="FC167" s="113">
        <v>0</v>
      </c>
      <c r="FD167" s="113">
        <v>0</v>
      </c>
      <c r="FE167" s="113">
        <v>0</v>
      </c>
      <c r="FF167" s="113">
        <v>0</v>
      </c>
      <c r="FG167" s="113">
        <v>0</v>
      </c>
      <c r="FH167" s="113">
        <v>0</v>
      </c>
      <c r="FI167" s="113">
        <v>0</v>
      </c>
      <c r="FJ167" s="113">
        <v>0</v>
      </c>
      <c r="FK167" s="113">
        <v>0</v>
      </c>
      <c r="FL167" s="113">
        <v>0</v>
      </c>
      <c r="FM167" s="113">
        <v>0</v>
      </c>
      <c r="FN167" s="113">
        <v>0</v>
      </c>
      <c r="FO167" s="113">
        <v>0</v>
      </c>
      <c r="FP167" s="113">
        <v>0</v>
      </c>
      <c r="FQ167" s="113">
        <v>0</v>
      </c>
      <c r="FR167" s="113">
        <v>0</v>
      </c>
      <c r="FS167" s="113">
        <v>0</v>
      </c>
      <c r="FT167" s="113">
        <v>0</v>
      </c>
      <c r="FU167" s="113">
        <v>0</v>
      </c>
      <c r="FV167" s="113">
        <v>0</v>
      </c>
      <c r="FW167" s="113">
        <v>0</v>
      </c>
      <c r="FX167" s="32">
        <v>0</v>
      </c>
      <c r="FY167" s="30">
        <v>0</v>
      </c>
      <c r="FZ167" s="30">
        <v>0</v>
      </c>
    </row>
    <row r="168" spans="1:182" x14ac:dyDescent="0.2">
      <c r="A168" s="28">
        <v>36678</v>
      </c>
      <c r="B168" s="28"/>
      <c r="C168" s="29">
        <v>334346</v>
      </c>
      <c r="D168" s="29">
        <v>374953</v>
      </c>
      <c r="E168" s="29">
        <f t="shared" si="4"/>
        <v>709299</v>
      </c>
      <c r="F168" s="30">
        <v>2503283</v>
      </c>
      <c r="G168" s="30">
        <v>125888</v>
      </c>
      <c r="H168" s="30">
        <f t="shared" si="5"/>
        <v>2629171</v>
      </c>
      <c r="I168" s="42" t="s">
        <v>75</v>
      </c>
      <c r="J168" s="42" t="s">
        <v>75</v>
      </c>
      <c r="K168" s="32">
        <v>3074614</v>
      </c>
      <c r="L168" s="31" t="s">
        <v>75</v>
      </c>
      <c r="M168" s="31" t="s">
        <v>75</v>
      </c>
      <c r="N168" s="30">
        <v>10293105</v>
      </c>
      <c r="O168" s="31" t="s">
        <v>75</v>
      </c>
      <c r="P168" s="31" t="s">
        <v>75</v>
      </c>
      <c r="Q168" s="30">
        <v>11546663</v>
      </c>
      <c r="R168" s="31" t="s">
        <v>75</v>
      </c>
      <c r="S168" s="31" t="s">
        <v>75</v>
      </c>
      <c r="T168" s="32">
        <v>160283</v>
      </c>
      <c r="U168" s="31" t="s">
        <v>75</v>
      </c>
      <c r="V168" s="31" t="s">
        <v>75</v>
      </c>
      <c r="W168" s="31" t="s">
        <v>75</v>
      </c>
      <c r="X168" s="31" t="s">
        <v>75</v>
      </c>
      <c r="Y168" s="31" t="s">
        <v>75</v>
      </c>
      <c r="Z168" s="30">
        <v>82375</v>
      </c>
      <c r="AA168" s="31" t="s">
        <v>75</v>
      </c>
      <c r="AB168" s="31" t="s">
        <v>75</v>
      </c>
      <c r="AC168" s="30">
        <v>140738</v>
      </c>
      <c r="AD168" s="31" t="s">
        <v>75</v>
      </c>
      <c r="AE168" s="31" t="s">
        <v>75</v>
      </c>
      <c r="AF168" s="30">
        <v>19366</v>
      </c>
      <c r="AG168" s="42" t="s">
        <v>75</v>
      </c>
      <c r="AH168" s="42" t="s">
        <v>75</v>
      </c>
      <c r="AI168" s="32">
        <v>105836</v>
      </c>
      <c r="AJ168" s="31" t="s">
        <v>75</v>
      </c>
      <c r="AK168" s="31" t="s">
        <v>75</v>
      </c>
      <c r="AL168" s="31" t="s">
        <v>75</v>
      </c>
      <c r="AM168" s="31"/>
      <c r="AN168" s="31"/>
      <c r="AO168" s="31"/>
      <c r="AP168" s="31"/>
      <c r="AQ168" s="31"/>
      <c r="AR168" s="31"/>
      <c r="AS168" s="31" t="s">
        <v>75</v>
      </c>
      <c r="AT168" s="31" t="s">
        <v>75</v>
      </c>
      <c r="AU168" s="31" t="s">
        <v>75</v>
      </c>
      <c r="AV168" s="31" t="s">
        <v>75</v>
      </c>
      <c r="AW168" s="31" t="s">
        <v>75</v>
      </c>
      <c r="AX168" s="31" t="s">
        <v>75</v>
      </c>
      <c r="AY168" s="31" t="s">
        <v>75</v>
      </c>
      <c r="AZ168" s="31" t="s">
        <v>75</v>
      </c>
      <c r="BA168" s="29">
        <v>13504004</v>
      </c>
      <c r="BB168" s="31" t="s">
        <v>75</v>
      </c>
      <c r="BC168" s="31" t="s">
        <v>75</v>
      </c>
      <c r="BD168" s="29">
        <v>1091570</v>
      </c>
      <c r="BE168" s="113">
        <v>0</v>
      </c>
      <c r="BF168" s="113">
        <v>0</v>
      </c>
      <c r="BG168" s="113">
        <v>0</v>
      </c>
      <c r="BH168" s="113">
        <v>0</v>
      </c>
      <c r="BI168" s="113">
        <v>0</v>
      </c>
      <c r="BJ168" s="113">
        <v>0</v>
      </c>
      <c r="BK168" s="113">
        <v>0</v>
      </c>
      <c r="BL168" s="113">
        <v>0</v>
      </c>
      <c r="BM168" s="113">
        <v>0</v>
      </c>
      <c r="BN168" s="113">
        <v>0</v>
      </c>
      <c r="BO168" s="113">
        <v>0</v>
      </c>
      <c r="BP168" s="113">
        <v>0</v>
      </c>
      <c r="BQ168" s="113">
        <v>0</v>
      </c>
      <c r="BR168" s="113">
        <v>0</v>
      </c>
      <c r="BS168" s="113">
        <v>0</v>
      </c>
      <c r="BT168" s="113">
        <v>0</v>
      </c>
      <c r="BU168" s="113">
        <v>0</v>
      </c>
      <c r="BV168" s="113">
        <v>0</v>
      </c>
      <c r="BW168" s="113"/>
      <c r="BX168" s="113"/>
      <c r="BY168" s="113"/>
      <c r="BZ168" s="113">
        <v>0</v>
      </c>
      <c r="CA168" s="113">
        <v>0</v>
      </c>
      <c r="CB168" s="113">
        <v>0</v>
      </c>
      <c r="CC168" s="113"/>
      <c r="CD168" s="113"/>
      <c r="CE168" s="113"/>
      <c r="CF168" s="113">
        <v>0</v>
      </c>
      <c r="CG168" s="113">
        <v>0</v>
      </c>
      <c r="CH168" s="113">
        <v>0</v>
      </c>
      <c r="CI168" s="113">
        <v>0</v>
      </c>
      <c r="CJ168" s="113">
        <v>0</v>
      </c>
      <c r="CK168" s="113">
        <v>0</v>
      </c>
      <c r="CL168" s="113">
        <v>0</v>
      </c>
      <c r="CM168" s="113">
        <v>0</v>
      </c>
      <c r="CN168" s="113">
        <v>0</v>
      </c>
      <c r="CO168" s="113">
        <v>0</v>
      </c>
      <c r="CP168" s="113">
        <v>0</v>
      </c>
      <c r="CQ168" s="113">
        <v>0</v>
      </c>
      <c r="CR168" s="113">
        <v>0</v>
      </c>
      <c r="CS168" s="113">
        <v>0</v>
      </c>
      <c r="CT168" s="113">
        <v>0</v>
      </c>
      <c r="CU168" s="113">
        <v>0</v>
      </c>
      <c r="CV168" s="113">
        <v>0</v>
      </c>
      <c r="CW168" s="113">
        <v>0</v>
      </c>
      <c r="CX168" s="113">
        <v>0</v>
      </c>
      <c r="CY168" s="113">
        <v>0</v>
      </c>
      <c r="CZ168" s="113">
        <v>0</v>
      </c>
      <c r="DA168" s="113">
        <v>0</v>
      </c>
      <c r="DB168" s="113">
        <v>0</v>
      </c>
      <c r="DC168" s="113">
        <v>0</v>
      </c>
      <c r="DD168" s="113">
        <v>0</v>
      </c>
      <c r="DE168" s="113">
        <v>0</v>
      </c>
      <c r="DF168" s="113">
        <v>0</v>
      </c>
      <c r="DG168" s="113">
        <v>0</v>
      </c>
      <c r="DH168" s="113">
        <v>0</v>
      </c>
      <c r="DI168" s="113">
        <v>0</v>
      </c>
      <c r="DJ168" s="113">
        <v>0</v>
      </c>
      <c r="DK168" s="113">
        <v>0</v>
      </c>
      <c r="DL168" s="113">
        <v>0</v>
      </c>
      <c r="DM168" s="113">
        <v>0</v>
      </c>
      <c r="DN168" s="113">
        <v>0</v>
      </c>
      <c r="DO168" s="113">
        <v>0</v>
      </c>
      <c r="DP168" s="113">
        <v>0</v>
      </c>
      <c r="DQ168" s="113">
        <v>0</v>
      </c>
      <c r="DR168" s="113">
        <v>0</v>
      </c>
      <c r="DS168" s="113">
        <v>0</v>
      </c>
      <c r="DT168" s="113">
        <v>0</v>
      </c>
      <c r="DU168" s="113">
        <v>0</v>
      </c>
      <c r="DV168" s="113">
        <v>0</v>
      </c>
      <c r="DW168" s="113">
        <v>0</v>
      </c>
      <c r="DX168" s="113">
        <v>0</v>
      </c>
      <c r="DY168" s="113">
        <v>0</v>
      </c>
      <c r="DZ168" s="113">
        <v>0</v>
      </c>
      <c r="EA168" s="113">
        <v>0</v>
      </c>
      <c r="EB168" s="113">
        <v>0</v>
      </c>
      <c r="EC168" s="113">
        <v>0</v>
      </c>
      <c r="ED168" s="113">
        <v>0</v>
      </c>
      <c r="EE168" s="113">
        <v>0</v>
      </c>
      <c r="EF168" s="113">
        <v>0</v>
      </c>
      <c r="EG168" s="113">
        <v>0</v>
      </c>
      <c r="EH168" s="113">
        <v>0</v>
      </c>
      <c r="EI168" s="113">
        <v>0</v>
      </c>
      <c r="EJ168" s="113">
        <v>0</v>
      </c>
      <c r="EK168" s="113">
        <v>0</v>
      </c>
      <c r="EL168" s="113">
        <v>0</v>
      </c>
      <c r="EM168" s="113">
        <v>0</v>
      </c>
      <c r="EN168" s="113">
        <v>0</v>
      </c>
      <c r="EO168" s="113">
        <v>0</v>
      </c>
      <c r="EP168" s="113">
        <v>0</v>
      </c>
      <c r="EQ168" s="113">
        <v>0</v>
      </c>
      <c r="ER168" s="113">
        <v>0</v>
      </c>
      <c r="ES168" s="113">
        <v>0</v>
      </c>
      <c r="ET168" s="113">
        <v>0</v>
      </c>
      <c r="EU168" s="113">
        <v>0</v>
      </c>
      <c r="EV168" s="113">
        <v>0</v>
      </c>
      <c r="EW168" s="113">
        <v>0</v>
      </c>
      <c r="EX168" s="113">
        <v>0</v>
      </c>
      <c r="EY168" s="113">
        <v>0</v>
      </c>
      <c r="EZ168" s="113">
        <v>0</v>
      </c>
      <c r="FA168" s="113">
        <v>0</v>
      </c>
      <c r="FB168" s="113">
        <v>0</v>
      </c>
      <c r="FC168" s="113">
        <v>0</v>
      </c>
      <c r="FD168" s="113">
        <v>0</v>
      </c>
      <c r="FE168" s="113">
        <v>0</v>
      </c>
      <c r="FF168" s="113">
        <v>0</v>
      </c>
      <c r="FG168" s="113">
        <v>0</v>
      </c>
      <c r="FH168" s="113">
        <v>0</v>
      </c>
      <c r="FI168" s="113">
        <v>0</v>
      </c>
      <c r="FJ168" s="113">
        <v>0</v>
      </c>
      <c r="FK168" s="113">
        <v>0</v>
      </c>
      <c r="FL168" s="113">
        <v>0</v>
      </c>
      <c r="FM168" s="113">
        <v>0</v>
      </c>
      <c r="FN168" s="113">
        <v>0</v>
      </c>
      <c r="FO168" s="113">
        <v>0</v>
      </c>
      <c r="FP168" s="113">
        <v>0</v>
      </c>
      <c r="FQ168" s="113">
        <v>0</v>
      </c>
      <c r="FR168" s="113">
        <v>0</v>
      </c>
      <c r="FS168" s="113">
        <v>0</v>
      </c>
      <c r="FT168" s="113">
        <v>0</v>
      </c>
      <c r="FU168" s="113">
        <v>0</v>
      </c>
      <c r="FV168" s="113">
        <v>0</v>
      </c>
      <c r="FW168" s="113">
        <v>0</v>
      </c>
      <c r="FX168" s="32">
        <v>0</v>
      </c>
      <c r="FY168" s="30">
        <v>0</v>
      </c>
      <c r="FZ168" s="30">
        <v>0</v>
      </c>
    </row>
    <row r="169" spans="1:182" x14ac:dyDescent="0.2">
      <c r="A169" s="28">
        <v>36708</v>
      </c>
      <c r="B169" s="28"/>
      <c r="C169" s="29">
        <v>212925</v>
      </c>
      <c r="D169" s="29">
        <v>107781</v>
      </c>
      <c r="E169" s="29">
        <f t="shared" si="4"/>
        <v>320706</v>
      </c>
      <c r="F169" s="30">
        <v>2244412</v>
      </c>
      <c r="G169" s="30">
        <v>88117</v>
      </c>
      <c r="H169" s="30">
        <f t="shared" si="5"/>
        <v>2332529</v>
      </c>
      <c r="I169" s="42" t="s">
        <v>75</v>
      </c>
      <c r="J169" s="42" t="s">
        <v>75</v>
      </c>
      <c r="K169" s="32">
        <v>3124270</v>
      </c>
      <c r="L169" s="31" t="s">
        <v>75</v>
      </c>
      <c r="M169" s="31" t="s">
        <v>75</v>
      </c>
      <c r="N169" s="30">
        <v>8891738</v>
      </c>
      <c r="O169" s="31" t="s">
        <v>75</v>
      </c>
      <c r="P169" s="31" t="s">
        <v>75</v>
      </c>
      <c r="Q169" s="30">
        <v>9883617</v>
      </c>
      <c r="R169" s="31" t="s">
        <v>75</v>
      </c>
      <c r="S169" s="31" t="s">
        <v>75</v>
      </c>
      <c r="T169" s="32">
        <v>132464</v>
      </c>
      <c r="U169" s="31" t="s">
        <v>75</v>
      </c>
      <c r="V169" s="31" t="s">
        <v>75</v>
      </c>
      <c r="W169" s="31" t="s">
        <v>75</v>
      </c>
      <c r="X169" s="31" t="s">
        <v>75</v>
      </c>
      <c r="Y169" s="31" t="s">
        <v>75</v>
      </c>
      <c r="Z169" s="30">
        <v>68902</v>
      </c>
      <c r="AA169" s="31" t="s">
        <v>75</v>
      </c>
      <c r="AB169" s="31" t="s">
        <v>75</v>
      </c>
      <c r="AC169" s="30">
        <v>131707</v>
      </c>
      <c r="AD169" s="31" t="s">
        <v>75</v>
      </c>
      <c r="AE169" s="31" t="s">
        <v>75</v>
      </c>
      <c r="AF169" s="30">
        <v>17443</v>
      </c>
      <c r="AG169" s="42" t="s">
        <v>75</v>
      </c>
      <c r="AH169" s="42" t="s">
        <v>75</v>
      </c>
      <c r="AI169" s="32">
        <v>110328</v>
      </c>
      <c r="AJ169" s="31" t="s">
        <v>75</v>
      </c>
      <c r="AK169" s="31" t="s">
        <v>75</v>
      </c>
      <c r="AL169" s="31" t="s">
        <v>75</v>
      </c>
      <c r="AM169" s="31"/>
      <c r="AN169" s="31"/>
      <c r="AO169" s="31"/>
      <c r="AP169" s="31"/>
      <c r="AQ169" s="31"/>
      <c r="AR169" s="31"/>
      <c r="AS169" s="31" t="s">
        <v>75</v>
      </c>
      <c r="AT169" s="31" t="s">
        <v>75</v>
      </c>
      <c r="AU169" s="31" t="s">
        <v>75</v>
      </c>
      <c r="AV169" s="31" t="s">
        <v>75</v>
      </c>
      <c r="AW169" s="31" t="s">
        <v>75</v>
      </c>
      <c r="AX169" s="31" t="s">
        <v>75</v>
      </c>
      <c r="AY169" s="31" t="s">
        <v>75</v>
      </c>
      <c r="AZ169" s="31" t="s">
        <v>75</v>
      </c>
      <c r="BA169" s="29">
        <v>13010008</v>
      </c>
      <c r="BB169" s="31" t="s">
        <v>75</v>
      </c>
      <c r="BC169" s="31" t="s">
        <v>75</v>
      </c>
      <c r="BD169" s="29">
        <v>1098597</v>
      </c>
      <c r="BE169" s="113">
        <v>0</v>
      </c>
      <c r="BF169" s="113">
        <v>0</v>
      </c>
      <c r="BG169" s="113">
        <v>0</v>
      </c>
      <c r="BH169" s="113">
        <v>0</v>
      </c>
      <c r="BI169" s="113">
        <v>0</v>
      </c>
      <c r="BJ169" s="113">
        <v>0</v>
      </c>
      <c r="BK169" s="113">
        <v>0</v>
      </c>
      <c r="BL169" s="113">
        <v>0</v>
      </c>
      <c r="BM169" s="113">
        <v>0</v>
      </c>
      <c r="BN169" s="113">
        <v>0</v>
      </c>
      <c r="BO169" s="113">
        <v>0</v>
      </c>
      <c r="BP169" s="113">
        <v>0</v>
      </c>
      <c r="BQ169" s="113">
        <v>0</v>
      </c>
      <c r="BR169" s="113">
        <v>0</v>
      </c>
      <c r="BS169" s="113">
        <v>0</v>
      </c>
      <c r="BT169" s="113">
        <v>0</v>
      </c>
      <c r="BU169" s="113">
        <v>0</v>
      </c>
      <c r="BV169" s="113">
        <v>0</v>
      </c>
      <c r="BW169" s="113"/>
      <c r="BX169" s="113"/>
      <c r="BY169" s="113"/>
      <c r="BZ169" s="113">
        <v>0</v>
      </c>
      <c r="CA169" s="113">
        <v>0</v>
      </c>
      <c r="CB169" s="113">
        <v>0</v>
      </c>
      <c r="CC169" s="113"/>
      <c r="CD169" s="113"/>
      <c r="CE169" s="113"/>
      <c r="CF169" s="113">
        <v>0</v>
      </c>
      <c r="CG169" s="113">
        <v>0</v>
      </c>
      <c r="CH169" s="113">
        <v>0</v>
      </c>
      <c r="CI169" s="113">
        <v>0</v>
      </c>
      <c r="CJ169" s="113">
        <v>0</v>
      </c>
      <c r="CK169" s="113">
        <v>0</v>
      </c>
      <c r="CL169" s="113">
        <v>0</v>
      </c>
      <c r="CM169" s="113">
        <v>0</v>
      </c>
      <c r="CN169" s="113">
        <v>0</v>
      </c>
      <c r="CO169" s="113">
        <v>0</v>
      </c>
      <c r="CP169" s="113">
        <v>0</v>
      </c>
      <c r="CQ169" s="113">
        <v>0</v>
      </c>
      <c r="CR169" s="113">
        <v>0</v>
      </c>
      <c r="CS169" s="113">
        <v>0</v>
      </c>
      <c r="CT169" s="113">
        <v>0</v>
      </c>
      <c r="CU169" s="113">
        <v>0</v>
      </c>
      <c r="CV169" s="113">
        <v>0</v>
      </c>
      <c r="CW169" s="113">
        <v>0</v>
      </c>
      <c r="CX169" s="113">
        <v>0</v>
      </c>
      <c r="CY169" s="113">
        <v>0</v>
      </c>
      <c r="CZ169" s="113">
        <v>0</v>
      </c>
      <c r="DA169" s="113">
        <v>0</v>
      </c>
      <c r="DB169" s="113">
        <v>0</v>
      </c>
      <c r="DC169" s="113">
        <v>0</v>
      </c>
      <c r="DD169" s="113">
        <v>0</v>
      </c>
      <c r="DE169" s="113">
        <v>0</v>
      </c>
      <c r="DF169" s="113">
        <v>0</v>
      </c>
      <c r="DG169" s="113">
        <v>0</v>
      </c>
      <c r="DH169" s="113">
        <v>0</v>
      </c>
      <c r="DI169" s="113">
        <v>0</v>
      </c>
      <c r="DJ169" s="113">
        <v>0</v>
      </c>
      <c r="DK169" s="113">
        <v>0</v>
      </c>
      <c r="DL169" s="113">
        <v>0</v>
      </c>
      <c r="DM169" s="113">
        <v>0</v>
      </c>
      <c r="DN169" s="113">
        <v>0</v>
      </c>
      <c r="DO169" s="113">
        <v>0</v>
      </c>
      <c r="DP169" s="113">
        <v>0</v>
      </c>
      <c r="DQ169" s="113">
        <v>0</v>
      </c>
      <c r="DR169" s="113">
        <v>0</v>
      </c>
      <c r="DS169" s="113">
        <v>0</v>
      </c>
      <c r="DT169" s="113">
        <v>0</v>
      </c>
      <c r="DU169" s="113">
        <v>0</v>
      </c>
      <c r="DV169" s="113">
        <v>0</v>
      </c>
      <c r="DW169" s="113">
        <v>0</v>
      </c>
      <c r="DX169" s="113">
        <v>0</v>
      </c>
      <c r="DY169" s="113">
        <v>0</v>
      </c>
      <c r="DZ169" s="113">
        <v>0</v>
      </c>
      <c r="EA169" s="113">
        <v>0</v>
      </c>
      <c r="EB169" s="113">
        <v>0</v>
      </c>
      <c r="EC169" s="113">
        <v>0</v>
      </c>
      <c r="ED169" s="113">
        <v>0</v>
      </c>
      <c r="EE169" s="113">
        <v>0</v>
      </c>
      <c r="EF169" s="113">
        <v>0</v>
      </c>
      <c r="EG169" s="113">
        <v>0</v>
      </c>
      <c r="EH169" s="113">
        <v>0</v>
      </c>
      <c r="EI169" s="113">
        <v>0</v>
      </c>
      <c r="EJ169" s="113">
        <v>0</v>
      </c>
      <c r="EK169" s="113">
        <v>0</v>
      </c>
      <c r="EL169" s="113">
        <v>0</v>
      </c>
      <c r="EM169" s="113">
        <v>0</v>
      </c>
      <c r="EN169" s="113">
        <v>0</v>
      </c>
      <c r="EO169" s="113">
        <v>0</v>
      </c>
      <c r="EP169" s="113">
        <v>0</v>
      </c>
      <c r="EQ169" s="113">
        <v>0</v>
      </c>
      <c r="ER169" s="113">
        <v>0</v>
      </c>
      <c r="ES169" s="113">
        <v>0</v>
      </c>
      <c r="ET169" s="113">
        <v>0</v>
      </c>
      <c r="EU169" s="113">
        <v>0</v>
      </c>
      <c r="EV169" s="113">
        <v>0</v>
      </c>
      <c r="EW169" s="113">
        <v>0</v>
      </c>
      <c r="EX169" s="113">
        <v>0</v>
      </c>
      <c r="EY169" s="113">
        <v>0</v>
      </c>
      <c r="EZ169" s="113">
        <v>0</v>
      </c>
      <c r="FA169" s="113">
        <v>0</v>
      </c>
      <c r="FB169" s="113">
        <v>0</v>
      </c>
      <c r="FC169" s="113">
        <v>0</v>
      </c>
      <c r="FD169" s="113">
        <v>0</v>
      </c>
      <c r="FE169" s="113">
        <v>0</v>
      </c>
      <c r="FF169" s="113">
        <v>0</v>
      </c>
      <c r="FG169" s="113">
        <v>0</v>
      </c>
      <c r="FH169" s="113">
        <v>0</v>
      </c>
      <c r="FI169" s="113">
        <v>0</v>
      </c>
      <c r="FJ169" s="113">
        <v>0</v>
      </c>
      <c r="FK169" s="113">
        <v>0</v>
      </c>
      <c r="FL169" s="113">
        <v>0</v>
      </c>
      <c r="FM169" s="113">
        <v>0</v>
      </c>
      <c r="FN169" s="113">
        <v>0</v>
      </c>
      <c r="FO169" s="113">
        <v>0</v>
      </c>
      <c r="FP169" s="113">
        <v>0</v>
      </c>
      <c r="FQ169" s="113">
        <v>0</v>
      </c>
      <c r="FR169" s="113">
        <v>0</v>
      </c>
      <c r="FS169" s="113">
        <v>0</v>
      </c>
      <c r="FT169" s="113">
        <v>0</v>
      </c>
      <c r="FU169" s="113">
        <v>0</v>
      </c>
      <c r="FV169" s="113">
        <v>0</v>
      </c>
      <c r="FW169" s="113">
        <v>0</v>
      </c>
      <c r="FX169" s="32">
        <v>0</v>
      </c>
      <c r="FY169" s="30">
        <v>0</v>
      </c>
      <c r="FZ169" s="30">
        <v>0</v>
      </c>
    </row>
    <row r="170" spans="1:182" x14ac:dyDescent="0.2">
      <c r="A170" s="28">
        <v>36739</v>
      </c>
      <c r="B170" s="28"/>
      <c r="C170" s="29">
        <v>366045</v>
      </c>
      <c r="D170" s="29">
        <v>149347</v>
      </c>
      <c r="E170" s="29">
        <f t="shared" si="4"/>
        <v>515392</v>
      </c>
      <c r="F170" s="30">
        <v>3459176</v>
      </c>
      <c r="G170" s="30">
        <v>121182</v>
      </c>
      <c r="H170" s="30">
        <f t="shared" si="5"/>
        <v>3580358</v>
      </c>
      <c r="I170" s="42" t="s">
        <v>75</v>
      </c>
      <c r="J170" s="42" t="s">
        <v>75</v>
      </c>
      <c r="K170" s="32">
        <v>3987964</v>
      </c>
      <c r="L170" s="31" t="s">
        <v>75</v>
      </c>
      <c r="M170" s="31" t="s">
        <v>75</v>
      </c>
      <c r="N170" s="30">
        <v>9434990</v>
      </c>
      <c r="O170" s="31" t="s">
        <v>75</v>
      </c>
      <c r="P170" s="31" t="s">
        <v>75</v>
      </c>
      <c r="Q170" s="30">
        <v>12348325</v>
      </c>
      <c r="R170" s="31" t="s">
        <v>75</v>
      </c>
      <c r="S170" s="31" t="s">
        <v>75</v>
      </c>
      <c r="T170" s="32">
        <v>156259</v>
      </c>
      <c r="U170" s="31" t="s">
        <v>75</v>
      </c>
      <c r="V170" s="31" t="s">
        <v>75</v>
      </c>
      <c r="W170" s="31" t="s">
        <v>75</v>
      </c>
      <c r="X170" s="31" t="s">
        <v>75</v>
      </c>
      <c r="Y170" s="31" t="s">
        <v>75</v>
      </c>
      <c r="Z170" s="30">
        <v>87346</v>
      </c>
      <c r="AA170" s="31" t="s">
        <v>75</v>
      </c>
      <c r="AB170" s="31" t="s">
        <v>75</v>
      </c>
      <c r="AC170" s="30">
        <v>300443</v>
      </c>
      <c r="AD170" s="31" t="s">
        <v>75</v>
      </c>
      <c r="AE170" s="31" t="s">
        <v>75</v>
      </c>
      <c r="AF170" s="30">
        <v>5893</v>
      </c>
      <c r="AG170" s="42" t="s">
        <v>75</v>
      </c>
      <c r="AH170" s="42" t="s">
        <v>75</v>
      </c>
      <c r="AI170" s="32">
        <v>114084</v>
      </c>
      <c r="AJ170" s="31" t="s">
        <v>75</v>
      </c>
      <c r="AK170" s="31" t="s">
        <v>75</v>
      </c>
      <c r="AL170" s="31" t="s">
        <v>75</v>
      </c>
      <c r="AM170" s="31"/>
      <c r="AN170" s="31"/>
      <c r="AO170" s="31"/>
      <c r="AP170" s="31"/>
      <c r="AQ170" s="31"/>
      <c r="AR170" s="31"/>
      <c r="AS170" s="31" t="s">
        <v>75</v>
      </c>
      <c r="AT170" s="31" t="s">
        <v>75</v>
      </c>
      <c r="AU170" s="31" t="s">
        <v>75</v>
      </c>
      <c r="AV170" s="31" t="s">
        <v>75</v>
      </c>
      <c r="AW170" s="31" t="s">
        <v>75</v>
      </c>
      <c r="AX170" s="31" t="s">
        <v>75</v>
      </c>
      <c r="AY170" s="31" t="s">
        <v>75</v>
      </c>
      <c r="AZ170" s="31" t="s">
        <v>75</v>
      </c>
      <c r="BA170" s="29">
        <v>13784455</v>
      </c>
      <c r="BB170" s="31" t="s">
        <v>75</v>
      </c>
      <c r="BC170" s="31" t="s">
        <v>75</v>
      </c>
      <c r="BD170" s="29">
        <v>1049913</v>
      </c>
      <c r="BE170" s="113">
        <v>0</v>
      </c>
      <c r="BF170" s="113">
        <v>0</v>
      </c>
      <c r="BG170" s="113">
        <v>0</v>
      </c>
      <c r="BH170" s="113">
        <v>0</v>
      </c>
      <c r="BI170" s="113">
        <v>0</v>
      </c>
      <c r="BJ170" s="113">
        <v>0</v>
      </c>
      <c r="BK170" s="113">
        <v>0</v>
      </c>
      <c r="BL170" s="113">
        <v>0</v>
      </c>
      <c r="BM170" s="113">
        <v>0</v>
      </c>
      <c r="BN170" s="113">
        <v>0</v>
      </c>
      <c r="BO170" s="113">
        <v>0</v>
      </c>
      <c r="BP170" s="113">
        <v>0</v>
      </c>
      <c r="BQ170" s="113">
        <v>0</v>
      </c>
      <c r="BR170" s="113">
        <v>0</v>
      </c>
      <c r="BS170" s="113">
        <v>0</v>
      </c>
      <c r="BT170" s="113">
        <v>0</v>
      </c>
      <c r="BU170" s="113">
        <v>0</v>
      </c>
      <c r="BV170" s="113">
        <v>0</v>
      </c>
      <c r="BW170" s="113"/>
      <c r="BX170" s="113"/>
      <c r="BY170" s="113"/>
      <c r="BZ170" s="113">
        <v>0</v>
      </c>
      <c r="CA170" s="113">
        <v>0</v>
      </c>
      <c r="CB170" s="113">
        <v>0</v>
      </c>
      <c r="CC170" s="113"/>
      <c r="CD170" s="113"/>
      <c r="CE170" s="113"/>
      <c r="CF170" s="113">
        <v>0</v>
      </c>
      <c r="CG170" s="113">
        <v>0</v>
      </c>
      <c r="CH170" s="113">
        <v>0</v>
      </c>
      <c r="CI170" s="113">
        <v>0</v>
      </c>
      <c r="CJ170" s="113">
        <v>0</v>
      </c>
      <c r="CK170" s="113">
        <v>0</v>
      </c>
      <c r="CL170" s="113">
        <v>0</v>
      </c>
      <c r="CM170" s="113">
        <v>0</v>
      </c>
      <c r="CN170" s="113">
        <v>0</v>
      </c>
      <c r="CO170" s="113">
        <v>0</v>
      </c>
      <c r="CP170" s="113">
        <v>0</v>
      </c>
      <c r="CQ170" s="113">
        <v>0</v>
      </c>
      <c r="CR170" s="113">
        <v>0</v>
      </c>
      <c r="CS170" s="113">
        <v>0</v>
      </c>
      <c r="CT170" s="113">
        <v>0</v>
      </c>
      <c r="CU170" s="113">
        <v>0</v>
      </c>
      <c r="CV170" s="113">
        <v>0</v>
      </c>
      <c r="CW170" s="113">
        <v>0</v>
      </c>
      <c r="CX170" s="113">
        <v>0</v>
      </c>
      <c r="CY170" s="113">
        <v>0</v>
      </c>
      <c r="CZ170" s="113">
        <v>0</v>
      </c>
      <c r="DA170" s="113">
        <v>0</v>
      </c>
      <c r="DB170" s="113">
        <v>0</v>
      </c>
      <c r="DC170" s="113">
        <v>0</v>
      </c>
      <c r="DD170" s="113">
        <v>0</v>
      </c>
      <c r="DE170" s="113">
        <v>0</v>
      </c>
      <c r="DF170" s="113">
        <v>0</v>
      </c>
      <c r="DG170" s="113">
        <v>0</v>
      </c>
      <c r="DH170" s="113">
        <v>0</v>
      </c>
      <c r="DI170" s="113">
        <v>0</v>
      </c>
      <c r="DJ170" s="113">
        <v>0</v>
      </c>
      <c r="DK170" s="113">
        <v>0</v>
      </c>
      <c r="DL170" s="113">
        <v>0</v>
      </c>
      <c r="DM170" s="113">
        <v>0</v>
      </c>
      <c r="DN170" s="113">
        <v>0</v>
      </c>
      <c r="DO170" s="113">
        <v>0</v>
      </c>
      <c r="DP170" s="113">
        <v>0</v>
      </c>
      <c r="DQ170" s="113">
        <v>0</v>
      </c>
      <c r="DR170" s="113">
        <v>0</v>
      </c>
      <c r="DS170" s="113">
        <v>0</v>
      </c>
      <c r="DT170" s="113">
        <v>0</v>
      </c>
      <c r="DU170" s="113">
        <v>0</v>
      </c>
      <c r="DV170" s="113">
        <v>0</v>
      </c>
      <c r="DW170" s="113">
        <v>0</v>
      </c>
      <c r="DX170" s="113">
        <v>0</v>
      </c>
      <c r="DY170" s="113">
        <v>0</v>
      </c>
      <c r="DZ170" s="113">
        <v>0</v>
      </c>
      <c r="EA170" s="113">
        <v>0</v>
      </c>
      <c r="EB170" s="113">
        <v>0</v>
      </c>
      <c r="EC170" s="113">
        <v>0</v>
      </c>
      <c r="ED170" s="113">
        <v>0</v>
      </c>
      <c r="EE170" s="113">
        <v>0</v>
      </c>
      <c r="EF170" s="113">
        <v>0</v>
      </c>
      <c r="EG170" s="113">
        <v>0</v>
      </c>
      <c r="EH170" s="113">
        <v>0</v>
      </c>
      <c r="EI170" s="113">
        <v>0</v>
      </c>
      <c r="EJ170" s="113">
        <v>0</v>
      </c>
      <c r="EK170" s="113">
        <v>0</v>
      </c>
      <c r="EL170" s="113">
        <v>0</v>
      </c>
      <c r="EM170" s="113">
        <v>0</v>
      </c>
      <c r="EN170" s="113">
        <v>0</v>
      </c>
      <c r="EO170" s="113">
        <v>0</v>
      </c>
      <c r="EP170" s="113">
        <v>0</v>
      </c>
      <c r="EQ170" s="113">
        <v>0</v>
      </c>
      <c r="ER170" s="113">
        <v>0</v>
      </c>
      <c r="ES170" s="113">
        <v>0</v>
      </c>
      <c r="ET170" s="113">
        <v>0</v>
      </c>
      <c r="EU170" s="113">
        <v>0</v>
      </c>
      <c r="EV170" s="113">
        <v>0</v>
      </c>
      <c r="EW170" s="113">
        <v>0</v>
      </c>
      <c r="EX170" s="113">
        <v>0</v>
      </c>
      <c r="EY170" s="113">
        <v>0</v>
      </c>
      <c r="EZ170" s="113">
        <v>0</v>
      </c>
      <c r="FA170" s="113">
        <v>0</v>
      </c>
      <c r="FB170" s="113">
        <v>0</v>
      </c>
      <c r="FC170" s="113">
        <v>0</v>
      </c>
      <c r="FD170" s="113">
        <v>0</v>
      </c>
      <c r="FE170" s="113">
        <v>0</v>
      </c>
      <c r="FF170" s="113">
        <v>0</v>
      </c>
      <c r="FG170" s="113">
        <v>0</v>
      </c>
      <c r="FH170" s="113">
        <v>0</v>
      </c>
      <c r="FI170" s="113">
        <v>0</v>
      </c>
      <c r="FJ170" s="113">
        <v>0</v>
      </c>
      <c r="FK170" s="113">
        <v>0</v>
      </c>
      <c r="FL170" s="113">
        <v>0</v>
      </c>
      <c r="FM170" s="113">
        <v>0</v>
      </c>
      <c r="FN170" s="113">
        <v>0</v>
      </c>
      <c r="FO170" s="113">
        <v>0</v>
      </c>
      <c r="FP170" s="113">
        <v>0</v>
      </c>
      <c r="FQ170" s="113">
        <v>0</v>
      </c>
      <c r="FR170" s="113">
        <v>0</v>
      </c>
      <c r="FS170" s="113">
        <v>0</v>
      </c>
      <c r="FT170" s="113">
        <v>0</v>
      </c>
      <c r="FU170" s="113">
        <v>0</v>
      </c>
      <c r="FV170" s="113">
        <v>0</v>
      </c>
      <c r="FW170" s="113">
        <v>0</v>
      </c>
      <c r="FX170" s="32">
        <v>0</v>
      </c>
      <c r="FY170" s="30">
        <v>0</v>
      </c>
      <c r="FZ170" s="30">
        <v>0</v>
      </c>
    </row>
    <row r="171" spans="1:182" x14ac:dyDescent="0.2">
      <c r="A171" s="28">
        <v>36770</v>
      </c>
      <c r="B171" s="28"/>
      <c r="C171" s="29">
        <v>239165</v>
      </c>
      <c r="D171" s="29">
        <v>118150</v>
      </c>
      <c r="E171" s="29">
        <f t="shared" si="4"/>
        <v>357315</v>
      </c>
      <c r="F171" s="30">
        <v>3714923</v>
      </c>
      <c r="G171" s="30">
        <v>84130</v>
      </c>
      <c r="H171" s="30">
        <f t="shared" si="5"/>
        <v>3799053</v>
      </c>
      <c r="I171" s="42" t="s">
        <v>75</v>
      </c>
      <c r="J171" s="42" t="s">
        <v>75</v>
      </c>
      <c r="K171" s="32">
        <v>4308488</v>
      </c>
      <c r="L171" s="31" t="s">
        <v>75</v>
      </c>
      <c r="M171" s="31" t="s">
        <v>75</v>
      </c>
      <c r="N171" s="30">
        <v>10715945</v>
      </c>
      <c r="O171" s="31" t="s">
        <v>75</v>
      </c>
      <c r="P171" s="31" t="s">
        <v>75</v>
      </c>
      <c r="Q171" s="30">
        <v>12298361</v>
      </c>
      <c r="R171" s="31" t="s">
        <v>75</v>
      </c>
      <c r="S171" s="31" t="s">
        <v>75</v>
      </c>
      <c r="T171" s="32">
        <v>107735</v>
      </c>
      <c r="U171" s="31" t="s">
        <v>75</v>
      </c>
      <c r="V171" s="31" t="s">
        <v>75</v>
      </c>
      <c r="W171" s="31" t="s">
        <v>75</v>
      </c>
      <c r="X171" s="31" t="s">
        <v>75</v>
      </c>
      <c r="Y171" s="31" t="s">
        <v>75</v>
      </c>
      <c r="Z171" s="30">
        <v>80022</v>
      </c>
      <c r="AA171" s="31" t="s">
        <v>75</v>
      </c>
      <c r="AB171" s="31" t="s">
        <v>75</v>
      </c>
      <c r="AC171" s="30">
        <v>70976</v>
      </c>
      <c r="AD171" s="31" t="s">
        <v>75</v>
      </c>
      <c r="AE171" s="31" t="s">
        <v>75</v>
      </c>
      <c r="AF171" s="30">
        <v>13712</v>
      </c>
      <c r="AG171" s="42" t="s">
        <v>75</v>
      </c>
      <c r="AH171" s="42" t="s">
        <v>75</v>
      </c>
      <c r="AI171" s="32">
        <v>40319</v>
      </c>
      <c r="AJ171" s="31" t="s">
        <v>75</v>
      </c>
      <c r="AK171" s="31" t="s">
        <v>75</v>
      </c>
      <c r="AL171" s="31" t="s">
        <v>75</v>
      </c>
      <c r="AM171" s="31"/>
      <c r="AN171" s="31"/>
      <c r="AO171" s="31"/>
      <c r="AP171" s="31"/>
      <c r="AQ171" s="31"/>
      <c r="AR171" s="31"/>
      <c r="AS171" s="31" t="s">
        <v>75</v>
      </c>
      <c r="AT171" s="31" t="s">
        <v>75</v>
      </c>
      <c r="AU171" s="31" t="s">
        <v>75</v>
      </c>
      <c r="AV171" s="31" t="s">
        <v>75</v>
      </c>
      <c r="AW171" s="31" t="s">
        <v>75</v>
      </c>
      <c r="AX171" s="31" t="s">
        <v>75</v>
      </c>
      <c r="AY171" s="31" t="s">
        <v>75</v>
      </c>
      <c r="AZ171" s="31" t="s">
        <v>75</v>
      </c>
      <c r="BA171" s="29">
        <v>12973295</v>
      </c>
      <c r="BB171" s="31" t="s">
        <v>75</v>
      </c>
      <c r="BC171" s="31" t="s">
        <v>75</v>
      </c>
      <c r="BD171" s="29">
        <v>1130166</v>
      </c>
      <c r="BE171" s="113">
        <v>0</v>
      </c>
      <c r="BF171" s="113">
        <v>0</v>
      </c>
      <c r="BG171" s="113">
        <v>0</v>
      </c>
      <c r="BH171" s="113">
        <v>0</v>
      </c>
      <c r="BI171" s="113">
        <v>0</v>
      </c>
      <c r="BJ171" s="113">
        <v>0</v>
      </c>
      <c r="BK171" s="113">
        <v>0</v>
      </c>
      <c r="BL171" s="113">
        <v>0</v>
      </c>
      <c r="BM171" s="113">
        <v>0</v>
      </c>
      <c r="BN171" s="113">
        <v>0</v>
      </c>
      <c r="BO171" s="113">
        <v>0</v>
      </c>
      <c r="BP171" s="113">
        <v>0</v>
      </c>
      <c r="BQ171" s="113">
        <v>0</v>
      </c>
      <c r="BR171" s="113">
        <v>0</v>
      </c>
      <c r="BS171" s="113">
        <v>0</v>
      </c>
      <c r="BT171" s="113">
        <v>0</v>
      </c>
      <c r="BU171" s="113">
        <v>0</v>
      </c>
      <c r="BV171" s="113">
        <v>0</v>
      </c>
      <c r="BW171" s="113"/>
      <c r="BX171" s="113"/>
      <c r="BY171" s="113"/>
      <c r="BZ171" s="113">
        <v>0</v>
      </c>
      <c r="CA171" s="113">
        <v>0</v>
      </c>
      <c r="CB171" s="113">
        <v>0</v>
      </c>
      <c r="CC171" s="113"/>
      <c r="CD171" s="113"/>
      <c r="CE171" s="113"/>
      <c r="CF171" s="113">
        <v>0</v>
      </c>
      <c r="CG171" s="113">
        <v>0</v>
      </c>
      <c r="CH171" s="113">
        <v>0</v>
      </c>
      <c r="CI171" s="113">
        <v>0</v>
      </c>
      <c r="CJ171" s="113">
        <v>0</v>
      </c>
      <c r="CK171" s="113">
        <v>0</v>
      </c>
      <c r="CL171" s="113">
        <v>0</v>
      </c>
      <c r="CM171" s="113">
        <v>0</v>
      </c>
      <c r="CN171" s="113">
        <v>0</v>
      </c>
      <c r="CO171" s="113">
        <v>0</v>
      </c>
      <c r="CP171" s="113">
        <v>0</v>
      </c>
      <c r="CQ171" s="113">
        <v>0</v>
      </c>
      <c r="CR171" s="113">
        <v>0</v>
      </c>
      <c r="CS171" s="113">
        <v>0</v>
      </c>
      <c r="CT171" s="113">
        <v>0</v>
      </c>
      <c r="CU171" s="113">
        <v>0</v>
      </c>
      <c r="CV171" s="113">
        <v>0</v>
      </c>
      <c r="CW171" s="113">
        <v>0</v>
      </c>
      <c r="CX171" s="113">
        <v>0</v>
      </c>
      <c r="CY171" s="113">
        <v>0</v>
      </c>
      <c r="CZ171" s="113">
        <v>0</v>
      </c>
      <c r="DA171" s="113">
        <v>0</v>
      </c>
      <c r="DB171" s="113">
        <v>0</v>
      </c>
      <c r="DC171" s="113">
        <v>0</v>
      </c>
      <c r="DD171" s="113">
        <v>0</v>
      </c>
      <c r="DE171" s="113">
        <v>0</v>
      </c>
      <c r="DF171" s="113">
        <v>0</v>
      </c>
      <c r="DG171" s="113">
        <v>0</v>
      </c>
      <c r="DH171" s="113">
        <v>0</v>
      </c>
      <c r="DI171" s="113">
        <v>0</v>
      </c>
      <c r="DJ171" s="113">
        <v>0</v>
      </c>
      <c r="DK171" s="113">
        <v>0</v>
      </c>
      <c r="DL171" s="113">
        <v>0</v>
      </c>
      <c r="DM171" s="113">
        <v>0</v>
      </c>
      <c r="DN171" s="113">
        <v>0</v>
      </c>
      <c r="DO171" s="113">
        <v>0</v>
      </c>
      <c r="DP171" s="113">
        <v>0</v>
      </c>
      <c r="DQ171" s="113">
        <v>0</v>
      </c>
      <c r="DR171" s="113">
        <v>0</v>
      </c>
      <c r="DS171" s="113">
        <v>0</v>
      </c>
      <c r="DT171" s="113">
        <v>0</v>
      </c>
      <c r="DU171" s="113">
        <v>0</v>
      </c>
      <c r="DV171" s="113">
        <v>0</v>
      </c>
      <c r="DW171" s="113">
        <v>0</v>
      </c>
      <c r="DX171" s="113">
        <v>0</v>
      </c>
      <c r="DY171" s="113">
        <v>0</v>
      </c>
      <c r="DZ171" s="113">
        <v>0</v>
      </c>
      <c r="EA171" s="113">
        <v>0</v>
      </c>
      <c r="EB171" s="113">
        <v>0</v>
      </c>
      <c r="EC171" s="113">
        <v>0</v>
      </c>
      <c r="ED171" s="113">
        <v>0</v>
      </c>
      <c r="EE171" s="113">
        <v>0</v>
      </c>
      <c r="EF171" s="113">
        <v>0</v>
      </c>
      <c r="EG171" s="113">
        <v>0</v>
      </c>
      <c r="EH171" s="113">
        <v>0</v>
      </c>
      <c r="EI171" s="113">
        <v>0</v>
      </c>
      <c r="EJ171" s="113">
        <v>0</v>
      </c>
      <c r="EK171" s="113">
        <v>0</v>
      </c>
      <c r="EL171" s="113">
        <v>0</v>
      </c>
      <c r="EM171" s="113">
        <v>0</v>
      </c>
      <c r="EN171" s="113">
        <v>0</v>
      </c>
      <c r="EO171" s="113">
        <v>0</v>
      </c>
      <c r="EP171" s="113">
        <v>0</v>
      </c>
      <c r="EQ171" s="113">
        <v>0</v>
      </c>
      <c r="ER171" s="113">
        <v>0</v>
      </c>
      <c r="ES171" s="113">
        <v>0</v>
      </c>
      <c r="ET171" s="113">
        <v>0</v>
      </c>
      <c r="EU171" s="113">
        <v>0</v>
      </c>
      <c r="EV171" s="113">
        <v>0</v>
      </c>
      <c r="EW171" s="113">
        <v>0</v>
      </c>
      <c r="EX171" s="113">
        <v>0</v>
      </c>
      <c r="EY171" s="113">
        <v>0</v>
      </c>
      <c r="EZ171" s="113">
        <v>0</v>
      </c>
      <c r="FA171" s="113">
        <v>0</v>
      </c>
      <c r="FB171" s="113">
        <v>0</v>
      </c>
      <c r="FC171" s="113">
        <v>0</v>
      </c>
      <c r="FD171" s="113">
        <v>0</v>
      </c>
      <c r="FE171" s="113">
        <v>0</v>
      </c>
      <c r="FF171" s="113">
        <v>0</v>
      </c>
      <c r="FG171" s="113">
        <v>0</v>
      </c>
      <c r="FH171" s="113">
        <v>0</v>
      </c>
      <c r="FI171" s="113">
        <v>0</v>
      </c>
      <c r="FJ171" s="113">
        <v>0</v>
      </c>
      <c r="FK171" s="113">
        <v>0</v>
      </c>
      <c r="FL171" s="113">
        <v>0</v>
      </c>
      <c r="FM171" s="113">
        <v>0</v>
      </c>
      <c r="FN171" s="113">
        <v>0</v>
      </c>
      <c r="FO171" s="113">
        <v>0</v>
      </c>
      <c r="FP171" s="113">
        <v>0</v>
      </c>
      <c r="FQ171" s="113">
        <v>0</v>
      </c>
      <c r="FR171" s="113">
        <v>0</v>
      </c>
      <c r="FS171" s="113">
        <v>0</v>
      </c>
      <c r="FT171" s="113">
        <v>0</v>
      </c>
      <c r="FU171" s="113">
        <v>0</v>
      </c>
      <c r="FV171" s="113">
        <v>0</v>
      </c>
      <c r="FW171" s="113">
        <v>0</v>
      </c>
      <c r="FX171" s="32">
        <v>0</v>
      </c>
      <c r="FY171" s="30">
        <v>0</v>
      </c>
      <c r="FZ171" s="30">
        <v>0</v>
      </c>
    </row>
    <row r="172" spans="1:182" x14ac:dyDescent="0.2">
      <c r="A172" s="28">
        <v>36800</v>
      </c>
      <c r="B172" s="28"/>
      <c r="C172" s="29">
        <v>222995</v>
      </c>
      <c r="D172" s="29">
        <v>127943</v>
      </c>
      <c r="E172" s="29">
        <f t="shared" si="4"/>
        <v>350938</v>
      </c>
      <c r="F172" s="30">
        <v>7063057</v>
      </c>
      <c r="G172" s="30">
        <v>121976</v>
      </c>
      <c r="H172" s="30">
        <f t="shared" si="5"/>
        <v>7185033</v>
      </c>
      <c r="I172" s="42" t="s">
        <v>75</v>
      </c>
      <c r="J172" s="42" t="s">
        <v>75</v>
      </c>
      <c r="K172" s="32">
        <v>5446027</v>
      </c>
      <c r="L172" s="31" t="s">
        <v>75</v>
      </c>
      <c r="M172" s="31" t="s">
        <v>75</v>
      </c>
      <c r="N172" s="30">
        <v>11704441</v>
      </c>
      <c r="O172" s="31" t="s">
        <v>75</v>
      </c>
      <c r="P172" s="31" t="s">
        <v>75</v>
      </c>
      <c r="Q172" s="30">
        <v>14532548</v>
      </c>
      <c r="R172" s="31" t="s">
        <v>75</v>
      </c>
      <c r="S172" s="31" t="s">
        <v>75</v>
      </c>
      <c r="T172" s="32">
        <v>90843</v>
      </c>
      <c r="U172" s="31" t="s">
        <v>75</v>
      </c>
      <c r="V172" s="31" t="s">
        <v>75</v>
      </c>
      <c r="W172" s="31" t="s">
        <v>75</v>
      </c>
      <c r="X172" s="31" t="s">
        <v>75</v>
      </c>
      <c r="Y172" s="31" t="s">
        <v>75</v>
      </c>
      <c r="Z172" s="30">
        <v>89563</v>
      </c>
      <c r="AA172" s="31" t="s">
        <v>75</v>
      </c>
      <c r="AB172" s="31" t="s">
        <v>75</v>
      </c>
      <c r="AC172" s="30">
        <v>57300</v>
      </c>
      <c r="AD172" s="31" t="s">
        <v>75</v>
      </c>
      <c r="AE172" s="31" t="s">
        <v>75</v>
      </c>
      <c r="AF172" s="30">
        <v>14304</v>
      </c>
      <c r="AG172" s="42" t="s">
        <v>75</v>
      </c>
      <c r="AH172" s="42" t="s">
        <v>75</v>
      </c>
      <c r="AI172" s="32">
        <v>41245</v>
      </c>
      <c r="AJ172" s="31" t="s">
        <v>75</v>
      </c>
      <c r="AK172" s="31" t="s">
        <v>75</v>
      </c>
      <c r="AL172" s="31" t="s">
        <v>75</v>
      </c>
      <c r="AM172" s="31"/>
      <c r="AN172" s="31"/>
      <c r="AO172" s="31"/>
      <c r="AP172" s="31"/>
      <c r="AQ172" s="31"/>
      <c r="AR172" s="31"/>
      <c r="AS172" s="31" t="s">
        <v>75</v>
      </c>
      <c r="AT172" s="31" t="s">
        <v>75</v>
      </c>
      <c r="AU172" s="31" t="s">
        <v>75</v>
      </c>
      <c r="AV172" s="31" t="s">
        <v>75</v>
      </c>
      <c r="AW172" s="31" t="s">
        <v>75</v>
      </c>
      <c r="AX172" s="31" t="s">
        <v>75</v>
      </c>
      <c r="AY172" s="31" t="s">
        <v>75</v>
      </c>
      <c r="AZ172" s="31" t="s">
        <v>75</v>
      </c>
      <c r="BA172" s="29">
        <v>13528823</v>
      </c>
      <c r="BB172" s="31" t="s">
        <v>75</v>
      </c>
      <c r="BC172" s="31" t="s">
        <v>75</v>
      </c>
      <c r="BD172" s="29">
        <v>1121569</v>
      </c>
      <c r="BE172" s="113">
        <v>0</v>
      </c>
      <c r="BF172" s="113">
        <v>0</v>
      </c>
      <c r="BG172" s="113">
        <v>0</v>
      </c>
      <c r="BH172" s="113">
        <v>0</v>
      </c>
      <c r="BI172" s="113">
        <v>0</v>
      </c>
      <c r="BJ172" s="113">
        <v>0</v>
      </c>
      <c r="BK172" s="113">
        <v>0</v>
      </c>
      <c r="BL172" s="113">
        <v>0</v>
      </c>
      <c r="BM172" s="113">
        <v>0</v>
      </c>
      <c r="BN172" s="113">
        <v>0</v>
      </c>
      <c r="BO172" s="113">
        <v>0</v>
      </c>
      <c r="BP172" s="113">
        <v>0</v>
      </c>
      <c r="BQ172" s="113">
        <v>0</v>
      </c>
      <c r="BR172" s="113">
        <v>0</v>
      </c>
      <c r="BS172" s="113">
        <v>0</v>
      </c>
      <c r="BT172" s="113">
        <v>0</v>
      </c>
      <c r="BU172" s="113">
        <v>0</v>
      </c>
      <c r="BV172" s="113">
        <v>0</v>
      </c>
      <c r="BW172" s="113"/>
      <c r="BX172" s="113"/>
      <c r="BY172" s="113"/>
      <c r="BZ172" s="113">
        <v>0</v>
      </c>
      <c r="CA172" s="113">
        <v>0</v>
      </c>
      <c r="CB172" s="113">
        <v>0</v>
      </c>
      <c r="CC172" s="113"/>
      <c r="CD172" s="113"/>
      <c r="CE172" s="113"/>
      <c r="CF172" s="113">
        <v>0</v>
      </c>
      <c r="CG172" s="113">
        <v>0</v>
      </c>
      <c r="CH172" s="113">
        <v>0</v>
      </c>
      <c r="CI172" s="113">
        <v>0</v>
      </c>
      <c r="CJ172" s="113">
        <v>0</v>
      </c>
      <c r="CK172" s="113">
        <v>0</v>
      </c>
      <c r="CL172" s="113">
        <v>0</v>
      </c>
      <c r="CM172" s="113">
        <v>0</v>
      </c>
      <c r="CN172" s="113">
        <v>0</v>
      </c>
      <c r="CO172" s="113">
        <v>0</v>
      </c>
      <c r="CP172" s="113">
        <v>0</v>
      </c>
      <c r="CQ172" s="113">
        <v>0</v>
      </c>
      <c r="CR172" s="113">
        <v>0</v>
      </c>
      <c r="CS172" s="113">
        <v>0</v>
      </c>
      <c r="CT172" s="113">
        <v>0</v>
      </c>
      <c r="CU172" s="113">
        <v>0</v>
      </c>
      <c r="CV172" s="113">
        <v>0</v>
      </c>
      <c r="CW172" s="113">
        <v>0</v>
      </c>
      <c r="CX172" s="113">
        <v>0</v>
      </c>
      <c r="CY172" s="113">
        <v>0</v>
      </c>
      <c r="CZ172" s="113">
        <v>0</v>
      </c>
      <c r="DA172" s="113">
        <v>0</v>
      </c>
      <c r="DB172" s="113">
        <v>0</v>
      </c>
      <c r="DC172" s="113">
        <v>0</v>
      </c>
      <c r="DD172" s="113">
        <v>0</v>
      </c>
      <c r="DE172" s="113">
        <v>0</v>
      </c>
      <c r="DF172" s="113">
        <v>0</v>
      </c>
      <c r="DG172" s="113">
        <v>0</v>
      </c>
      <c r="DH172" s="113">
        <v>0</v>
      </c>
      <c r="DI172" s="113">
        <v>0</v>
      </c>
      <c r="DJ172" s="113">
        <v>0</v>
      </c>
      <c r="DK172" s="113">
        <v>0</v>
      </c>
      <c r="DL172" s="113">
        <v>0</v>
      </c>
      <c r="DM172" s="113">
        <v>0</v>
      </c>
      <c r="DN172" s="113">
        <v>0</v>
      </c>
      <c r="DO172" s="113">
        <v>0</v>
      </c>
      <c r="DP172" s="113">
        <v>0</v>
      </c>
      <c r="DQ172" s="113">
        <v>0</v>
      </c>
      <c r="DR172" s="113">
        <v>0</v>
      </c>
      <c r="DS172" s="113">
        <v>0</v>
      </c>
      <c r="DT172" s="113">
        <v>0</v>
      </c>
      <c r="DU172" s="113">
        <v>0</v>
      </c>
      <c r="DV172" s="113">
        <v>0</v>
      </c>
      <c r="DW172" s="113">
        <v>0</v>
      </c>
      <c r="DX172" s="113">
        <v>0</v>
      </c>
      <c r="DY172" s="113">
        <v>0</v>
      </c>
      <c r="DZ172" s="113">
        <v>0</v>
      </c>
      <c r="EA172" s="113">
        <v>0</v>
      </c>
      <c r="EB172" s="113">
        <v>0</v>
      </c>
      <c r="EC172" s="113">
        <v>0</v>
      </c>
      <c r="ED172" s="113">
        <v>0</v>
      </c>
      <c r="EE172" s="113">
        <v>0</v>
      </c>
      <c r="EF172" s="113">
        <v>0</v>
      </c>
      <c r="EG172" s="113">
        <v>0</v>
      </c>
      <c r="EH172" s="113">
        <v>0</v>
      </c>
      <c r="EI172" s="113">
        <v>0</v>
      </c>
      <c r="EJ172" s="113">
        <v>0</v>
      </c>
      <c r="EK172" s="113">
        <v>0</v>
      </c>
      <c r="EL172" s="113">
        <v>0</v>
      </c>
      <c r="EM172" s="113">
        <v>0</v>
      </c>
      <c r="EN172" s="113">
        <v>0</v>
      </c>
      <c r="EO172" s="113">
        <v>0</v>
      </c>
      <c r="EP172" s="113">
        <v>0</v>
      </c>
      <c r="EQ172" s="113">
        <v>0</v>
      </c>
      <c r="ER172" s="113">
        <v>0</v>
      </c>
      <c r="ES172" s="113">
        <v>0</v>
      </c>
      <c r="ET172" s="113">
        <v>0</v>
      </c>
      <c r="EU172" s="113">
        <v>0</v>
      </c>
      <c r="EV172" s="113">
        <v>0</v>
      </c>
      <c r="EW172" s="113">
        <v>0</v>
      </c>
      <c r="EX172" s="113">
        <v>0</v>
      </c>
      <c r="EY172" s="113">
        <v>0</v>
      </c>
      <c r="EZ172" s="113">
        <v>0</v>
      </c>
      <c r="FA172" s="113">
        <v>0</v>
      </c>
      <c r="FB172" s="113">
        <v>0</v>
      </c>
      <c r="FC172" s="113">
        <v>0</v>
      </c>
      <c r="FD172" s="113">
        <v>0</v>
      </c>
      <c r="FE172" s="113">
        <v>0</v>
      </c>
      <c r="FF172" s="113">
        <v>0</v>
      </c>
      <c r="FG172" s="113">
        <v>0</v>
      </c>
      <c r="FH172" s="113">
        <v>0</v>
      </c>
      <c r="FI172" s="113">
        <v>0</v>
      </c>
      <c r="FJ172" s="113">
        <v>0</v>
      </c>
      <c r="FK172" s="113">
        <v>0</v>
      </c>
      <c r="FL172" s="113">
        <v>0</v>
      </c>
      <c r="FM172" s="113">
        <v>0</v>
      </c>
      <c r="FN172" s="113">
        <v>0</v>
      </c>
      <c r="FO172" s="113">
        <v>0</v>
      </c>
      <c r="FP172" s="113">
        <v>0</v>
      </c>
      <c r="FQ172" s="113">
        <v>0</v>
      </c>
      <c r="FR172" s="113">
        <v>0</v>
      </c>
      <c r="FS172" s="113">
        <v>0</v>
      </c>
      <c r="FT172" s="113">
        <v>0</v>
      </c>
      <c r="FU172" s="113">
        <v>0</v>
      </c>
      <c r="FV172" s="113">
        <v>0</v>
      </c>
      <c r="FW172" s="113">
        <v>0</v>
      </c>
      <c r="FX172" s="32">
        <v>0</v>
      </c>
      <c r="FY172" s="30">
        <v>0</v>
      </c>
      <c r="FZ172" s="30">
        <v>0</v>
      </c>
    </row>
    <row r="173" spans="1:182" x14ac:dyDescent="0.2">
      <c r="A173" s="28">
        <v>36831</v>
      </c>
      <c r="B173" s="28"/>
      <c r="C173" s="29">
        <v>301165</v>
      </c>
      <c r="D173" s="29">
        <v>220006</v>
      </c>
      <c r="E173" s="29">
        <f t="shared" si="4"/>
        <v>521171</v>
      </c>
      <c r="F173" s="30">
        <v>8129495</v>
      </c>
      <c r="G173" s="30">
        <v>161519</v>
      </c>
      <c r="H173" s="30">
        <f t="shared" si="5"/>
        <v>8291014</v>
      </c>
      <c r="I173" s="42" t="s">
        <v>75</v>
      </c>
      <c r="J173" s="42" t="s">
        <v>75</v>
      </c>
      <c r="K173" s="32">
        <v>6745225</v>
      </c>
      <c r="L173" s="31" t="s">
        <v>75</v>
      </c>
      <c r="M173" s="31" t="s">
        <v>75</v>
      </c>
      <c r="N173" s="30">
        <v>14390476</v>
      </c>
      <c r="O173" s="31" t="s">
        <v>75</v>
      </c>
      <c r="P173" s="31" t="s">
        <v>75</v>
      </c>
      <c r="Q173" s="30">
        <v>17165748</v>
      </c>
      <c r="R173" s="31" t="s">
        <v>75</v>
      </c>
      <c r="S173" s="31" t="s">
        <v>75</v>
      </c>
      <c r="T173" s="32">
        <v>88717</v>
      </c>
      <c r="U173" s="31" t="s">
        <v>75</v>
      </c>
      <c r="V173" s="31" t="s">
        <v>75</v>
      </c>
      <c r="W173" s="31" t="s">
        <v>75</v>
      </c>
      <c r="X173" s="31" t="s">
        <v>75</v>
      </c>
      <c r="Y173" s="31" t="s">
        <v>75</v>
      </c>
      <c r="Z173" s="30">
        <v>113446</v>
      </c>
      <c r="AA173" s="31" t="s">
        <v>75</v>
      </c>
      <c r="AB173" s="31" t="s">
        <v>75</v>
      </c>
      <c r="AC173" s="30">
        <v>201047</v>
      </c>
      <c r="AD173" s="31" t="s">
        <v>75</v>
      </c>
      <c r="AE173" s="31" t="s">
        <v>75</v>
      </c>
      <c r="AF173" s="30">
        <v>55133</v>
      </c>
      <c r="AG173" s="42" t="s">
        <v>75</v>
      </c>
      <c r="AH173" s="42" t="s">
        <v>75</v>
      </c>
      <c r="AI173" s="32">
        <v>72169</v>
      </c>
      <c r="AJ173" s="31" t="s">
        <v>75</v>
      </c>
      <c r="AK173" s="31" t="s">
        <v>75</v>
      </c>
      <c r="AL173" s="31" t="s">
        <v>75</v>
      </c>
      <c r="AM173" s="31"/>
      <c r="AN173" s="31"/>
      <c r="AO173" s="31"/>
      <c r="AP173" s="31"/>
      <c r="AQ173" s="31"/>
      <c r="AR173" s="31"/>
      <c r="AS173" s="31" t="s">
        <v>75</v>
      </c>
      <c r="AT173" s="31" t="s">
        <v>75</v>
      </c>
      <c r="AU173" s="31" t="s">
        <v>75</v>
      </c>
      <c r="AV173" s="31" t="s">
        <v>75</v>
      </c>
      <c r="AW173" s="31" t="s">
        <v>75</v>
      </c>
      <c r="AX173" s="31" t="s">
        <v>75</v>
      </c>
      <c r="AY173" s="31" t="s">
        <v>75</v>
      </c>
      <c r="AZ173" s="31" t="s">
        <v>75</v>
      </c>
      <c r="BA173" s="29">
        <v>14317816</v>
      </c>
      <c r="BB173" s="31" t="s">
        <v>75</v>
      </c>
      <c r="BC173" s="31" t="s">
        <v>75</v>
      </c>
      <c r="BD173" s="29">
        <v>1072449</v>
      </c>
      <c r="BE173" s="113">
        <v>0</v>
      </c>
      <c r="BF173" s="113">
        <v>0</v>
      </c>
      <c r="BG173" s="113">
        <v>0</v>
      </c>
      <c r="BH173" s="113">
        <v>0</v>
      </c>
      <c r="BI173" s="113">
        <v>0</v>
      </c>
      <c r="BJ173" s="113">
        <v>0</v>
      </c>
      <c r="BK173" s="113">
        <v>0</v>
      </c>
      <c r="BL173" s="113">
        <v>0</v>
      </c>
      <c r="BM173" s="113">
        <v>0</v>
      </c>
      <c r="BN173" s="113">
        <v>0</v>
      </c>
      <c r="BO173" s="113">
        <v>0</v>
      </c>
      <c r="BP173" s="113">
        <v>0</v>
      </c>
      <c r="BQ173" s="113">
        <v>0</v>
      </c>
      <c r="BR173" s="113">
        <v>0</v>
      </c>
      <c r="BS173" s="113">
        <v>0</v>
      </c>
      <c r="BT173" s="113">
        <v>0</v>
      </c>
      <c r="BU173" s="113">
        <v>0</v>
      </c>
      <c r="BV173" s="113">
        <v>0</v>
      </c>
      <c r="BW173" s="113"/>
      <c r="BX173" s="113"/>
      <c r="BY173" s="113"/>
      <c r="BZ173" s="113">
        <v>0</v>
      </c>
      <c r="CA173" s="113">
        <v>0</v>
      </c>
      <c r="CB173" s="113">
        <v>0</v>
      </c>
      <c r="CC173" s="113"/>
      <c r="CD173" s="113"/>
      <c r="CE173" s="113"/>
      <c r="CF173" s="113">
        <v>0</v>
      </c>
      <c r="CG173" s="113">
        <v>0</v>
      </c>
      <c r="CH173" s="113">
        <v>0</v>
      </c>
      <c r="CI173" s="113">
        <v>0</v>
      </c>
      <c r="CJ173" s="113">
        <v>0</v>
      </c>
      <c r="CK173" s="113">
        <v>0</v>
      </c>
      <c r="CL173" s="113">
        <v>0</v>
      </c>
      <c r="CM173" s="113">
        <v>0</v>
      </c>
      <c r="CN173" s="113">
        <v>0</v>
      </c>
      <c r="CO173" s="113">
        <v>0</v>
      </c>
      <c r="CP173" s="113">
        <v>0</v>
      </c>
      <c r="CQ173" s="113">
        <v>0</v>
      </c>
      <c r="CR173" s="113">
        <v>0</v>
      </c>
      <c r="CS173" s="113">
        <v>0</v>
      </c>
      <c r="CT173" s="113">
        <v>0</v>
      </c>
      <c r="CU173" s="113">
        <v>0</v>
      </c>
      <c r="CV173" s="113">
        <v>0</v>
      </c>
      <c r="CW173" s="113">
        <v>0</v>
      </c>
      <c r="CX173" s="113">
        <v>0</v>
      </c>
      <c r="CY173" s="113">
        <v>0</v>
      </c>
      <c r="CZ173" s="113">
        <v>0</v>
      </c>
      <c r="DA173" s="113">
        <v>0</v>
      </c>
      <c r="DB173" s="113">
        <v>0</v>
      </c>
      <c r="DC173" s="113">
        <v>0</v>
      </c>
      <c r="DD173" s="113">
        <v>0</v>
      </c>
      <c r="DE173" s="113">
        <v>0</v>
      </c>
      <c r="DF173" s="113">
        <v>0</v>
      </c>
      <c r="DG173" s="113">
        <v>0</v>
      </c>
      <c r="DH173" s="113">
        <v>0</v>
      </c>
      <c r="DI173" s="113">
        <v>0</v>
      </c>
      <c r="DJ173" s="113">
        <v>0</v>
      </c>
      <c r="DK173" s="113">
        <v>0</v>
      </c>
      <c r="DL173" s="113">
        <v>0</v>
      </c>
      <c r="DM173" s="113">
        <v>0</v>
      </c>
      <c r="DN173" s="113">
        <v>0</v>
      </c>
      <c r="DO173" s="113">
        <v>0</v>
      </c>
      <c r="DP173" s="113">
        <v>0</v>
      </c>
      <c r="DQ173" s="113">
        <v>0</v>
      </c>
      <c r="DR173" s="113">
        <v>0</v>
      </c>
      <c r="DS173" s="113">
        <v>0</v>
      </c>
      <c r="DT173" s="113">
        <v>0</v>
      </c>
      <c r="DU173" s="113">
        <v>0</v>
      </c>
      <c r="DV173" s="113">
        <v>0</v>
      </c>
      <c r="DW173" s="113">
        <v>0</v>
      </c>
      <c r="DX173" s="113">
        <v>0</v>
      </c>
      <c r="DY173" s="113">
        <v>0</v>
      </c>
      <c r="DZ173" s="113">
        <v>0</v>
      </c>
      <c r="EA173" s="113">
        <v>0</v>
      </c>
      <c r="EB173" s="113">
        <v>0</v>
      </c>
      <c r="EC173" s="113">
        <v>0</v>
      </c>
      <c r="ED173" s="113">
        <v>0</v>
      </c>
      <c r="EE173" s="113">
        <v>0</v>
      </c>
      <c r="EF173" s="113">
        <v>0</v>
      </c>
      <c r="EG173" s="113">
        <v>0</v>
      </c>
      <c r="EH173" s="113">
        <v>0</v>
      </c>
      <c r="EI173" s="113">
        <v>0</v>
      </c>
      <c r="EJ173" s="113">
        <v>0</v>
      </c>
      <c r="EK173" s="113">
        <v>0</v>
      </c>
      <c r="EL173" s="113">
        <v>0</v>
      </c>
      <c r="EM173" s="113">
        <v>0</v>
      </c>
      <c r="EN173" s="113">
        <v>0</v>
      </c>
      <c r="EO173" s="113">
        <v>0</v>
      </c>
      <c r="EP173" s="113">
        <v>0</v>
      </c>
      <c r="EQ173" s="113">
        <v>0</v>
      </c>
      <c r="ER173" s="113">
        <v>0</v>
      </c>
      <c r="ES173" s="113">
        <v>0</v>
      </c>
      <c r="ET173" s="113">
        <v>0</v>
      </c>
      <c r="EU173" s="113">
        <v>0</v>
      </c>
      <c r="EV173" s="113">
        <v>0</v>
      </c>
      <c r="EW173" s="113">
        <v>0</v>
      </c>
      <c r="EX173" s="113">
        <v>0</v>
      </c>
      <c r="EY173" s="113">
        <v>0</v>
      </c>
      <c r="EZ173" s="113">
        <v>0</v>
      </c>
      <c r="FA173" s="113">
        <v>0</v>
      </c>
      <c r="FB173" s="113">
        <v>0</v>
      </c>
      <c r="FC173" s="113">
        <v>0</v>
      </c>
      <c r="FD173" s="113">
        <v>0</v>
      </c>
      <c r="FE173" s="113">
        <v>0</v>
      </c>
      <c r="FF173" s="113">
        <v>0</v>
      </c>
      <c r="FG173" s="113">
        <v>0</v>
      </c>
      <c r="FH173" s="113">
        <v>0</v>
      </c>
      <c r="FI173" s="113">
        <v>0</v>
      </c>
      <c r="FJ173" s="113">
        <v>0</v>
      </c>
      <c r="FK173" s="113">
        <v>0</v>
      </c>
      <c r="FL173" s="113">
        <v>0</v>
      </c>
      <c r="FM173" s="113">
        <v>0</v>
      </c>
      <c r="FN173" s="113">
        <v>0</v>
      </c>
      <c r="FO173" s="113">
        <v>0</v>
      </c>
      <c r="FP173" s="113">
        <v>0</v>
      </c>
      <c r="FQ173" s="113">
        <v>0</v>
      </c>
      <c r="FR173" s="113">
        <v>0</v>
      </c>
      <c r="FS173" s="113">
        <v>0</v>
      </c>
      <c r="FT173" s="113">
        <v>0</v>
      </c>
      <c r="FU173" s="113">
        <v>0</v>
      </c>
      <c r="FV173" s="113">
        <v>0</v>
      </c>
      <c r="FW173" s="113">
        <v>0</v>
      </c>
      <c r="FX173" s="32">
        <v>0</v>
      </c>
      <c r="FY173" s="30">
        <v>0</v>
      </c>
      <c r="FZ173" s="30">
        <v>0</v>
      </c>
    </row>
    <row r="174" spans="1:182" x14ac:dyDescent="0.2">
      <c r="A174" s="28">
        <v>36861</v>
      </c>
      <c r="B174" s="28"/>
      <c r="C174" s="29">
        <v>415286</v>
      </c>
      <c r="D174" s="29">
        <v>372372</v>
      </c>
      <c r="E174" s="29">
        <f t="shared" si="4"/>
        <v>787658</v>
      </c>
      <c r="F174" s="30">
        <v>13356474</v>
      </c>
      <c r="G174" s="30">
        <v>347869</v>
      </c>
      <c r="H174" s="30">
        <f t="shared" si="5"/>
        <v>13704343</v>
      </c>
      <c r="I174" s="42" t="s">
        <v>75</v>
      </c>
      <c r="J174" s="42" t="s">
        <v>75</v>
      </c>
      <c r="K174" s="32">
        <v>11544560</v>
      </c>
      <c r="L174" s="31" t="s">
        <v>75</v>
      </c>
      <c r="M174" s="31" t="s">
        <v>75</v>
      </c>
      <c r="N174" s="30">
        <v>22622837</v>
      </c>
      <c r="O174" s="31" t="s">
        <v>75</v>
      </c>
      <c r="P174" s="31" t="s">
        <v>75</v>
      </c>
      <c r="Q174" s="30">
        <v>22499936</v>
      </c>
      <c r="R174" s="31" t="s">
        <v>75</v>
      </c>
      <c r="S174" s="31" t="s">
        <v>75</v>
      </c>
      <c r="T174" s="32">
        <v>76589</v>
      </c>
      <c r="U174" s="31" t="s">
        <v>75</v>
      </c>
      <c r="V174" s="31" t="s">
        <v>75</v>
      </c>
      <c r="W174" s="31" t="s">
        <v>75</v>
      </c>
      <c r="X174" s="31" t="s">
        <v>75</v>
      </c>
      <c r="Y174" s="31" t="s">
        <v>75</v>
      </c>
      <c r="Z174" s="30">
        <v>263087</v>
      </c>
      <c r="AA174" s="31" t="s">
        <v>75</v>
      </c>
      <c r="AB174" s="31" t="s">
        <v>75</v>
      </c>
      <c r="AC174" s="30">
        <v>209530</v>
      </c>
      <c r="AD174" s="31" t="s">
        <v>75</v>
      </c>
      <c r="AE174" s="31" t="s">
        <v>75</v>
      </c>
      <c r="AF174" s="30">
        <v>64674</v>
      </c>
      <c r="AG174" s="42" t="s">
        <v>75</v>
      </c>
      <c r="AH174" s="42" t="s">
        <v>75</v>
      </c>
      <c r="AI174" s="32">
        <v>86695</v>
      </c>
      <c r="AJ174" s="31" t="s">
        <v>75</v>
      </c>
      <c r="AK174" s="31" t="s">
        <v>75</v>
      </c>
      <c r="AL174" s="31" t="s">
        <v>75</v>
      </c>
      <c r="AM174" s="31"/>
      <c r="AN174" s="31"/>
      <c r="AO174" s="31"/>
      <c r="AP174" s="31"/>
      <c r="AQ174" s="31"/>
      <c r="AR174" s="31"/>
      <c r="AS174" s="31" t="s">
        <v>75</v>
      </c>
      <c r="AT174" s="31" t="s">
        <v>75</v>
      </c>
      <c r="AU174" s="31" t="s">
        <v>75</v>
      </c>
      <c r="AV174" s="31" t="s">
        <v>75</v>
      </c>
      <c r="AW174" s="31" t="s">
        <v>75</v>
      </c>
      <c r="AX174" s="31" t="s">
        <v>75</v>
      </c>
      <c r="AY174" s="31" t="s">
        <v>75</v>
      </c>
      <c r="AZ174" s="31" t="s">
        <v>75</v>
      </c>
      <c r="BA174" s="29">
        <v>16973624</v>
      </c>
      <c r="BB174" s="31" t="s">
        <v>75</v>
      </c>
      <c r="BC174" s="31" t="s">
        <v>75</v>
      </c>
      <c r="BD174" s="29">
        <v>1225677</v>
      </c>
      <c r="BE174" s="113">
        <v>0</v>
      </c>
      <c r="BF174" s="113">
        <v>0</v>
      </c>
      <c r="BG174" s="113">
        <v>0</v>
      </c>
      <c r="BH174" s="113">
        <v>0</v>
      </c>
      <c r="BI174" s="113">
        <v>0</v>
      </c>
      <c r="BJ174" s="113">
        <v>0</v>
      </c>
      <c r="BK174" s="113">
        <v>0</v>
      </c>
      <c r="BL174" s="113">
        <v>0</v>
      </c>
      <c r="BM174" s="113">
        <v>0</v>
      </c>
      <c r="BN174" s="113">
        <v>0</v>
      </c>
      <c r="BO174" s="113">
        <v>0</v>
      </c>
      <c r="BP174" s="113">
        <v>0</v>
      </c>
      <c r="BQ174" s="113">
        <v>0</v>
      </c>
      <c r="BR174" s="113">
        <v>0</v>
      </c>
      <c r="BS174" s="113">
        <v>0</v>
      </c>
      <c r="BT174" s="113">
        <v>0</v>
      </c>
      <c r="BU174" s="113">
        <v>0</v>
      </c>
      <c r="BV174" s="113">
        <v>0</v>
      </c>
      <c r="BW174" s="113"/>
      <c r="BX174" s="113"/>
      <c r="BY174" s="113"/>
      <c r="BZ174" s="113">
        <v>0</v>
      </c>
      <c r="CA174" s="113">
        <v>0</v>
      </c>
      <c r="CB174" s="113">
        <v>0</v>
      </c>
      <c r="CC174" s="113"/>
      <c r="CD174" s="113"/>
      <c r="CE174" s="113"/>
      <c r="CF174" s="113">
        <v>0</v>
      </c>
      <c r="CG174" s="113">
        <v>0</v>
      </c>
      <c r="CH174" s="113">
        <v>0</v>
      </c>
      <c r="CI174" s="113">
        <v>0</v>
      </c>
      <c r="CJ174" s="113">
        <v>0</v>
      </c>
      <c r="CK174" s="113">
        <v>0</v>
      </c>
      <c r="CL174" s="113">
        <v>0</v>
      </c>
      <c r="CM174" s="113">
        <v>0</v>
      </c>
      <c r="CN174" s="113">
        <v>0</v>
      </c>
      <c r="CO174" s="113">
        <v>0</v>
      </c>
      <c r="CP174" s="113">
        <v>0</v>
      </c>
      <c r="CQ174" s="113">
        <v>0</v>
      </c>
      <c r="CR174" s="113">
        <v>0</v>
      </c>
      <c r="CS174" s="113">
        <v>0</v>
      </c>
      <c r="CT174" s="113">
        <v>0</v>
      </c>
      <c r="CU174" s="113">
        <v>0</v>
      </c>
      <c r="CV174" s="113">
        <v>0</v>
      </c>
      <c r="CW174" s="113">
        <v>0</v>
      </c>
      <c r="CX174" s="113">
        <v>0</v>
      </c>
      <c r="CY174" s="113">
        <v>0</v>
      </c>
      <c r="CZ174" s="113">
        <v>0</v>
      </c>
      <c r="DA174" s="113">
        <v>0</v>
      </c>
      <c r="DB174" s="113">
        <v>0</v>
      </c>
      <c r="DC174" s="113">
        <v>0</v>
      </c>
      <c r="DD174" s="113">
        <v>0</v>
      </c>
      <c r="DE174" s="113">
        <v>0</v>
      </c>
      <c r="DF174" s="113">
        <v>0</v>
      </c>
      <c r="DG174" s="113">
        <v>0</v>
      </c>
      <c r="DH174" s="113">
        <v>0</v>
      </c>
      <c r="DI174" s="113">
        <v>0</v>
      </c>
      <c r="DJ174" s="113">
        <v>0</v>
      </c>
      <c r="DK174" s="113">
        <v>0</v>
      </c>
      <c r="DL174" s="113">
        <v>0</v>
      </c>
      <c r="DM174" s="113">
        <v>0</v>
      </c>
      <c r="DN174" s="113">
        <v>0</v>
      </c>
      <c r="DO174" s="113">
        <v>0</v>
      </c>
      <c r="DP174" s="113">
        <v>0</v>
      </c>
      <c r="DQ174" s="113">
        <v>0</v>
      </c>
      <c r="DR174" s="113">
        <v>0</v>
      </c>
      <c r="DS174" s="113">
        <v>0</v>
      </c>
      <c r="DT174" s="113">
        <v>0</v>
      </c>
      <c r="DU174" s="113">
        <v>0</v>
      </c>
      <c r="DV174" s="113">
        <v>0</v>
      </c>
      <c r="DW174" s="113">
        <v>0</v>
      </c>
      <c r="DX174" s="113">
        <v>0</v>
      </c>
      <c r="DY174" s="113">
        <v>0</v>
      </c>
      <c r="DZ174" s="113">
        <v>0</v>
      </c>
      <c r="EA174" s="113">
        <v>0</v>
      </c>
      <c r="EB174" s="113">
        <v>0</v>
      </c>
      <c r="EC174" s="113">
        <v>0</v>
      </c>
      <c r="ED174" s="113">
        <v>0</v>
      </c>
      <c r="EE174" s="113">
        <v>0</v>
      </c>
      <c r="EF174" s="113">
        <v>0</v>
      </c>
      <c r="EG174" s="113">
        <v>0</v>
      </c>
      <c r="EH174" s="113">
        <v>0</v>
      </c>
      <c r="EI174" s="113">
        <v>0</v>
      </c>
      <c r="EJ174" s="113">
        <v>0</v>
      </c>
      <c r="EK174" s="113">
        <v>0</v>
      </c>
      <c r="EL174" s="113">
        <v>0</v>
      </c>
      <c r="EM174" s="113">
        <v>0</v>
      </c>
      <c r="EN174" s="113">
        <v>0</v>
      </c>
      <c r="EO174" s="113">
        <v>0</v>
      </c>
      <c r="EP174" s="113">
        <v>0</v>
      </c>
      <c r="EQ174" s="113">
        <v>0</v>
      </c>
      <c r="ER174" s="113">
        <v>0</v>
      </c>
      <c r="ES174" s="113">
        <v>0</v>
      </c>
      <c r="ET174" s="113">
        <v>0</v>
      </c>
      <c r="EU174" s="113">
        <v>0</v>
      </c>
      <c r="EV174" s="113">
        <v>0</v>
      </c>
      <c r="EW174" s="113">
        <v>0</v>
      </c>
      <c r="EX174" s="113">
        <v>0</v>
      </c>
      <c r="EY174" s="113">
        <v>0</v>
      </c>
      <c r="EZ174" s="113">
        <v>0</v>
      </c>
      <c r="FA174" s="113">
        <v>0</v>
      </c>
      <c r="FB174" s="113">
        <v>0</v>
      </c>
      <c r="FC174" s="113">
        <v>0</v>
      </c>
      <c r="FD174" s="113">
        <v>0</v>
      </c>
      <c r="FE174" s="113">
        <v>0</v>
      </c>
      <c r="FF174" s="113">
        <v>0</v>
      </c>
      <c r="FG174" s="113">
        <v>0</v>
      </c>
      <c r="FH174" s="113">
        <v>0</v>
      </c>
      <c r="FI174" s="113">
        <v>0</v>
      </c>
      <c r="FJ174" s="113">
        <v>0</v>
      </c>
      <c r="FK174" s="113">
        <v>0</v>
      </c>
      <c r="FL174" s="113">
        <v>0</v>
      </c>
      <c r="FM174" s="113">
        <v>0</v>
      </c>
      <c r="FN174" s="113">
        <v>0</v>
      </c>
      <c r="FO174" s="113">
        <v>0</v>
      </c>
      <c r="FP174" s="113">
        <v>0</v>
      </c>
      <c r="FQ174" s="113">
        <v>0</v>
      </c>
      <c r="FR174" s="113">
        <v>0</v>
      </c>
      <c r="FS174" s="113">
        <v>0</v>
      </c>
      <c r="FT174" s="113">
        <v>0</v>
      </c>
      <c r="FU174" s="113">
        <v>0</v>
      </c>
      <c r="FV174" s="113">
        <v>0</v>
      </c>
      <c r="FW174" s="113">
        <v>0</v>
      </c>
      <c r="FX174" s="32">
        <v>0</v>
      </c>
      <c r="FY174" s="30">
        <v>0</v>
      </c>
      <c r="FZ174" s="30">
        <v>0</v>
      </c>
    </row>
    <row r="175" spans="1:182" x14ac:dyDescent="0.2">
      <c r="A175" s="28">
        <v>36892</v>
      </c>
      <c r="B175" s="28"/>
      <c r="C175" s="29">
        <v>262901</v>
      </c>
      <c r="D175" s="29">
        <v>119312</v>
      </c>
      <c r="E175" s="29">
        <f t="shared" si="4"/>
        <v>382213</v>
      </c>
      <c r="F175" s="30">
        <v>5905632</v>
      </c>
      <c r="G175" s="30">
        <v>210462</v>
      </c>
      <c r="H175" s="30">
        <f t="shared" si="5"/>
        <v>6116094</v>
      </c>
      <c r="I175" s="42" t="s">
        <v>75</v>
      </c>
      <c r="J175" s="42" t="s">
        <v>75</v>
      </c>
      <c r="K175" s="32">
        <v>6892465</v>
      </c>
      <c r="L175" s="31" t="s">
        <v>75</v>
      </c>
      <c r="M175" s="31" t="s">
        <v>75</v>
      </c>
      <c r="N175" s="30">
        <v>11469479</v>
      </c>
      <c r="O175" s="31" t="s">
        <v>75</v>
      </c>
      <c r="P175" s="31" t="s">
        <v>75</v>
      </c>
      <c r="Q175" s="30">
        <v>21426454</v>
      </c>
      <c r="R175" s="31" t="s">
        <v>75</v>
      </c>
      <c r="S175" s="31" t="s">
        <v>75</v>
      </c>
      <c r="T175" s="32">
        <v>106037</v>
      </c>
      <c r="U175" s="31" t="s">
        <v>75</v>
      </c>
      <c r="V175" s="31" t="s">
        <v>75</v>
      </c>
      <c r="W175" s="31" t="s">
        <v>75</v>
      </c>
      <c r="X175" s="31" t="s">
        <v>75</v>
      </c>
      <c r="Y175" s="31" t="s">
        <v>75</v>
      </c>
      <c r="Z175" s="30">
        <v>42474</v>
      </c>
      <c r="AA175" s="31" t="s">
        <v>75</v>
      </c>
      <c r="AB175" s="31" t="s">
        <v>75</v>
      </c>
      <c r="AC175" s="30">
        <v>194320</v>
      </c>
      <c r="AD175" s="31" t="s">
        <v>75</v>
      </c>
      <c r="AE175" s="31" t="s">
        <v>75</v>
      </c>
      <c r="AF175" s="30">
        <v>9459</v>
      </c>
      <c r="AG175" s="42" t="s">
        <v>75</v>
      </c>
      <c r="AH175" s="42" t="s">
        <v>75</v>
      </c>
      <c r="AI175" s="32">
        <v>101093</v>
      </c>
      <c r="AJ175" s="31" t="s">
        <v>75</v>
      </c>
      <c r="AK175" s="31" t="s">
        <v>75</v>
      </c>
      <c r="AL175" s="31" t="s">
        <v>75</v>
      </c>
      <c r="AM175" s="31"/>
      <c r="AN175" s="31"/>
      <c r="AO175" s="31"/>
      <c r="AP175" s="31"/>
      <c r="AQ175" s="31"/>
      <c r="AR175" s="31"/>
      <c r="AS175" s="31" t="s">
        <v>75</v>
      </c>
      <c r="AT175" s="31" t="s">
        <v>75</v>
      </c>
      <c r="AU175" s="31" t="s">
        <v>75</v>
      </c>
      <c r="AV175" s="31" t="s">
        <v>75</v>
      </c>
      <c r="AW175" s="31" t="s">
        <v>75</v>
      </c>
      <c r="AX175" s="31" t="s">
        <v>75</v>
      </c>
      <c r="AY175" s="31" t="s">
        <v>75</v>
      </c>
      <c r="AZ175" s="31" t="s">
        <v>75</v>
      </c>
      <c r="BA175" s="29">
        <v>15804392</v>
      </c>
      <c r="BB175" s="31" t="s">
        <v>75</v>
      </c>
      <c r="BC175" s="31" t="s">
        <v>75</v>
      </c>
      <c r="BD175" s="29">
        <v>1131333</v>
      </c>
      <c r="BE175" s="113">
        <v>0</v>
      </c>
      <c r="BF175" s="113">
        <v>0</v>
      </c>
      <c r="BG175" s="113">
        <v>0</v>
      </c>
      <c r="BH175" s="113">
        <v>0</v>
      </c>
      <c r="BI175" s="113">
        <v>0</v>
      </c>
      <c r="BJ175" s="113">
        <v>0</v>
      </c>
      <c r="BK175" s="113">
        <v>0</v>
      </c>
      <c r="BL175" s="113">
        <v>0</v>
      </c>
      <c r="BM175" s="113">
        <v>0</v>
      </c>
      <c r="BN175" s="113">
        <v>0</v>
      </c>
      <c r="BO175" s="113">
        <v>0</v>
      </c>
      <c r="BP175" s="113">
        <v>0</v>
      </c>
      <c r="BQ175" s="113">
        <v>0</v>
      </c>
      <c r="BR175" s="113">
        <v>0</v>
      </c>
      <c r="BS175" s="113">
        <v>0</v>
      </c>
      <c r="BT175" s="113">
        <v>0</v>
      </c>
      <c r="BU175" s="113">
        <v>0</v>
      </c>
      <c r="BV175" s="113">
        <v>0</v>
      </c>
      <c r="BW175" s="113"/>
      <c r="BX175" s="113"/>
      <c r="BY175" s="113"/>
      <c r="BZ175" s="113">
        <v>0</v>
      </c>
      <c r="CA175" s="113">
        <v>0</v>
      </c>
      <c r="CB175" s="113">
        <v>0</v>
      </c>
      <c r="CC175" s="113"/>
      <c r="CD175" s="113"/>
      <c r="CE175" s="113"/>
      <c r="CF175" s="113">
        <v>0</v>
      </c>
      <c r="CG175" s="113">
        <v>0</v>
      </c>
      <c r="CH175" s="113">
        <v>0</v>
      </c>
      <c r="CI175" s="113">
        <v>0</v>
      </c>
      <c r="CJ175" s="113">
        <v>0</v>
      </c>
      <c r="CK175" s="113">
        <v>0</v>
      </c>
      <c r="CL175" s="113">
        <v>0</v>
      </c>
      <c r="CM175" s="113">
        <v>0</v>
      </c>
      <c r="CN175" s="113">
        <v>0</v>
      </c>
      <c r="CO175" s="113">
        <v>0</v>
      </c>
      <c r="CP175" s="113">
        <v>0</v>
      </c>
      <c r="CQ175" s="113">
        <v>0</v>
      </c>
      <c r="CR175" s="113">
        <v>0</v>
      </c>
      <c r="CS175" s="113">
        <v>0</v>
      </c>
      <c r="CT175" s="113">
        <v>0</v>
      </c>
      <c r="CU175" s="113">
        <v>0</v>
      </c>
      <c r="CV175" s="113">
        <v>0</v>
      </c>
      <c r="CW175" s="113">
        <v>0</v>
      </c>
      <c r="CX175" s="113">
        <v>0</v>
      </c>
      <c r="CY175" s="113">
        <v>0</v>
      </c>
      <c r="CZ175" s="113">
        <v>0</v>
      </c>
      <c r="DA175" s="113">
        <v>0</v>
      </c>
      <c r="DB175" s="113">
        <v>0</v>
      </c>
      <c r="DC175" s="113">
        <v>0</v>
      </c>
      <c r="DD175" s="113">
        <v>0</v>
      </c>
      <c r="DE175" s="113">
        <v>0</v>
      </c>
      <c r="DF175" s="113">
        <v>0</v>
      </c>
      <c r="DG175" s="113">
        <v>0</v>
      </c>
      <c r="DH175" s="113">
        <v>0</v>
      </c>
      <c r="DI175" s="113">
        <v>0</v>
      </c>
      <c r="DJ175" s="113">
        <v>0</v>
      </c>
      <c r="DK175" s="113">
        <v>0</v>
      </c>
      <c r="DL175" s="113">
        <v>0</v>
      </c>
      <c r="DM175" s="113">
        <v>0</v>
      </c>
      <c r="DN175" s="113">
        <v>0</v>
      </c>
      <c r="DO175" s="113">
        <v>0</v>
      </c>
      <c r="DP175" s="113">
        <v>0</v>
      </c>
      <c r="DQ175" s="113">
        <v>0</v>
      </c>
      <c r="DR175" s="113">
        <v>0</v>
      </c>
      <c r="DS175" s="113">
        <v>0</v>
      </c>
      <c r="DT175" s="113">
        <v>0</v>
      </c>
      <c r="DU175" s="113">
        <v>0</v>
      </c>
      <c r="DV175" s="113">
        <v>0</v>
      </c>
      <c r="DW175" s="113">
        <v>0</v>
      </c>
      <c r="DX175" s="113">
        <v>0</v>
      </c>
      <c r="DY175" s="113">
        <v>0</v>
      </c>
      <c r="DZ175" s="113">
        <v>0</v>
      </c>
      <c r="EA175" s="113">
        <v>0</v>
      </c>
      <c r="EB175" s="113">
        <v>0</v>
      </c>
      <c r="EC175" s="113">
        <v>0</v>
      </c>
      <c r="ED175" s="113">
        <v>0</v>
      </c>
      <c r="EE175" s="113">
        <v>0</v>
      </c>
      <c r="EF175" s="113">
        <v>0</v>
      </c>
      <c r="EG175" s="113">
        <v>0</v>
      </c>
      <c r="EH175" s="113">
        <v>0</v>
      </c>
      <c r="EI175" s="113">
        <v>0</v>
      </c>
      <c r="EJ175" s="113">
        <v>0</v>
      </c>
      <c r="EK175" s="113">
        <v>0</v>
      </c>
      <c r="EL175" s="113">
        <v>0</v>
      </c>
      <c r="EM175" s="113">
        <v>0</v>
      </c>
      <c r="EN175" s="113">
        <v>0</v>
      </c>
      <c r="EO175" s="113">
        <v>0</v>
      </c>
      <c r="EP175" s="113">
        <v>0</v>
      </c>
      <c r="EQ175" s="113">
        <v>0</v>
      </c>
      <c r="ER175" s="113">
        <v>0</v>
      </c>
      <c r="ES175" s="113">
        <v>0</v>
      </c>
      <c r="ET175" s="113">
        <v>0</v>
      </c>
      <c r="EU175" s="113">
        <v>0</v>
      </c>
      <c r="EV175" s="113">
        <v>0</v>
      </c>
      <c r="EW175" s="113">
        <v>0</v>
      </c>
      <c r="EX175" s="113">
        <v>0</v>
      </c>
      <c r="EY175" s="113">
        <v>0</v>
      </c>
      <c r="EZ175" s="113">
        <v>0</v>
      </c>
      <c r="FA175" s="113">
        <v>0</v>
      </c>
      <c r="FB175" s="113">
        <v>0</v>
      </c>
      <c r="FC175" s="113">
        <v>0</v>
      </c>
      <c r="FD175" s="113">
        <v>0</v>
      </c>
      <c r="FE175" s="113">
        <v>0</v>
      </c>
      <c r="FF175" s="113">
        <v>0</v>
      </c>
      <c r="FG175" s="113">
        <v>0</v>
      </c>
      <c r="FH175" s="113">
        <v>0</v>
      </c>
      <c r="FI175" s="113">
        <v>0</v>
      </c>
      <c r="FJ175" s="113">
        <v>0</v>
      </c>
      <c r="FK175" s="113">
        <v>0</v>
      </c>
      <c r="FL175" s="113">
        <v>0</v>
      </c>
      <c r="FM175" s="113">
        <v>0</v>
      </c>
      <c r="FN175" s="113">
        <v>0</v>
      </c>
      <c r="FO175" s="113">
        <v>0</v>
      </c>
      <c r="FP175" s="113">
        <v>0</v>
      </c>
      <c r="FQ175" s="113">
        <v>0</v>
      </c>
      <c r="FR175" s="113">
        <v>0</v>
      </c>
      <c r="FS175" s="113">
        <v>0</v>
      </c>
      <c r="FT175" s="113">
        <v>0</v>
      </c>
      <c r="FU175" s="113">
        <v>0</v>
      </c>
      <c r="FV175" s="113">
        <v>0</v>
      </c>
      <c r="FW175" s="113">
        <v>0</v>
      </c>
      <c r="FX175" s="32">
        <v>0</v>
      </c>
      <c r="FY175" s="30">
        <v>0</v>
      </c>
      <c r="FZ175" s="30">
        <v>0</v>
      </c>
    </row>
    <row r="176" spans="1:182" x14ac:dyDescent="0.2">
      <c r="A176" s="28">
        <v>36923</v>
      </c>
      <c r="B176" s="28"/>
      <c r="C176" s="29">
        <v>196722</v>
      </c>
      <c r="D176" s="29">
        <v>163036</v>
      </c>
      <c r="E176" s="29">
        <f t="shared" si="4"/>
        <v>359758</v>
      </c>
      <c r="F176" s="30">
        <v>6123062</v>
      </c>
      <c r="G176" s="30">
        <v>109393</v>
      </c>
      <c r="H176" s="30">
        <f t="shared" si="5"/>
        <v>6232455</v>
      </c>
      <c r="I176" s="42" t="s">
        <v>75</v>
      </c>
      <c r="J176" s="42" t="s">
        <v>75</v>
      </c>
      <c r="K176" s="32">
        <v>6568012</v>
      </c>
      <c r="L176" s="31" t="s">
        <v>75</v>
      </c>
      <c r="M176" s="31" t="s">
        <v>75</v>
      </c>
      <c r="N176" s="30">
        <v>12812100</v>
      </c>
      <c r="O176" s="31" t="s">
        <v>75</v>
      </c>
      <c r="P176" s="31" t="s">
        <v>75</v>
      </c>
      <c r="Q176" s="30">
        <v>17591634</v>
      </c>
      <c r="R176" s="31" t="s">
        <v>75</v>
      </c>
      <c r="S176" s="31" t="s">
        <v>75</v>
      </c>
      <c r="T176" s="32">
        <v>103782</v>
      </c>
      <c r="U176" s="31" t="s">
        <v>75</v>
      </c>
      <c r="V176" s="31" t="s">
        <v>75</v>
      </c>
      <c r="W176" s="31" t="s">
        <v>75</v>
      </c>
      <c r="X176" s="31" t="s">
        <v>75</v>
      </c>
      <c r="Y176" s="31" t="s">
        <v>75</v>
      </c>
      <c r="Z176" s="30">
        <v>38141</v>
      </c>
      <c r="AA176" s="31" t="s">
        <v>75</v>
      </c>
      <c r="AB176" s="31" t="s">
        <v>75</v>
      </c>
      <c r="AC176" s="30">
        <v>43170</v>
      </c>
      <c r="AD176" s="31" t="s">
        <v>75</v>
      </c>
      <c r="AE176" s="31" t="s">
        <v>75</v>
      </c>
      <c r="AF176" s="30">
        <v>6946</v>
      </c>
      <c r="AG176" s="42" t="s">
        <v>75</v>
      </c>
      <c r="AH176" s="42" t="s">
        <v>75</v>
      </c>
      <c r="AI176" s="32">
        <v>29068</v>
      </c>
      <c r="AJ176" s="31" t="s">
        <v>75</v>
      </c>
      <c r="AK176" s="31" t="s">
        <v>75</v>
      </c>
      <c r="AL176" s="31" t="s">
        <v>75</v>
      </c>
      <c r="AM176" s="31"/>
      <c r="AN176" s="31"/>
      <c r="AO176" s="31"/>
      <c r="AP176" s="31"/>
      <c r="AQ176" s="31"/>
      <c r="AR176" s="31"/>
      <c r="AS176" s="31" t="s">
        <v>75</v>
      </c>
      <c r="AT176" s="31" t="s">
        <v>75</v>
      </c>
      <c r="AU176" s="31" t="s">
        <v>75</v>
      </c>
      <c r="AV176" s="31" t="s">
        <v>75</v>
      </c>
      <c r="AW176" s="31" t="s">
        <v>75</v>
      </c>
      <c r="AX176" s="31" t="s">
        <v>75</v>
      </c>
      <c r="AY176" s="31" t="s">
        <v>75</v>
      </c>
      <c r="AZ176" s="31" t="s">
        <v>75</v>
      </c>
      <c r="BA176" s="29">
        <v>16055751</v>
      </c>
      <c r="BB176" s="31" t="s">
        <v>75</v>
      </c>
      <c r="BC176" s="31" t="s">
        <v>75</v>
      </c>
      <c r="BD176" s="29">
        <v>1152213</v>
      </c>
      <c r="BE176" s="113">
        <v>0</v>
      </c>
      <c r="BF176" s="113">
        <v>0</v>
      </c>
      <c r="BG176" s="113">
        <v>0</v>
      </c>
      <c r="BH176" s="113">
        <v>0</v>
      </c>
      <c r="BI176" s="113">
        <v>0</v>
      </c>
      <c r="BJ176" s="113">
        <v>0</v>
      </c>
      <c r="BK176" s="113">
        <v>0</v>
      </c>
      <c r="BL176" s="113">
        <v>0</v>
      </c>
      <c r="BM176" s="113">
        <v>0</v>
      </c>
      <c r="BN176" s="113">
        <v>0</v>
      </c>
      <c r="BO176" s="113">
        <v>0</v>
      </c>
      <c r="BP176" s="113">
        <v>0</v>
      </c>
      <c r="BQ176" s="113">
        <v>0</v>
      </c>
      <c r="BR176" s="113">
        <v>0</v>
      </c>
      <c r="BS176" s="113">
        <v>0</v>
      </c>
      <c r="BT176" s="113">
        <v>0</v>
      </c>
      <c r="BU176" s="113">
        <v>0</v>
      </c>
      <c r="BV176" s="113">
        <v>0</v>
      </c>
      <c r="BW176" s="113"/>
      <c r="BX176" s="113"/>
      <c r="BY176" s="113"/>
      <c r="BZ176" s="113">
        <v>0</v>
      </c>
      <c r="CA176" s="113">
        <v>0</v>
      </c>
      <c r="CB176" s="113">
        <v>0</v>
      </c>
      <c r="CC176" s="113"/>
      <c r="CD176" s="113"/>
      <c r="CE176" s="113"/>
      <c r="CF176" s="113">
        <v>0</v>
      </c>
      <c r="CG176" s="113">
        <v>0</v>
      </c>
      <c r="CH176" s="113">
        <v>0</v>
      </c>
      <c r="CI176" s="113">
        <v>0</v>
      </c>
      <c r="CJ176" s="113">
        <v>0</v>
      </c>
      <c r="CK176" s="113">
        <v>0</v>
      </c>
      <c r="CL176" s="113">
        <v>0</v>
      </c>
      <c r="CM176" s="113">
        <v>0</v>
      </c>
      <c r="CN176" s="113">
        <v>0</v>
      </c>
      <c r="CO176" s="113">
        <v>0</v>
      </c>
      <c r="CP176" s="113">
        <v>0</v>
      </c>
      <c r="CQ176" s="113">
        <v>0</v>
      </c>
      <c r="CR176" s="113">
        <v>0</v>
      </c>
      <c r="CS176" s="113">
        <v>0</v>
      </c>
      <c r="CT176" s="113">
        <v>0</v>
      </c>
      <c r="CU176" s="113">
        <v>0</v>
      </c>
      <c r="CV176" s="113">
        <v>0</v>
      </c>
      <c r="CW176" s="113">
        <v>0</v>
      </c>
      <c r="CX176" s="113">
        <v>0</v>
      </c>
      <c r="CY176" s="113">
        <v>0</v>
      </c>
      <c r="CZ176" s="113">
        <v>0</v>
      </c>
      <c r="DA176" s="113">
        <v>0</v>
      </c>
      <c r="DB176" s="113">
        <v>0</v>
      </c>
      <c r="DC176" s="113">
        <v>0</v>
      </c>
      <c r="DD176" s="113">
        <v>0</v>
      </c>
      <c r="DE176" s="113">
        <v>0</v>
      </c>
      <c r="DF176" s="113">
        <v>0</v>
      </c>
      <c r="DG176" s="113">
        <v>0</v>
      </c>
      <c r="DH176" s="113">
        <v>0</v>
      </c>
      <c r="DI176" s="113">
        <v>0</v>
      </c>
      <c r="DJ176" s="113">
        <v>0</v>
      </c>
      <c r="DK176" s="113">
        <v>0</v>
      </c>
      <c r="DL176" s="113">
        <v>0</v>
      </c>
      <c r="DM176" s="113">
        <v>0</v>
      </c>
      <c r="DN176" s="113">
        <v>0</v>
      </c>
      <c r="DO176" s="113">
        <v>0</v>
      </c>
      <c r="DP176" s="113">
        <v>0</v>
      </c>
      <c r="DQ176" s="113">
        <v>0</v>
      </c>
      <c r="DR176" s="113">
        <v>0</v>
      </c>
      <c r="DS176" s="113">
        <v>0</v>
      </c>
      <c r="DT176" s="113">
        <v>0</v>
      </c>
      <c r="DU176" s="113">
        <v>0</v>
      </c>
      <c r="DV176" s="113">
        <v>0</v>
      </c>
      <c r="DW176" s="113">
        <v>0</v>
      </c>
      <c r="DX176" s="113">
        <v>0</v>
      </c>
      <c r="DY176" s="113">
        <v>0</v>
      </c>
      <c r="DZ176" s="113">
        <v>0</v>
      </c>
      <c r="EA176" s="113">
        <v>0</v>
      </c>
      <c r="EB176" s="113">
        <v>0</v>
      </c>
      <c r="EC176" s="113">
        <v>0</v>
      </c>
      <c r="ED176" s="113">
        <v>0</v>
      </c>
      <c r="EE176" s="113">
        <v>0</v>
      </c>
      <c r="EF176" s="113">
        <v>0</v>
      </c>
      <c r="EG176" s="113">
        <v>0</v>
      </c>
      <c r="EH176" s="113">
        <v>0</v>
      </c>
      <c r="EI176" s="113">
        <v>0</v>
      </c>
      <c r="EJ176" s="113">
        <v>0</v>
      </c>
      <c r="EK176" s="113">
        <v>0</v>
      </c>
      <c r="EL176" s="113">
        <v>0</v>
      </c>
      <c r="EM176" s="113">
        <v>0</v>
      </c>
      <c r="EN176" s="113">
        <v>0</v>
      </c>
      <c r="EO176" s="113">
        <v>0</v>
      </c>
      <c r="EP176" s="113">
        <v>0</v>
      </c>
      <c r="EQ176" s="113">
        <v>0</v>
      </c>
      <c r="ER176" s="113">
        <v>0</v>
      </c>
      <c r="ES176" s="113">
        <v>0</v>
      </c>
      <c r="ET176" s="113">
        <v>0</v>
      </c>
      <c r="EU176" s="113">
        <v>0</v>
      </c>
      <c r="EV176" s="113">
        <v>0</v>
      </c>
      <c r="EW176" s="113">
        <v>0</v>
      </c>
      <c r="EX176" s="113">
        <v>0</v>
      </c>
      <c r="EY176" s="113">
        <v>0</v>
      </c>
      <c r="EZ176" s="113">
        <v>0</v>
      </c>
      <c r="FA176" s="113">
        <v>0</v>
      </c>
      <c r="FB176" s="113">
        <v>0</v>
      </c>
      <c r="FC176" s="113">
        <v>0</v>
      </c>
      <c r="FD176" s="113">
        <v>0</v>
      </c>
      <c r="FE176" s="113">
        <v>0</v>
      </c>
      <c r="FF176" s="113">
        <v>0</v>
      </c>
      <c r="FG176" s="113">
        <v>0</v>
      </c>
      <c r="FH176" s="113">
        <v>0</v>
      </c>
      <c r="FI176" s="113">
        <v>0</v>
      </c>
      <c r="FJ176" s="113">
        <v>0</v>
      </c>
      <c r="FK176" s="113">
        <v>0</v>
      </c>
      <c r="FL176" s="113">
        <v>0</v>
      </c>
      <c r="FM176" s="113">
        <v>0</v>
      </c>
      <c r="FN176" s="113">
        <v>0</v>
      </c>
      <c r="FO176" s="113">
        <v>0</v>
      </c>
      <c r="FP176" s="113">
        <v>0</v>
      </c>
      <c r="FQ176" s="113">
        <v>0</v>
      </c>
      <c r="FR176" s="113">
        <v>0</v>
      </c>
      <c r="FS176" s="113">
        <v>0</v>
      </c>
      <c r="FT176" s="113">
        <v>0</v>
      </c>
      <c r="FU176" s="113">
        <v>0</v>
      </c>
      <c r="FV176" s="113">
        <v>0</v>
      </c>
      <c r="FW176" s="113">
        <v>0</v>
      </c>
      <c r="FX176" s="32">
        <v>0</v>
      </c>
      <c r="FY176" s="30">
        <v>0</v>
      </c>
      <c r="FZ176" s="30">
        <v>0</v>
      </c>
    </row>
    <row r="177" spans="1:182" x14ac:dyDescent="0.2">
      <c r="A177" s="28">
        <v>36951</v>
      </c>
      <c r="B177" s="28"/>
      <c r="C177" s="29">
        <v>251009</v>
      </c>
      <c r="D177" s="29">
        <v>212235</v>
      </c>
      <c r="E177" s="29">
        <f t="shared" si="4"/>
        <v>463244</v>
      </c>
      <c r="F177" s="30">
        <v>5672104</v>
      </c>
      <c r="G177" s="30">
        <v>149671</v>
      </c>
      <c r="H177" s="30">
        <f t="shared" si="5"/>
        <v>5821775</v>
      </c>
      <c r="I177" s="42" t="s">
        <v>75</v>
      </c>
      <c r="J177" s="42" t="s">
        <v>75</v>
      </c>
      <c r="K177" s="32">
        <v>7300337</v>
      </c>
      <c r="L177" s="31" t="s">
        <v>75</v>
      </c>
      <c r="M177" s="31" t="s">
        <v>75</v>
      </c>
      <c r="N177" s="30">
        <v>13305403</v>
      </c>
      <c r="O177" s="31" t="s">
        <v>75</v>
      </c>
      <c r="P177" s="31" t="s">
        <v>75</v>
      </c>
      <c r="Q177" s="30">
        <v>18324336</v>
      </c>
      <c r="R177" s="31" t="s">
        <v>75</v>
      </c>
      <c r="S177" s="31" t="s">
        <v>75</v>
      </c>
      <c r="T177" s="32">
        <v>135658</v>
      </c>
      <c r="U177" s="31" t="s">
        <v>75</v>
      </c>
      <c r="V177" s="31" t="s">
        <v>75</v>
      </c>
      <c r="W177" s="31" t="s">
        <v>75</v>
      </c>
      <c r="X177" s="31" t="s">
        <v>75</v>
      </c>
      <c r="Y177" s="31" t="s">
        <v>75</v>
      </c>
      <c r="Z177" s="30">
        <v>57591</v>
      </c>
      <c r="AA177" s="31" t="s">
        <v>75</v>
      </c>
      <c r="AB177" s="31" t="s">
        <v>75</v>
      </c>
      <c r="AC177" s="30">
        <v>79055</v>
      </c>
      <c r="AD177" s="31" t="s">
        <v>75</v>
      </c>
      <c r="AE177" s="31" t="s">
        <v>75</v>
      </c>
      <c r="AF177" s="30">
        <v>4565</v>
      </c>
      <c r="AG177" s="42" t="s">
        <v>75</v>
      </c>
      <c r="AH177" s="42" t="s">
        <v>75</v>
      </c>
      <c r="AI177" s="32">
        <v>65217</v>
      </c>
      <c r="AJ177" s="31" t="s">
        <v>75</v>
      </c>
      <c r="AK177" s="31" t="s">
        <v>75</v>
      </c>
      <c r="AL177" s="31" t="s">
        <v>75</v>
      </c>
      <c r="AM177" s="31"/>
      <c r="AN177" s="31"/>
      <c r="AO177" s="31"/>
      <c r="AP177" s="31"/>
      <c r="AQ177" s="31"/>
      <c r="AR177" s="31"/>
      <c r="AS177" s="31" t="s">
        <v>75</v>
      </c>
      <c r="AT177" s="31" t="s">
        <v>75</v>
      </c>
      <c r="AU177" s="31" t="s">
        <v>75</v>
      </c>
      <c r="AV177" s="31" t="s">
        <v>75</v>
      </c>
      <c r="AW177" s="31" t="s">
        <v>75</v>
      </c>
      <c r="AX177" s="31" t="s">
        <v>75</v>
      </c>
      <c r="AY177" s="31" t="s">
        <v>75</v>
      </c>
      <c r="AZ177" s="31" t="s">
        <v>75</v>
      </c>
      <c r="BA177" s="29">
        <v>15029762</v>
      </c>
      <c r="BB177" s="31" t="s">
        <v>75</v>
      </c>
      <c r="BC177" s="31" t="s">
        <v>75</v>
      </c>
      <c r="BD177" s="29">
        <v>1378014</v>
      </c>
      <c r="BE177" s="113">
        <v>0</v>
      </c>
      <c r="BF177" s="113">
        <v>0</v>
      </c>
      <c r="BG177" s="113">
        <v>0</v>
      </c>
      <c r="BH177" s="113">
        <v>0</v>
      </c>
      <c r="BI177" s="113">
        <v>0</v>
      </c>
      <c r="BJ177" s="113">
        <v>0</v>
      </c>
      <c r="BK177" s="113">
        <v>0</v>
      </c>
      <c r="BL177" s="113">
        <v>0</v>
      </c>
      <c r="BM177" s="113">
        <v>0</v>
      </c>
      <c r="BN177" s="113">
        <v>0</v>
      </c>
      <c r="BO177" s="113">
        <v>0</v>
      </c>
      <c r="BP177" s="113">
        <v>0</v>
      </c>
      <c r="BQ177" s="113">
        <v>0</v>
      </c>
      <c r="BR177" s="113">
        <v>0</v>
      </c>
      <c r="BS177" s="113">
        <v>0</v>
      </c>
      <c r="BT177" s="113">
        <v>0</v>
      </c>
      <c r="BU177" s="113">
        <v>0</v>
      </c>
      <c r="BV177" s="113">
        <v>0</v>
      </c>
      <c r="BW177" s="113"/>
      <c r="BX177" s="113"/>
      <c r="BY177" s="113"/>
      <c r="BZ177" s="113">
        <v>0</v>
      </c>
      <c r="CA177" s="113">
        <v>0</v>
      </c>
      <c r="CB177" s="113">
        <v>0</v>
      </c>
      <c r="CC177" s="113"/>
      <c r="CD177" s="113"/>
      <c r="CE177" s="113"/>
      <c r="CF177" s="113">
        <v>0</v>
      </c>
      <c r="CG177" s="113">
        <v>0</v>
      </c>
      <c r="CH177" s="113">
        <v>0</v>
      </c>
      <c r="CI177" s="113">
        <v>0</v>
      </c>
      <c r="CJ177" s="113">
        <v>0</v>
      </c>
      <c r="CK177" s="113">
        <v>0</v>
      </c>
      <c r="CL177" s="113">
        <v>0</v>
      </c>
      <c r="CM177" s="113">
        <v>0</v>
      </c>
      <c r="CN177" s="113">
        <v>0</v>
      </c>
      <c r="CO177" s="113">
        <v>0</v>
      </c>
      <c r="CP177" s="113">
        <v>0</v>
      </c>
      <c r="CQ177" s="113">
        <v>0</v>
      </c>
      <c r="CR177" s="113">
        <v>0</v>
      </c>
      <c r="CS177" s="113">
        <v>0</v>
      </c>
      <c r="CT177" s="113">
        <v>0</v>
      </c>
      <c r="CU177" s="113">
        <v>0</v>
      </c>
      <c r="CV177" s="113">
        <v>0</v>
      </c>
      <c r="CW177" s="113">
        <v>0</v>
      </c>
      <c r="CX177" s="113">
        <v>0</v>
      </c>
      <c r="CY177" s="113">
        <v>0</v>
      </c>
      <c r="CZ177" s="113">
        <v>0</v>
      </c>
      <c r="DA177" s="113">
        <v>0</v>
      </c>
      <c r="DB177" s="113">
        <v>0</v>
      </c>
      <c r="DC177" s="113">
        <v>0</v>
      </c>
      <c r="DD177" s="113">
        <v>0</v>
      </c>
      <c r="DE177" s="113">
        <v>0</v>
      </c>
      <c r="DF177" s="113">
        <v>0</v>
      </c>
      <c r="DG177" s="113">
        <v>0</v>
      </c>
      <c r="DH177" s="113">
        <v>0</v>
      </c>
      <c r="DI177" s="113">
        <v>0</v>
      </c>
      <c r="DJ177" s="113">
        <v>0</v>
      </c>
      <c r="DK177" s="113">
        <v>0</v>
      </c>
      <c r="DL177" s="113">
        <v>0</v>
      </c>
      <c r="DM177" s="113">
        <v>0</v>
      </c>
      <c r="DN177" s="113">
        <v>0</v>
      </c>
      <c r="DO177" s="113">
        <v>0</v>
      </c>
      <c r="DP177" s="113">
        <v>0</v>
      </c>
      <c r="DQ177" s="113">
        <v>0</v>
      </c>
      <c r="DR177" s="113">
        <v>0</v>
      </c>
      <c r="DS177" s="113">
        <v>0</v>
      </c>
      <c r="DT177" s="113">
        <v>0</v>
      </c>
      <c r="DU177" s="113">
        <v>0</v>
      </c>
      <c r="DV177" s="113">
        <v>0</v>
      </c>
      <c r="DW177" s="113">
        <v>0</v>
      </c>
      <c r="DX177" s="113">
        <v>0</v>
      </c>
      <c r="DY177" s="113">
        <v>0</v>
      </c>
      <c r="DZ177" s="113">
        <v>0</v>
      </c>
      <c r="EA177" s="113">
        <v>0</v>
      </c>
      <c r="EB177" s="113">
        <v>0</v>
      </c>
      <c r="EC177" s="113">
        <v>0</v>
      </c>
      <c r="ED177" s="113">
        <v>0</v>
      </c>
      <c r="EE177" s="113">
        <v>0</v>
      </c>
      <c r="EF177" s="113">
        <v>0</v>
      </c>
      <c r="EG177" s="113">
        <v>0</v>
      </c>
      <c r="EH177" s="113">
        <v>0</v>
      </c>
      <c r="EI177" s="113">
        <v>0</v>
      </c>
      <c r="EJ177" s="113">
        <v>0</v>
      </c>
      <c r="EK177" s="113">
        <v>0</v>
      </c>
      <c r="EL177" s="113">
        <v>0</v>
      </c>
      <c r="EM177" s="113">
        <v>0</v>
      </c>
      <c r="EN177" s="113">
        <v>0</v>
      </c>
      <c r="EO177" s="113">
        <v>0</v>
      </c>
      <c r="EP177" s="113">
        <v>0</v>
      </c>
      <c r="EQ177" s="113">
        <v>0</v>
      </c>
      <c r="ER177" s="113">
        <v>0</v>
      </c>
      <c r="ES177" s="113">
        <v>0</v>
      </c>
      <c r="ET177" s="113">
        <v>0</v>
      </c>
      <c r="EU177" s="113">
        <v>0</v>
      </c>
      <c r="EV177" s="113">
        <v>0</v>
      </c>
      <c r="EW177" s="113">
        <v>0</v>
      </c>
      <c r="EX177" s="113">
        <v>0</v>
      </c>
      <c r="EY177" s="113">
        <v>0</v>
      </c>
      <c r="EZ177" s="113">
        <v>0</v>
      </c>
      <c r="FA177" s="113">
        <v>0</v>
      </c>
      <c r="FB177" s="113">
        <v>0</v>
      </c>
      <c r="FC177" s="113">
        <v>0</v>
      </c>
      <c r="FD177" s="113">
        <v>0</v>
      </c>
      <c r="FE177" s="113">
        <v>0</v>
      </c>
      <c r="FF177" s="113">
        <v>0</v>
      </c>
      <c r="FG177" s="113">
        <v>0</v>
      </c>
      <c r="FH177" s="113">
        <v>0</v>
      </c>
      <c r="FI177" s="113">
        <v>0</v>
      </c>
      <c r="FJ177" s="113">
        <v>0</v>
      </c>
      <c r="FK177" s="113">
        <v>0</v>
      </c>
      <c r="FL177" s="113">
        <v>0</v>
      </c>
      <c r="FM177" s="113">
        <v>0</v>
      </c>
      <c r="FN177" s="113">
        <v>0</v>
      </c>
      <c r="FO177" s="113">
        <v>0</v>
      </c>
      <c r="FP177" s="113">
        <v>0</v>
      </c>
      <c r="FQ177" s="113">
        <v>0</v>
      </c>
      <c r="FR177" s="113">
        <v>0</v>
      </c>
      <c r="FS177" s="113">
        <v>0</v>
      </c>
      <c r="FT177" s="113">
        <v>0</v>
      </c>
      <c r="FU177" s="113">
        <v>0</v>
      </c>
      <c r="FV177" s="113">
        <v>0</v>
      </c>
      <c r="FW177" s="113">
        <v>0</v>
      </c>
      <c r="FX177" s="32">
        <v>0</v>
      </c>
      <c r="FY177" s="30">
        <v>0</v>
      </c>
      <c r="FZ177" s="30">
        <v>0</v>
      </c>
    </row>
    <row r="178" spans="1:182" x14ac:dyDescent="0.2">
      <c r="A178" s="28">
        <v>36982</v>
      </c>
      <c r="B178" s="28"/>
      <c r="C178" s="29">
        <v>233491</v>
      </c>
      <c r="D178" s="29">
        <v>204136</v>
      </c>
      <c r="E178" s="29">
        <f t="shared" si="4"/>
        <v>437627</v>
      </c>
      <c r="F178" s="30">
        <v>3787542</v>
      </c>
      <c r="G178" s="30">
        <v>83808</v>
      </c>
      <c r="H178" s="30">
        <f t="shared" si="5"/>
        <v>3871350</v>
      </c>
      <c r="I178" s="42" t="s">
        <v>75</v>
      </c>
      <c r="J178" s="42" t="s">
        <v>75</v>
      </c>
      <c r="K178" s="32">
        <v>5286031</v>
      </c>
      <c r="L178" s="31" t="s">
        <v>75</v>
      </c>
      <c r="M178" s="31" t="s">
        <v>75</v>
      </c>
      <c r="N178" s="30">
        <v>10509342</v>
      </c>
      <c r="O178" s="31" t="s">
        <v>75</v>
      </c>
      <c r="P178" s="31" t="s">
        <v>75</v>
      </c>
      <c r="Q178" s="30">
        <v>15171206</v>
      </c>
      <c r="R178" s="31" t="s">
        <v>75</v>
      </c>
      <c r="S178" s="31" t="s">
        <v>75</v>
      </c>
      <c r="T178" s="32">
        <v>137964</v>
      </c>
      <c r="U178" s="31" t="s">
        <v>75</v>
      </c>
      <c r="V178" s="31" t="s">
        <v>75</v>
      </c>
      <c r="W178" s="31" t="s">
        <v>75</v>
      </c>
      <c r="X178" s="31" t="s">
        <v>75</v>
      </c>
      <c r="Y178" s="31" t="s">
        <v>75</v>
      </c>
      <c r="Z178" s="30">
        <v>67055</v>
      </c>
      <c r="AA178" s="31" t="s">
        <v>75</v>
      </c>
      <c r="AB178" s="31" t="s">
        <v>75</v>
      </c>
      <c r="AC178" s="30">
        <v>119123</v>
      </c>
      <c r="AD178" s="31" t="s">
        <v>75</v>
      </c>
      <c r="AE178" s="31" t="s">
        <v>75</v>
      </c>
      <c r="AF178" s="30">
        <v>4846</v>
      </c>
      <c r="AG178" s="42" t="s">
        <v>75</v>
      </c>
      <c r="AH178" s="42" t="s">
        <v>75</v>
      </c>
      <c r="AI178" s="32">
        <v>100938</v>
      </c>
      <c r="AJ178" s="31" t="s">
        <v>75</v>
      </c>
      <c r="AK178" s="31" t="s">
        <v>75</v>
      </c>
      <c r="AL178" s="31" t="s">
        <v>75</v>
      </c>
      <c r="AM178" s="31"/>
      <c r="AN178" s="31"/>
      <c r="AO178" s="31"/>
      <c r="AP178" s="31"/>
      <c r="AQ178" s="31"/>
      <c r="AR178" s="31"/>
      <c r="AS178" s="31" t="s">
        <v>75</v>
      </c>
      <c r="AT178" s="31" t="s">
        <v>75</v>
      </c>
      <c r="AU178" s="31" t="s">
        <v>75</v>
      </c>
      <c r="AV178" s="31" t="s">
        <v>75</v>
      </c>
      <c r="AW178" s="31" t="s">
        <v>75</v>
      </c>
      <c r="AX178" s="31" t="s">
        <v>75</v>
      </c>
      <c r="AY178" s="31" t="s">
        <v>75</v>
      </c>
      <c r="AZ178" s="31" t="s">
        <v>75</v>
      </c>
      <c r="BA178" s="29">
        <v>15340076</v>
      </c>
      <c r="BB178" s="31" t="s">
        <v>75</v>
      </c>
      <c r="BC178" s="31" t="s">
        <v>75</v>
      </c>
      <c r="BD178" s="29">
        <v>1357266</v>
      </c>
      <c r="BE178" s="113">
        <v>0</v>
      </c>
      <c r="BF178" s="113">
        <v>0</v>
      </c>
      <c r="BG178" s="113">
        <v>0</v>
      </c>
      <c r="BH178" s="113">
        <v>0</v>
      </c>
      <c r="BI178" s="113">
        <v>0</v>
      </c>
      <c r="BJ178" s="113">
        <v>0</v>
      </c>
      <c r="BK178" s="113">
        <v>0</v>
      </c>
      <c r="BL178" s="113">
        <v>0</v>
      </c>
      <c r="BM178" s="113">
        <v>0</v>
      </c>
      <c r="BN178" s="113">
        <v>0</v>
      </c>
      <c r="BO178" s="113">
        <v>0</v>
      </c>
      <c r="BP178" s="113">
        <v>0</v>
      </c>
      <c r="BQ178" s="113">
        <v>0</v>
      </c>
      <c r="BR178" s="113">
        <v>0</v>
      </c>
      <c r="BS178" s="113">
        <v>0</v>
      </c>
      <c r="BT178" s="113">
        <v>0</v>
      </c>
      <c r="BU178" s="113">
        <v>0</v>
      </c>
      <c r="BV178" s="113">
        <v>0</v>
      </c>
      <c r="BW178" s="113"/>
      <c r="BX178" s="113"/>
      <c r="BY178" s="113"/>
      <c r="BZ178" s="113">
        <v>0</v>
      </c>
      <c r="CA178" s="113">
        <v>0</v>
      </c>
      <c r="CB178" s="113">
        <v>0</v>
      </c>
      <c r="CC178" s="113"/>
      <c r="CD178" s="113"/>
      <c r="CE178" s="113"/>
      <c r="CF178" s="113">
        <v>0</v>
      </c>
      <c r="CG178" s="113">
        <v>0</v>
      </c>
      <c r="CH178" s="113">
        <v>0</v>
      </c>
      <c r="CI178" s="113">
        <v>0</v>
      </c>
      <c r="CJ178" s="113">
        <v>0</v>
      </c>
      <c r="CK178" s="113">
        <v>0</v>
      </c>
      <c r="CL178" s="113">
        <v>0</v>
      </c>
      <c r="CM178" s="113">
        <v>0</v>
      </c>
      <c r="CN178" s="113">
        <v>0</v>
      </c>
      <c r="CO178" s="113">
        <v>0</v>
      </c>
      <c r="CP178" s="113">
        <v>0</v>
      </c>
      <c r="CQ178" s="113">
        <v>0</v>
      </c>
      <c r="CR178" s="113">
        <v>0</v>
      </c>
      <c r="CS178" s="113">
        <v>0</v>
      </c>
      <c r="CT178" s="113">
        <v>0</v>
      </c>
      <c r="CU178" s="113">
        <v>0</v>
      </c>
      <c r="CV178" s="113">
        <v>0</v>
      </c>
      <c r="CW178" s="113">
        <v>0</v>
      </c>
      <c r="CX178" s="113">
        <v>0</v>
      </c>
      <c r="CY178" s="113">
        <v>0</v>
      </c>
      <c r="CZ178" s="113">
        <v>0</v>
      </c>
      <c r="DA178" s="113">
        <v>0</v>
      </c>
      <c r="DB178" s="113">
        <v>0</v>
      </c>
      <c r="DC178" s="113">
        <v>0</v>
      </c>
      <c r="DD178" s="113">
        <v>0</v>
      </c>
      <c r="DE178" s="113">
        <v>0</v>
      </c>
      <c r="DF178" s="113">
        <v>0</v>
      </c>
      <c r="DG178" s="113">
        <v>0</v>
      </c>
      <c r="DH178" s="113">
        <v>0</v>
      </c>
      <c r="DI178" s="113">
        <v>0</v>
      </c>
      <c r="DJ178" s="113">
        <v>0</v>
      </c>
      <c r="DK178" s="113">
        <v>0</v>
      </c>
      <c r="DL178" s="113">
        <v>0</v>
      </c>
      <c r="DM178" s="113">
        <v>0</v>
      </c>
      <c r="DN178" s="113">
        <v>0</v>
      </c>
      <c r="DO178" s="113">
        <v>0</v>
      </c>
      <c r="DP178" s="113">
        <v>0</v>
      </c>
      <c r="DQ178" s="113">
        <v>0</v>
      </c>
      <c r="DR178" s="113">
        <v>0</v>
      </c>
      <c r="DS178" s="113">
        <v>0</v>
      </c>
      <c r="DT178" s="113">
        <v>0</v>
      </c>
      <c r="DU178" s="113">
        <v>0</v>
      </c>
      <c r="DV178" s="113">
        <v>0</v>
      </c>
      <c r="DW178" s="113">
        <v>0</v>
      </c>
      <c r="DX178" s="113">
        <v>0</v>
      </c>
      <c r="DY178" s="113">
        <v>0</v>
      </c>
      <c r="DZ178" s="113">
        <v>0</v>
      </c>
      <c r="EA178" s="113">
        <v>0</v>
      </c>
      <c r="EB178" s="113">
        <v>0</v>
      </c>
      <c r="EC178" s="113">
        <v>0</v>
      </c>
      <c r="ED178" s="113">
        <v>0</v>
      </c>
      <c r="EE178" s="113">
        <v>0</v>
      </c>
      <c r="EF178" s="113">
        <v>0</v>
      </c>
      <c r="EG178" s="113">
        <v>0</v>
      </c>
      <c r="EH178" s="113">
        <v>0</v>
      </c>
      <c r="EI178" s="113">
        <v>0</v>
      </c>
      <c r="EJ178" s="113">
        <v>0</v>
      </c>
      <c r="EK178" s="113">
        <v>0</v>
      </c>
      <c r="EL178" s="113">
        <v>0</v>
      </c>
      <c r="EM178" s="113">
        <v>0</v>
      </c>
      <c r="EN178" s="113">
        <v>0</v>
      </c>
      <c r="EO178" s="113">
        <v>0</v>
      </c>
      <c r="EP178" s="113">
        <v>0</v>
      </c>
      <c r="EQ178" s="113">
        <v>0</v>
      </c>
      <c r="ER178" s="113">
        <v>0</v>
      </c>
      <c r="ES178" s="113">
        <v>0</v>
      </c>
      <c r="ET178" s="113">
        <v>0</v>
      </c>
      <c r="EU178" s="113">
        <v>0</v>
      </c>
      <c r="EV178" s="113">
        <v>0</v>
      </c>
      <c r="EW178" s="113">
        <v>0</v>
      </c>
      <c r="EX178" s="113">
        <v>0</v>
      </c>
      <c r="EY178" s="113">
        <v>0</v>
      </c>
      <c r="EZ178" s="113">
        <v>0</v>
      </c>
      <c r="FA178" s="113">
        <v>0</v>
      </c>
      <c r="FB178" s="113">
        <v>0</v>
      </c>
      <c r="FC178" s="113">
        <v>0</v>
      </c>
      <c r="FD178" s="113">
        <v>0</v>
      </c>
      <c r="FE178" s="113">
        <v>0</v>
      </c>
      <c r="FF178" s="113">
        <v>0</v>
      </c>
      <c r="FG178" s="113">
        <v>0</v>
      </c>
      <c r="FH178" s="113">
        <v>0</v>
      </c>
      <c r="FI178" s="113">
        <v>0</v>
      </c>
      <c r="FJ178" s="113">
        <v>0</v>
      </c>
      <c r="FK178" s="113">
        <v>0</v>
      </c>
      <c r="FL178" s="113">
        <v>0</v>
      </c>
      <c r="FM178" s="113">
        <v>0</v>
      </c>
      <c r="FN178" s="113">
        <v>0</v>
      </c>
      <c r="FO178" s="113">
        <v>0</v>
      </c>
      <c r="FP178" s="113">
        <v>0</v>
      </c>
      <c r="FQ178" s="113">
        <v>0</v>
      </c>
      <c r="FR178" s="113">
        <v>0</v>
      </c>
      <c r="FS178" s="113">
        <v>0</v>
      </c>
      <c r="FT178" s="113">
        <v>0</v>
      </c>
      <c r="FU178" s="113">
        <v>0</v>
      </c>
      <c r="FV178" s="113">
        <v>0</v>
      </c>
      <c r="FW178" s="113">
        <v>0</v>
      </c>
      <c r="FX178" s="32">
        <v>0</v>
      </c>
      <c r="FY178" s="30">
        <v>0</v>
      </c>
      <c r="FZ178" s="30">
        <v>0</v>
      </c>
    </row>
    <row r="179" spans="1:182" x14ac:dyDescent="0.2">
      <c r="A179" s="28">
        <v>37012</v>
      </c>
      <c r="B179" s="28"/>
      <c r="C179" s="29">
        <v>323739</v>
      </c>
      <c r="D179" s="29">
        <v>332272</v>
      </c>
      <c r="E179" s="29">
        <f t="shared" si="4"/>
        <v>656011</v>
      </c>
      <c r="F179" s="30">
        <v>2186688</v>
      </c>
      <c r="G179" s="30">
        <v>20116</v>
      </c>
      <c r="H179" s="30">
        <f t="shared" si="5"/>
        <v>2206804</v>
      </c>
      <c r="I179" s="42" t="s">
        <v>75</v>
      </c>
      <c r="J179" s="42" t="s">
        <v>75</v>
      </c>
      <c r="K179" s="32">
        <v>3099220</v>
      </c>
      <c r="L179" s="31" t="s">
        <v>75</v>
      </c>
      <c r="M179" s="31" t="s">
        <v>75</v>
      </c>
      <c r="N179" s="30">
        <v>9753893</v>
      </c>
      <c r="O179" s="31" t="s">
        <v>75</v>
      </c>
      <c r="P179" s="31" t="s">
        <v>75</v>
      </c>
      <c r="Q179" s="30">
        <v>10996228</v>
      </c>
      <c r="R179" s="31" t="s">
        <v>75</v>
      </c>
      <c r="S179" s="31" t="s">
        <v>75</v>
      </c>
      <c r="T179" s="32">
        <v>156523</v>
      </c>
      <c r="U179" s="31" t="s">
        <v>75</v>
      </c>
      <c r="V179" s="31" t="s">
        <v>75</v>
      </c>
      <c r="W179" s="31" t="s">
        <v>75</v>
      </c>
      <c r="X179" s="31" t="s">
        <v>75</v>
      </c>
      <c r="Y179" s="31" t="s">
        <v>75</v>
      </c>
      <c r="Z179" s="30">
        <v>89738</v>
      </c>
      <c r="AA179" s="31" t="s">
        <v>75</v>
      </c>
      <c r="AB179" s="31" t="s">
        <v>75</v>
      </c>
      <c r="AC179" s="30">
        <v>133016</v>
      </c>
      <c r="AD179" s="31" t="s">
        <v>75</v>
      </c>
      <c r="AE179" s="31" t="s">
        <v>75</v>
      </c>
      <c r="AF179" s="30">
        <v>5428</v>
      </c>
      <c r="AG179" s="42" t="s">
        <v>75</v>
      </c>
      <c r="AH179" s="42" t="s">
        <v>75</v>
      </c>
      <c r="AI179" s="32">
        <v>91334</v>
      </c>
      <c r="AJ179" s="31" t="s">
        <v>75</v>
      </c>
      <c r="AK179" s="31" t="s">
        <v>75</v>
      </c>
      <c r="AL179" s="31" t="s">
        <v>75</v>
      </c>
      <c r="AM179" s="31"/>
      <c r="AN179" s="31"/>
      <c r="AO179" s="31"/>
      <c r="AP179" s="31"/>
      <c r="AQ179" s="31"/>
      <c r="AR179" s="31"/>
      <c r="AS179" s="31" t="s">
        <v>75</v>
      </c>
      <c r="AT179" s="31" t="s">
        <v>75</v>
      </c>
      <c r="AU179" s="31" t="s">
        <v>75</v>
      </c>
      <c r="AV179" s="31" t="s">
        <v>75</v>
      </c>
      <c r="AW179" s="31" t="s">
        <v>75</v>
      </c>
      <c r="AX179" s="31" t="s">
        <v>75</v>
      </c>
      <c r="AY179" s="31" t="s">
        <v>75</v>
      </c>
      <c r="AZ179" s="31" t="s">
        <v>75</v>
      </c>
      <c r="BA179" s="29">
        <v>12763391</v>
      </c>
      <c r="BB179" s="31" t="s">
        <v>75</v>
      </c>
      <c r="BC179" s="31" t="s">
        <v>75</v>
      </c>
      <c r="BD179" s="29">
        <v>1155750</v>
      </c>
      <c r="BE179" s="113">
        <v>0</v>
      </c>
      <c r="BF179" s="113">
        <v>0</v>
      </c>
      <c r="BG179" s="113">
        <v>0</v>
      </c>
      <c r="BH179" s="113">
        <v>0</v>
      </c>
      <c r="BI179" s="113">
        <v>0</v>
      </c>
      <c r="BJ179" s="113">
        <v>0</v>
      </c>
      <c r="BK179" s="113">
        <v>0</v>
      </c>
      <c r="BL179" s="113">
        <v>0</v>
      </c>
      <c r="BM179" s="113">
        <v>0</v>
      </c>
      <c r="BN179" s="113">
        <v>0</v>
      </c>
      <c r="BO179" s="113">
        <v>0</v>
      </c>
      <c r="BP179" s="113">
        <v>0</v>
      </c>
      <c r="BQ179" s="113">
        <v>0</v>
      </c>
      <c r="BR179" s="113">
        <v>0</v>
      </c>
      <c r="BS179" s="113">
        <v>0</v>
      </c>
      <c r="BT179" s="113">
        <v>0</v>
      </c>
      <c r="BU179" s="113">
        <v>0</v>
      </c>
      <c r="BV179" s="113">
        <v>0</v>
      </c>
      <c r="BW179" s="113"/>
      <c r="BX179" s="113"/>
      <c r="BY179" s="113"/>
      <c r="BZ179" s="113">
        <v>0</v>
      </c>
      <c r="CA179" s="113">
        <v>0</v>
      </c>
      <c r="CB179" s="113">
        <v>0</v>
      </c>
      <c r="CC179" s="113"/>
      <c r="CD179" s="113"/>
      <c r="CE179" s="113"/>
      <c r="CF179" s="113">
        <v>0</v>
      </c>
      <c r="CG179" s="113">
        <v>0</v>
      </c>
      <c r="CH179" s="113">
        <v>0</v>
      </c>
      <c r="CI179" s="113">
        <v>0</v>
      </c>
      <c r="CJ179" s="113">
        <v>0</v>
      </c>
      <c r="CK179" s="113">
        <v>0</v>
      </c>
      <c r="CL179" s="113">
        <v>0</v>
      </c>
      <c r="CM179" s="113">
        <v>0</v>
      </c>
      <c r="CN179" s="113">
        <v>0</v>
      </c>
      <c r="CO179" s="113">
        <v>0</v>
      </c>
      <c r="CP179" s="113">
        <v>0</v>
      </c>
      <c r="CQ179" s="113">
        <v>0</v>
      </c>
      <c r="CR179" s="113">
        <v>0</v>
      </c>
      <c r="CS179" s="113">
        <v>0</v>
      </c>
      <c r="CT179" s="113">
        <v>0</v>
      </c>
      <c r="CU179" s="113">
        <v>0</v>
      </c>
      <c r="CV179" s="113">
        <v>0</v>
      </c>
      <c r="CW179" s="113">
        <v>0</v>
      </c>
      <c r="CX179" s="113">
        <v>0</v>
      </c>
      <c r="CY179" s="113">
        <v>0</v>
      </c>
      <c r="CZ179" s="113">
        <v>0</v>
      </c>
      <c r="DA179" s="113">
        <v>0</v>
      </c>
      <c r="DB179" s="113">
        <v>0</v>
      </c>
      <c r="DC179" s="113">
        <v>0</v>
      </c>
      <c r="DD179" s="113">
        <v>0</v>
      </c>
      <c r="DE179" s="113">
        <v>0</v>
      </c>
      <c r="DF179" s="113">
        <v>0</v>
      </c>
      <c r="DG179" s="113">
        <v>0</v>
      </c>
      <c r="DH179" s="113">
        <v>0</v>
      </c>
      <c r="DI179" s="113">
        <v>0</v>
      </c>
      <c r="DJ179" s="113">
        <v>0</v>
      </c>
      <c r="DK179" s="113">
        <v>0</v>
      </c>
      <c r="DL179" s="113">
        <v>0</v>
      </c>
      <c r="DM179" s="113">
        <v>0</v>
      </c>
      <c r="DN179" s="113">
        <v>0</v>
      </c>
      <c r="DO179" s="113">
        <v>0</v>
      </c>
      <c r="DP179" s="113">
        <v>0</v>
      </c>
      <c r="DQ179" s="113">
        <v>0</v>
      </c>
      <c r="DR179" s="113">
        <v>0</v>
      </c>
      <c r="DS179" s="113">
        <v>0</v>
      </c>
      <c r="DT179" s="113">
        <v>0</v>
      </c>
      <c r="DU179" s="113">
        <v>0</v>
      </c>
      <c r="DV179" s="113">
        <v>0</v>
      </c>
      <c r="DW179" s="113">
        <v>0</v>
      </c>
      <c r="DX179" s="113">
        <v>0</v>
      </c>
      <c r="DY179" s="113">
        <v>0</v>
      </c>
      <c r="DZ179" s="113">
        <v>0</v>
      </c>
      <c r="EA179" s="113">
        <v>0</v>
      </c>
      <c r="EB179" s="113">
        <v>0</v>
      </c>
      <c r="EC179" s="113">
        <v>0</v>
      </c>
      <c r="ED179" s="113">
        <v>0</v>
      </c>
      <c r="EE179" s="113">
        <v>0</v>
      </c>
      <c r="EF179" s="113">
        <v>0</v>
      </c>
      <c r="EG179" s="113">
        <v>0</v>
      </c>
      <c r="EH179" s="113">
        <v>0</v>
      </c>
      <c r="EI179" s="113">
        <v>0</v>
      </c>
      <c r="EJ179" s="113">
        <v>0</v>
      </c>
      <c r="EK179" s="113">
        <v>0</v>
      </c>
      <c r="EL179" s="113">
        <v>0</v>
      </c>
      <c r="EM179" s="113">
        <v>0</v>
      </c>
      <c r="EN179" s="113">
        <v>0</v>
      </c>
      <c r="EO179" s="113">
        <v>0</v>
      </c>
      <c r="EP179" s="113">
        <v>0</v>
      </c>
      <c r="EQ179" s="113">
        <v>0</v>
      </c>
      <c r="ER179" s="113">
        <v>0</v>
      </c>
      <c r="ES179" s="113">
        <v>0</v>
      </c>
      <c r="ET179" s="113">
        <v>0</v>
      </c>
      <c r="EU179" s="113">
        <v>0</v>
      </c>
      <c r="EV179" s="113">
        <v>0</v>
      </c>
      <c r="EW179" s="113">
        <v>0</v>
      </c>
      <c r="EX179" s="113">
        <v>0</v>
      </c>
      <c r="EY179" s="113">
        <v>0</v>
      </c>
      <c r="EZ179" s="113">
        <v>0</v>
      </c>
      <c r="FA179" s="113">
        <v>0</v>
      </c>
      <c r="FB179" s="113">
        <v>0</v>
      </c>
      <c r="FC179" s="113">
        <v>0</v>
      </c>
      <c r="FD179" s="113">
        <v>0</v>
      </c>
      <c r="FE179" s="113">
        <v>0</v>
      </c>
      <c r="FF179" s="113">
        <v>0</v>
      </c>
      <c r="FG179" s="113">
        <v>0</v>
      </c>
      <c r="FH179" s="113">
        <v>0</v>
      </c>
      <c r="FI179" s="113">
        <v>0</v>
      </c>
      <c r="FJ179" s="113">
        <v>0</v>
      </c>
      <c r="FK179" s="113">
        <v>0</v>
      </c>
      <c r="FL179" s="113">
        <v>0</v>
      </c>
      <c r="FM179" s="113">
        <v>0</v>
      </c>
      <c r="FN179" s="113">
        <v>0</v>
      </c>
      <c r="FO179" s="113">
        <v>0</v>
      </c>
      <c r="FP179" s="113">
        <v>0</v>
      </c>
      <c r="FQ179" s="113">
        <v>0</v>
      </c>
      <c r="FR179" s="113">
        <v>0</v>
      </c>
      <c r="FS179" s="113">
        <v>0</v>
      </c>
      <c r="FT179" s="113">
        <v>0</v>
      </c>
      <c r="FU179" s="113">
        <v>0</v>
      </c>
      <c r="FV179" s="113">
        <v>0</v>
      </c>
      <c r="FW179" s="113">
        <v>0</v>
      </c>
      <c r="FX179" s="32">
        <v>0</v>
      </c>
      <c r="FY179" s="30">
        <v>0</v>
      </c>
      <c r="FZ179" s="30">
        <v>0</v>
      </c>
    </row>
    <row r="180" spans="1:182" x14ac:dyDescent="0.2">
      <c r="A180" s="28">
        <v>37043</v>
      </c>
      <c r="B180" s="28"/>
      <c r="C180" s="29">
        <v>234217</v>
      </c>
      <c r="D180" s="29">
        <v>132350</v>
      </c>
      <c r="E180" s="29">
        <f t="shared" si="4"/>
        <v>366567</v>
      </c>
      <c r="F180" s="30">
        <v>2040367</v>
      </c>
      <c r="G180" s="30">
        <v>75624</v>
      </c>
      <c r="H180" s="30">
        <f t="shared" si="5"/>
        <v>2115991</v>
      </c>
      <c r="I180" s="42" t="s">
        <v>75</v>
      </c>
      <c r="J180" s="42" t="s">
        <v>75</v>
      </c>
      <c r="K180" s="32">
        <v>3536459</v>
      </c>
      <c r="L180" s="31" t="s">
        <v>75</v>
      </c>
      <c r="M180" s="31" t="s">
        <v>75</v>
      </c>
      <c r="N180" s="30">
        <v>8575371</v>
      </c>
      <c r="O180" s="31" t="s">
        <v>75</v>
      </c>
      <c r="P180" s="31" t="s">
        <v>75</v>
      </c>
      <c r="Q180" s="30">
        <v>7991898</v>
      </c>
      <c r="R180" s="31" t="s">
        <v>75</v>
      </c>
      <c r="S180" s="31" t="s">
        <v>75</v>
      </c>
      <c r="T180" s="32">
        <v>116529</v>
      </c>
      <c r="U180" s="31" t="s">
        <v>75</v>
      </c>
      <c r="V180" s="31" t="s">
        <v>75</v>
      </c>
      <c r="W180" s="31" t="s">
        <v>75</v>
      </c>
      <c r="X180" s="31" t="s">
        <v>75</v>
      </c>
      <c r="Y180" s="31" t="s">
        <v>75</v>
      </c>
      <c r="Z180" s="30">
        <v>50204</v>
      </c>
      <c r="AA180" s="31" t="s">
        <v>75</v>
      </c>
      <c r="AB180" s="31" t="s">
        <v>75</v>
      </c>
      <c r="AC180" s="30">
        <v>173134</v>
      </c>
      <c r="AD180" s="31" t="s">
        <v>75</v>
      </c>
      <c r="AE180" s="31" t="s">
        <v>75</v>
      </c>
      <c r="AF180" s="30">
        <v>3025</v>
      </c>
      <c r="AG180" s="42" t="s">
        <v>75</v>
      </c>
      <c r="AH180" s="42" t="s">
        <v>75</v>
      </c>
      <c r="AI180" s="32">
        <v>63228</v>
      </c>
      <c r="AJ180" s="31" t="s">
        <v>75</v>
      </c>
      <c r="AK180" s="31" t="s">
        <v>75</v>
      </c>
      <c r="AL180" s="31" t="s">
        <v>75</v>
      </c>
      <c r="AM180" s="31"/>
      <c r="AN180" s="31"/>
      <c r="AO180" s="31"/>
      <c r="AP180" s="31"/>
      <c r="AQ180" s="31"/>
      <c r="AR180" s="31"/>
      <c r="AS180" s="31" t="s">
        <v>75</v>
      </c>
      <c r="AT180" s="31" t="s">
        <v>75</v>
      </c>
      <c r="AU180" s="31" t="s">
        <v>75</v>
      </c>
      <c r="AV180" s="31" t="s">
        <v>75</v>
      </c>
      <c r="AW180" s="31" t="s">
        <v>75</v>
      </c>
      <c r="AX180" s="31" t="s">
        <v>75</v>
      </c>
      <c r="AY180" s="31" t="s">
        <v>75</v>
      </c>
      <c r="AZ180" s="31" t="s">
        <v>75</v>
      </c>
      <c r="BA180" s="29">
        <v>13456837</v>
      </c>
      <c r="BB180" s="31" t="s">
        <v>75</v>
      </c>
      <c r="BC180" s="31" t="s">
        <v>75</v>
      </c>
      <c r="BD180" s="29">
        <v>1173469</v>
      </c>
      <c r="BE180" s="113">
        <v>0</v>
      </c>
      <c r="BF180" s="113">
        <v>0</v>
      </c>
      <c r="BG180" s="113">
        <v>0</v>
      </c>
      <c r="BH180" s="113">
        <v>0</v>
      </c>
      <c r="BI180" s="113">
        <v>0</v>
      </c>
      <c r="BJ180" s="113">
        <v>0</v>
      </c>
      <c r="BK180" s="113">
        <v>0</v>
      </c>
      <c r="BL180" s="113">
        <v>0</v>
      </c>
      <c r="BM180" s="113">
        <v>0</v>
      </c>
      <c r="BN180" s="113">
        <v>0</v>
      </c>
      <c r="BO180" s="113">
        <v>0</v>
      </c>
      <c r="BP180" s="113">
        <v>0</v>
      </c>
      <c r="BQ180" s="113">
        <v>0</v>
      </c>
      <c r="BR180" s="113">
        <v>0</v>
      </c>
      <c r="BS180" s="113">
        <v>0</v>
      </c>
      <c r="BT180" s="113">
        <v>0</v>
      </c>
      <c r="BU180" s="113">
        <v>0</v>
      </c>
      <c r="BV180" s="113">
        <v>0</v>
      </c>
      <c r="BW180" s="113"/>
      <c r="BX180" s="113"/>
      <c r="BY180" s="113"/>
      <c r="BZ180" s="113">
        <v>0</v>
      </c>
      <c r="CA180" s="113">
        <v>0</v>
      </c>
      <c r="CB180" s="113">
        <v>0</v>
      </c>
      <c r="CC180" s="113"/>
      <c r="CD180" s="113"/>
      <c r="CE180" s="113"/>
      <c r="CF180" s="113">
        <v>0</v>
      </c>
      <c r="CG180" s="113">
        <v>0</v>
      </c>
      <c r="CH180" s="113">
        <v>0</v>
      </c>
      <c r="CI180" s="113">
        <v>0</v>
      </c>
      <c r="CJ180" s="113">
        <v>0</v>
      </c>
      <c r="CK180" s="113">
        <v>0</v>
      </c>
      <c r="CL180" s="113">
        <v>0</v>
      </c>
      <c r="CM180" s="113">
        <v>0</v>
      </c>
      <c r="CN180" s="113">
        <v>0</v>
      </c>
      <c r="CO180" s="113">
        <v>0</v>
      </c>
      <c r="CP180" s="113">
        <v>0</v>
      </c>
      <c r="CQ180" s="113">
        <v>0</v>
      </c>
      <c r="CR180" s="113">
        <v>0</v>
      </c>
      <c r="CS180" s="113">
        <v>0</v>
      </c>
      <c r="CT180" s="113">
        <v>0</v>
      </c>
      <c r="CU180" s="113">
        <v>0</v>
      </c>
      <c r="CV180" s="113">
        <v>0</v>
      </c>
      <c r="CW180" s="113">
        <v>0</v>
      </c>
      <c r="CX180" s="113">
        <v>0</v>
      </c>
      <c r="CY180" s="113">
        <v>0</v>
      </c>
      <c r="CZ180" s="113">
        <v>0</v>
      </c>
      <c r="DA180" s="113">
        <v>0</v>
      </c>
      <c r="DB180" s="113">
        <v>0</v>
      </c>
      <c r="DC180" s="113">
        <v>0</v>
      </c>
      <c r="DD180" s="113">
        <v>0</v>
      </c>
      <c r="DE180" s="113">
        <v>0</v>
      </c>
      <c r="DF180" s="113">
        <v>0</v>
      </c>
      <c r="DG180" s="113">
        <v>0</v>
      </c>
      <c r="DH180" s="113">
        <v>0</v>
      </c>
      <c r="DI180" s="113">
        <v>0</v>
      </c>
      <c r="DJ180" s="113">
        <v>0</v>
      </c>
      <c r="DK180" s="113">
        <v>0</v>
      </c>
      <c r="DL180" s="113">
        <v>0</v>
      </c>
      <c r="DM180" s="113">
        <v>0</v>
      </c>
      <c r="DN180" s="113">
        <v>0</v>
      </c>
      <c r="DO180" s="113">
        <v>0</v>
      </c>
      <c r="DP180" s="113">
        <v>0</v>
      </c>
      <c r="DQ180" s="113">
        <v>0</v>
      </c>
      <c r="DR180" s="113">
        <v>0</v>
      </c>
      <c r="DS180" s="113">
        <v>0</v>
      </c>
      <c r="DT180" s="113">
        <v>0</v>
      </c>
      <c r="DU180" s="113">
        <v>0</v>
      </c>
      <c r="DV180" s="113">
        <v>0</v>
      </c>
      <c r="DW180" s="113">
        <v>0</v>
      </c>
      <c r="DX180" s="113">
        <v>0</v>
      </c>
      <c r="DY180" s="113">
        <v>0</v>
      </c>
      <c r="DZ180" s="113">
        <v>0</v>
      </c>
      <c r="EA180" s="113">
        <v>0</v>
      </c>
      <c r="EB180" s="113">
        <v>0</v>
      </c>
      <c r="EC180" s="113">
        <v>0</v>
      </c>
      <c r="ED180" s="113">
        <v>0</v>
      </c>
      <c r="EE180" s="113">
        <v>0</v>
      </c>
      <c r="EF180" s="113">
        <v>0</v>
      </c>
      <c r="EG180" s="113">
        <v>0</v>
      </c>
      <c r="EH180" s="113">
        <v>0</v>
      </c>
      <c r="EI180" s="113">
        <v>0</v>
      </c>
      <c r="EJ180" s="113">
        <v>0</v>
      </c>
      <c r="EK180" s="113">
        <v>0</v>
      </c>
      <c r="EL180" s="113">
        <v>0</v>
      </c>
      <c r="EM180" s="113">
        <v>0</v>
      </c>
      <c r="EN180" s="113">
        <v>0</v>
      </c>
      <c r="EO180" s="113">
        <v>0</v>
      </c>
      <c r="EP180" s="113">
        <v>0</v>
      </c>
      <c r="EQ180" s="113">
        <v>0</v>
      </c>
      <c r="ER180" s="113">
        <v>0</v>
      </c>
      <c r="ES180" s="113">
        <v>0</v>
      </c>
      <c r="ET180" s="113">
        <v>0</v>
      </c>
      <c r="EU180" s="113">
        <v>0</v>
      </c>
      <c r="EV180" s="113">
        <v>0</v>
      </c>
      <c r="EW180" s="113">
        <v>0</v>
      </c>
      <c r="EX180" s="113">
        <v>0</v>
      </c>
      <c r="EY180" s="113">
        <v>0</v>
      </c>
      <c r="EZ180" s="113">
        <v>0</v>
      </c>
      <c r="FA180" s="113">
        <v>0</v>
      </c>
      <c r="FB180" s="113">
        <v>0</v>
      </c>
      <c r="FC180" s="113">
        <v>0</v>
      </c>
      <c r="FD180" s="113">
        <v>0</v>
      </c>
      <c r="FE180" s="113">
        <v>0</v>
      </c>
      <c r="FF180" s="113">
        <v>0</v>
      </c>
      <c r="FG180" s="113">
        <v>0</v>
      </c>
      <c r="FH180" s="113">
        <v>0</v>
      </c>
      <c r="FI180" s="113">
        <v>0</v>
      </c>
      <c r="FJ180" s="113">
        <v>0</v>
      </c>
      <c r="FK180" s="113">
        <v>0</v>
      </c>
      <c r="FL180" s="113">
        <v>0</v>
      </c>
      <c r="FM180" s="113">
        <v>0</v>
      </c>
      <c r="FN180" s="113">
        <v>0</v>
      </c>
      <c r="FO180" s="113">
        <v>0</v>
      </c>
      <c r="FP180" s="113">
        <v>0</v>
      </c>
      <c r="FQ180" s="113">
        <v>0</v>
      </c>
      <c r="FR180" s="113">
        <v>0</v>
      </c>
      <c r="FS180" s="113">
        <v>0</v>
      </c>
      <c r="FT180" s="113">
        <v>0</v>
      </c>
      <c r="FU180" s="113">
        <v>0</v>
      </c>
      <c r="FV180" s="113">
        <v>0</v>
      </c>
      <c r="FW180" s="113">
        <v>0</v>
      </c>
      <c r="FX180" s="32">
        <v>0</v>
      </c>
      <c r="FY180" s="30">
        <v>0</v>
      </c>
      <c r="FZ180" s="30">
        <v>0</v>
      </c>
    </row>
    <row r="181" spans="1:182" x14ac:dyDescent="0.2">
      <c r="A181" s="28">
        <v>37073</v>
      </c>
      <c r="B181" s="28"/>
      <c r="C181" s="29">
        <v>239531</v>
      </c>
      <c r="D181" s="29">
        <v>203104</v>
      </c>
      <c r="E181" s="29">
        <f t="shared" si="4"/>
        <v>442635</v>
      </c>
      <c r="F181" s="30">
        <v>2473800</v>
      </c>
      <c r="G181" s="30">
        <v>44554</v>
      </c>
      <c r="H181" s="30">
        <f t="shared" si="5"/>
        <v>2518354</v>
      </c>
      <c r="I181" s="42" t="s">
        <v>75</v>
      </c>
      <c r="J181" s="42" t="s">
        <v>75</v>
      </c>
      <c r="K181" s="32">
        <v>3413584</v>
      </c>
      <c r="L181" s="31" t="s">
        <v>75</v>
      </c>
      <c r="M181" s="31" t="s">
        <v>75</v>
      </c>
      <c r="N181" s="30">
        <v>8823215</v>
      </c>
      <c r="O181" s="31" t="s">
        <v>75</v>
      </c>
      <c r="P181" s="31" t="s">
        <v>75</v>
      </c>
      <c r="Q181" s="30">
        <v>8202615</v>
      </c>
      <c r="R181" s="31" t="s">
        <v>75</v>
      </c>
      <c r="S181" s="31" t="s">
        <v>75</v>
      </c>
      <c r="T181" s="32">
        <v>123490</v>
      </c>
      <c r="U181" s="31" t="s">
        <v>75</v>
      </c>
      <c r="V181" s="31" t="s">
        <v>75</v>
      </c>
      <c r="W181" s="31" t="s">
        <v>75</v>
      </c>
      <c r="X181" s="31" t="s">
        <v>75</v>
      </c>
      <c r="Y181" s="31" t="s">
        <v>75</v>
      </c>
      <c r="Z181" s="30">
        <v>87684</v>
      </c>
      <c r="AA181" s="31" t="s">
        <v>75</v>
      </c>
      <c r="AB181" s="31" t="s">
        <v>75</v>
      </c>
      <c r="AC181" s="30">
        <v>108867</v>
      </c>
      <c r="AD181" s="31" t="s">
        <v>75</v>
      </c>
      <c r="AE181" s="31" t="s">
        <v>75</v>
      </c>
      <c r="AF181" s="30">
        <v>2070</v>
      </c>
      <c r="AG181" s="42" t="s">
        <v>75</v>
      </c>
      <c r="AH181" s="42" t="s">
        <v>75</v>
      </c>
      <c r="AI181" s="32">
        <v>67985</v>
      </c>
      <c r="AJ181" s="31" t="s">
        <v>75</v>
      </c>
      <c r="AK181" s="31" t="s">
        <v>75</v>
      </c>
      <c r="AL181" s="31" t="s">
        <v>75</v>
      </c>
      <c r="AM181" s="31"/>
      <c r="AN181" s="31"/>
      <c r="AO181" s="31"/>
      <c r="AP181" s="31"/>
      <c r="AQ181" s="31"/>
      <c r="AR181" s="31"/>
      <c r="AS181" s="31" t="s">
        <v>75</v>
      </c>
      <c r="AT181" s="31" t="s">
        <v>75</v>
      </c>
      <c r="AU181" s="31" t="s">
        <v>75</v>
      </c>
      <c r="AV181" s="31" t="s">
        <v>75</v>
      </c>
      <c r="AW181" s="31" t="s">
        <v>75</v>
      </c>
      <c r="AX181" s="31" t="s">
        <v>75</v>
      </c>
      <c r="AY181" s="31" t="s">
        <v>75</v>
      </c>
      <c r="AZ181" s="31" t="s">
        <v>75</v>
      </c>
      <c r="BA181" s="29">
        <v>13722765</v>
      </c>
      <c r="BB181" s="31" t="s">
        <v>75</v>
      </c>
      <c r="BC181" s="31" t="s">
        <v>75</v>
      </c>
      <c r="BD181" s="29">
        <v>1246957</v>
      </c>
      <c r="BE181" s="113">
        <v>0</v>
      </c>
      <c r="BF181" s="113">
        <v>0</v>
      </c>
      <c r="BG181" s="113">
        <v>0</v>
      </c>
      <c r="BH181" s="113">
        <v>0</v>
      </c>
      <c r="BI181" s="113">
        <v>0</v>
      </c>
      <c r="BJ181" s="113">
        <v>0</v>
      </c>
      <c r="BK181" s="113">
        <v>0</v>
      </c>
      <c r="BL181" s="113">
        <v>0</v>
      </c>
      <c r="BM181" s="113">
        <v>0</v>
      </c>
      <c r="BN181" s="113">
        <v>0</v>
      </c>
      <c r="BO181" s="113">
        <v>0</v>
      </c>
      <c r="BP181" s="113">
        <v>0</v>
      </c>
      <c r="BQ181" s="113">
        <v>0</v>
      </c>
      <c r="BR181" s="113">
        <v>0</v>
      </c>
      <c r="BS181" s="113">
        <v>0</v>
      </c>
      <c r="BT181" s="113">
        <v>0</v>
      </c>
      <c r="BU181" s="113">
        <v>0</v>
      </c>
      <c r="BV181" s="113">
        <v>0</v>
      </c>
      <c r="BW181" s="113"/>
      <c r="BX181" s="113"/>
      <c r="BY181" s="113"/>
      <c r="BZ181" s="113">
        <v>0</v>
      </c>
      <c r="CA181" s="113">
        <v>0</v>
      </c>
      <c r="CB181" s="113">
        <v>0</v>
      </c>
      <c r="CC181" s="113"/>
      <c r="CD181" s="113"/>
      <c r="CE181" s="113"/>
      <c r="CF181" s="113">
        <v>0</v>
      </c>
      <c r="CG181" s="113">
        <v>0</v>
      </c>
      <c r="CH181" s="113">
        <v>0</v>
      </c>
      <c r="CI181" s="113">
        <v>0</v>
      </c>
      <c r="CJ181" s="113">
        <v>0</v>
      </c>
      <c r="CK181" s="113">
        <v>0</v>
      </c>
      <c r="CL181" s="113">
        <v>0</v>
      </c>
      <c r="CM181" s="113">
        <v>0</v>
      </c>
      <c r="CN181" s="113">
        <v>0</v>
      </c>
      <c r="CO181" s="113">
        <v>0</v>
      </c>
      <c r="CP181" s="113">
        <v>0</v>
      </c>
      <c r="CQ181" s="113">
        <v>0</v>
      </c>
      <c r="CR181" s="113">
        <v>0</v>
      </c>
      <c r="CS181" s="113">
        <v>0</v>
      </c>
      <c r="CT181" s="113">
        <v>0</v>
      </c>
      <c r="CU181" s="113">
        <v>0</v>
      </c>
      <c r="CV181" s="113">
        <v>0</v>
      </c>
      <c r="CW181" s="113">
        <v>0</v>
      </c>
      <c r="CX181" s="113">
        <v>0</v>
      </c>
      <c r="CY181" s="113">
        <v>0</v>
      </c>
      <c r="CZ181" s="113">
        <v>0</v>
      </c>
      <c r="DA181" s="113">
        <v>0</v>
      </c>
      <c r="DB181" s="113">
        <v>0</v>
      </c>
      <c r="DC181" s="113">
        <v>0</v>
      </c>
      <c r="DD181" s="113">
        <v>0</v>
      </c>
      <c r="DE181" s="113">
        <v>0</v>
      </c>
      <c r="DF181" s="113">
        <v>0</v>
      </c>
      <c r="DG181" s="113">
        <v>0</v>
      </c>
      <c r="DH181" s="113">
        <v>0</v>
      </c>
      <c r="DI181" s="113">
        <v>0</v>
      </c>
      <c r="DJ181" s="113">
        <v>0</v>
      </c>
      <c r="DK181" s="113">
        <v>0</v>
      </c>
      <c r="DL181" s="113">
        <v>0</v>
      </c>
      <c r="DM181" s="113">
        <v>0</v>
      </c>
      <c r="DN181" s="113">
        <v>0</v>
      </c>
      <c r="DO181" s="113">
        <v>0</v>
      </c>
      <c r="DP181" s="113">
        <v>0</v>
      </c>
      <c r="DQ181" s="113">
        <v>0</v>
      </c>
      <c r="DR181" s="113">
        <v>0</v>
      </c>
      <c r="DS181" s="113">
        <v>0</v>
      </c>
      <c r="DT181" s="113">
        <v>0</v>
      </c>
      <c r="DU181" s="113">
        <v>0</v>
      </c>
      <c r="DV181" s="113">
        <v>0</v>
      </c>
      <c r="DW181" s="113">
        <v>0</v>
      </c>
      <c r="DX181" s="113">
        <v>0</v>
      </c>
      <c r="DY181" s="113">
        <v>0</v>
      </c>
      <c r="DZ181" s="113">
        <v>0</v>
      </c>
      <c r="EA181" s="113">
        <v>0</v>
      </c>
      <c r="EB181" s="113">
        <v>0</v>
      </c>
      <c r="EC181" s="113">
        <v>0</v>
      </c>
      <c r="ED181" s="113">
        <v>0</v>
      </c>
      <c r="EE181" s="113">
        <v>0</v>
      </c>
      <c r="EF181" s="113">
        <v>0</v>
      </c>
      <c r="EG181" s="113">
        <v>0</v>
      </c>
      <c r="EH181" s="113">
        <v>0</v>
      </c>
      <c r="EI181" s="113">
        <v>0</v>
      </c>
      <c r="EJ181" s="113">
        <v>0</v>
      </c>
      <c r="EK181" s="113">
        <v>0</v>
      </c>
      <c r="EL181" s="113">
        <v>0</v>
      </c>
      <c r="EM181" s="113">
        <v>0</v>
      </c>
      <c r="EN181" s="113">
        <v>0</v>
      </c>
      <c r="EO181" s="113">
        <v>0</v>
      </c>
      <c r="EP181" s="113">
        <v>0</v>
      </c>
      <c r="EQ181" s="113">
        <v>0</v>
      </c>
      <c r="ER181" s="113">
        <v>0</v>
      </c>
      <c r="ES181" s="113">
        <v>0</v>
      </c>
      <c r="ET181" s="113">
        <v>0</v>
      </c>
      <c r="EU181" s="113">
        <v>0</v>
      </c>
      <c r="EV181" s="113">
        <v>0</v>
      </c>
      <c r="EW181" s="113">
        <v>0</v>
      </c>
      <c r="EX181" s="113">
        <v>0</v>
      </c>
      <c r="EY181" s="113">
        <v>0</v>
      </c>
      <c r="EZ181" s="113">
        <v>0</v>
      </c>
      <c r="FA181" s="113">
        <v>0</v>
      </c>
      <c r="FB181" s="113">
        <v>0</v>
      </c>
      <c r="FC181" s="113">
        <v>0</v>
      </c>
      <c r="FD181" s="113">
        <v>0</v>
      </c>
      <c r="FE181" s="113">
        <v>0</v>
      </c>
      <c r="FF181" s="113">
        <v>0</v>
      </c>
      <c r="FG181" s="113">
        <v>0</v>
      </c>
      <c r="FH181" s="113">
        <v>0</v>
      </c>
      <c r="FI181" s="113">
        <v>0</v>
      </c>
      <c r="FJ181" s="113">
        <v>0</v>
      </c>
      <c r="FK181" s="113">
        <v>0</v>
      </c>
      <c r="FL181" s="113">
        <v>0</v>
      </c>
      <c r="FM181" s="113">
        <v>0</v>
      </c>
      <c r="FN181" s="113">
        <v>0</v>
      </c>
      <c r="FO181" s="113">
        <v>0</v>
      </c>
      <c r="FP181" s="113">
        <v>0</v>
      </c>
      <c r="FQ181" s="113">
        <v>0</v>
      </c>
      <c r="FR181" s="113">
        <v>0</v>
      </c>
      <c r="FS181" s="113">
        <v>0</v>
      </c>
      <c r="FT181" s="113">
        <v>0</v>
      </c>
      <c r="FU181" s="113">
        <v>0</v>
      </c>
      <c r="FV181" s="113">
        <v>0</v>
      </c>
      <c r="FW181" s="113">
        <v>0</v>
      </c>
      <c r="FX181" s="32">
        <v>0</v>
      </c>
      <c r="FY181" s="30">
        <v>0</v>
      </c>
      <c r="FZ181" s="30">
        <v>0</v>
      </c>
    </row>
    <row r="182" spans="1:182" x14ac:dyDescent="0.2">
      <c r="A182" s="28">
        <v>37104</v>
      </c>
      <c r="B182" s="28"/>
      <c r="C182" s="29">
        <v>222095</v>
      </c>
      <c r="D182" s="29">
        <v>224434</v>
      </c>
      <c r="E182" s="29">
        <f t="shared" si="4"/>
        <v>446529</v>
      </c>
      <c r="F182" s="30">
        <v>3522456</v>
      </c>
      <c r="G182" s="30">
        <v>111666</v>
      </c>
      <c r="H182" s="30">
        <f t="shared" si="5"/>
        <v>3634122</v>
      </c>
      <c r="I182" s="42" t="s">
        <v>75</v>
      </c>
      <c r="J182" s="42" t="s">
        <v>75</v>
      </c>
      <c r="K182" s="32">
        <v>4232447</v>
      </c>
      <c r="L182" s="31" t="s">
        <v>75</v>
      </c>
      <c r="M182" s="31" t="s">
        <v>75</v>
      </c>
      <c r="N182" s="30">
        <v>10051149</v>
      </c>
      <c r="O182" s="31" t="s">
        <v>75</v>
      </c>
      <c r="P182" s="31" t="s">
        <v>75</v>
      </c>
      <c r="Q182" s="30">
        <v>13655086</v>
      </c>
      <c r="R182" s="31" t="s">
        <v>75</v>
      </c>
      <c r="S182" s="31" t="s">
        <v>75</v>
      </c>
      <c r="T182" s="32">
        <v>111944</v>
      </c>
      <c r="U182" s="31" t="s">
        <v>75</v>
      </c>
      <c r="V182" s="31" t="s">
        <v>75</v>
      </c>
      <c r="W182" s="31" t="s">
        <v>75</v>
      </c>
      <c r="X182" s="31" t="s">
        <v>75</v>
      </c>
      <c r="Y182" s="31" t="s">
        <v>75</v>
      </c>
      <c r="Z182" s="30">
        <v>49651</v>
      </c>
      <c r="AA182" s="31" t="s">
        <v>75</v>
      </c>
      <c r="AB182" s="31" t="s">
        <v>75</v>
      </c>
      <c r="AC182" s="30">
        <v>91117</v>
      </c>
      <c r="AD182" s="31" t="s">
        <v>75</v>
      </c>
      <c r="AE182" s="31" t="s">
        <v>75</v>
      </c>
      <c r="AF182" s="30">
        <v>2470</v>
      </c>
      <c r="AG182" s="42" t="s">
        <v>75</v>
      </c>
      <c r="AH182" s="42" t="s">
        <v>75</v>
      </c>
      <c r="AI182" s="32">
        <v>51464</v>
      </c>
      <c r="AJ182" s="31" t="s">
        <v>75</v>
      </c>
      <c r="AK182" s="31" t="s">
        <v>75</v>
      </c>
      <c r="AL182" s="31" t="s">
        <v>75</v>
      </c>
      <c r="AM182" s="31"/>
      <c r="AN182" s="31"/>
      <c r="AO182" s="31"/>
      <c r="AP182" s="31"/>
      <c r="AQ182" s="31"/>
      <c r="AR182" s="31"/>
      <c r="AS182" s="31" t="s">
        <v>75</v>
      </c>
      <c r="AT182" s="31" t="s">
        <v>75</v>
      </c>
      <c r="AU182" s="31" t="s">
        <v>75</v>
      </c>
      <c r="AV182" s="31" t="s">
        <v>75</v>
      </c>
      <c r="AW182" s="31" t="s">
        <v>75</v>
      </c>
      <c r="AX182" s="31" t="s">
        <v>75</v>
      </c>
      <c r="AY182" s="31" t="s">
        <v>75</v>
      </c>
      <c r="AZ182" s="31" t="s">
        <v>75</v>
      </c>
      <c r="BA182" s="29">
        <v>14111103</v>
      </c>
      <c r="BB182" s="31" t="s">
        <v>75</v>
      </c>
      <c r="BC182" s="31" t="s">
        <v>75</v>
      </c>
      <c r="BD182" s="29">
        <v>1270352</v>
      </c>
      <c r="BE182" s="113">
        <v>0</v>
      </c>
      <c r="BF182" s="113">
        <v>0</v>
      </c>
      <c r="BG182" s="113">
        <v>0</v>
      </c>
      <c r="BH182" s="113">
        <v>0</v>
      </c>
      <c r="BI182" s="113">
        <v>0</v>
      </c>
      <c r="BJ182" s="113">
        <v>0</v>
      </c>
      <c r="BK182" s="113">
        <v>0</v>
      </c>
      <c r="BL182" s="113">
        <v>0</v>
      </c>
      <c r="BM182" s="113">
        <v>0</v>
      </c>
      <c r="BN182" s="113">
        <v>0</v>
      </c>
      <c r="BO182" s="113">
        <v>0</v>
      </c>
      <c r="BP182" s="113">
        <v>0</v>
      </c>
      <c r="BQ182" s="113">
        <v>0</v>
      </c>
      <c r="BR182" s="113">
        <v>0</v>
      </c>
      <c r="BS182" s="113">
        <v>0</v>
      </c>
      <c r="BT182" s="113">
        <v>0</v>
      </c>
      <c r="BU182" s="113">
        <v>0</v>
      </c>
      <c r="BV182" s="113">
        <v>0</v>
      </c>
      <c r="BW182" s="113"/>
      <c r="BX182" s="113"/>
      <c r="BY182" s="113"/>
      <c r="BZ182" s="113">
        <v>0</v>
      </c>
      <c r="CA182" s="113">
        <v>0</v>
      </c>
      <c r="CB182" s="113">
        <v>0</v>
      </c>
      <c r="CC182" s="113"/>
      <c r="CD182" s="113"/>
      <c r="CE182" s="113"/>
      <c r="CF182" s="113">
        <v>0</v>
      </c>
      <c r="CG182" s="113">
        <v>0</v>
      </c>
      <c r="CH182" s="113">
        <v>0</v>
      </c>
      <c r="CI182" s="113">
        <v>0</v>
      </c>
      <c r="CJ182" s="113">
        <v>0</v>
      </c>
      <c r="CK182" s="113">
        <v>0</v>
      </c>
      <c r="CL182" s="113">
        <v>0</v>
      </c>
      <c r="CM182" s="113">
        <v>0</v>
      </c>
      <c r="CN182" s="113">
        <v>0</v>
      </c>
      <c r="CO182" s="113">
        <v>0</v>
      </c>
      <c r="CP182" s="113">
        <v>0</v>
      </c>
      <c r="CQ182" s="113">
        <v>0</v>
      </c>
      <c r="CR182" s="113">
        <v>0</v>
      </c>
      <c r="CS182" s="113">
        <v>0</v>
      </c>
      <c r="CT182" s="113">
        <v>0</v>
      </c>
      <c r="CU182" s="113">
        <v>0</v>
      </c>
      <c r="CV182" s="113">
        <v>0</v>
      </c>
      <c r="CW182" s="113">
        <v>0</v>
      </c>
      <c r="CX182" s="113">
        <v>0</v>
      </c>
      <c r="CY182" s="113">
        <v>0</v>
      </c>
      <c r="CZ182" s="113">
        <v>0</v>
      </c>
      <c r="DA182" s="113">
        <v>0</v>
      </c>
      <c r="DB182" s="113">
        <v>0</v>
      </c>
      <c r="DC182" s="113">
        <v>0</v>
      </c>
      <c r="DD182" s="113">
        <v>0</v>
      </c>
      <c r="DE182" s="113">
        <v>0</v>
      </c>
      <c r="DF182" s="113">
        <v>0</v>
      </c>
      <c r="DG182" s="113">
        <v>0</v>
      </c>
      <c r="DH182" s="113">
        <v>0</v>
      </c>
      <c r="DI182" s="113">
        <v>0</v>
      </c>
      <c r="DJ182" s="113">
        <v>0</v>
      </c>
      <c r="DK182" s="113">
        <v>0</v>
      </c>
      <c r="DL182" s="113">
        <v>0</v>
      </c>
      <c r="DM182" s="113">
        <v>0</v>
      </c>
      <c r="DN182" s="113">
        <v>0</v>
      </c>
      <c r="DO182" s="113">
        <v>0</v>
      </c>
      <c r="DP182" s="113">
        <v>0</v>
      </c>
      <c r="DQ182" s="113">
        <v>0</v>
      </c>
      <c r="DR182" s="113">
        <v>0</v>
      </c>
      <c r="DS182" s="113">
        <v>0</v>
      </c>
      <c r="DT182" s="113">
        <v>0</v>
      </c>
      <c r="DU182" s="113">
        <v>0</v>
      </c>
      <c r="DV182" s="113">
        <v>0</v>
      </c>
      <c r="DW182" s="113">
        <v>0</v>
      </c>
      <c r="DX182" s="113">
        <v>0</v>
      </c>
      <c r="DY182" s="113">
        <v>0</v>
      </c>
      <c r="DZ182" s="113">
        <v>0</v>
      </c>
      <c r="EA182" s="113">
        <v>0</v>
      </c>
      <c r="EB182" s="113">
        <v>0</v>
      </c>
      <c r="EC182" s="113">
        <v>0</v>
      </c>
      <c r="ED182" s="113">
        <v>0</v>
      </c>
      <c r="EE182" s="113">
        <v>0</v>
      </c>
      <c r="EF182" s="113">
        <v>0</v>
      </c>
      <c r="EG182" s="113">
        <v>0</v>
      </c>
      <c r="EH182" s="113">
        <v>0</v>
      </c>
      <c r="EI182" s="113">
        <v>0</v>
      </c>
      <c r="EJ182" s="113">
        <v>0</v>
      </c>
      <c r="EK182" s="113">
        <v>0</v>
      </c>
      <c r="EL182" s="113">
        <v>0</v>
      </c>
      <c r="EM182" s="113">
        <v>0</v>
      </c>
      <c r="EN182" s="113">
        <v>0</v>
      </c>
      <c r="EO182" s="113">
        <v>0</v>
      </c>
      <c r="EP182" s="113">
        <v>0</v>
      </c>
      <c r="EQ182" s="113">
        <v>0</v>
      </c>
      <c r="ER182" s="113">
        <v>0</v>
      </c>
      <c r="ES182" s="113">
        <v>0</v>
      </c>
      <c r="ET182" s="113">
        <v>0</v>
      </c>
      <c r="EU182" s="113">
        <v>0</v>
      </c>
      <c r="EV182" s="113">
        <v>0</v>
      </c>
      <c r="EW182" s="113">
        <v>0</v>
      </c>
      <c r="EX182" s="113">
        <v>0</v>
      </c>
      <c r="EY182" s="113">
        <v>0</v>
      </c>
      <c r="EZ182" s="113">
        <v>0</v>
      </c>
      <c r="FA182" s="113">
        <v>0</v>
      </c>
      <c r="FB182" s="113">
        <v>0</v>
      </c>
      <c r="FC182" s="113">
        <v>0</v>
      </c>
      <c r="FD182" s="113">
        <v>0</v>
      </c>
      <c r="FE182" s="113">
        <v>0</v>
      </c>
      <c r="FF182" s="113">
        <v>0</v>
      </c>
      <c r="FG182" s="113">
        <v>0</v>
      </c>
      <c r="FH182" s="113">
        <v>0</v>
      </c>
      <c r="FI182" s="113">
        <v>0</v>
      </c>
      <c r="FJ182" s="113">
        <v>0</v>
      </c>
      <c r="FK182" s="113">
        <v>0</v>
      </c>
      <c r="FL182" s="113">
        <v>0</v>
      </c>
      <c r="FM182" s="113">
        <v>0</v>
      </c>
      <c r="FN182" s="113">
        <v>0</v>
      </c>
      <c r="FO182" s="113">
        <v>0</v>
      </c>
      <c r="FP182" s="113">
        <v>0</v>
      </c>
      <c r="FQ182" s="113">
        <v>0</v>
      </c>
      <c r="FR182" s="113">
        <v>0</v>
      </c>
      <c r="FS182" s="113">
        <v>0</v>
      </c>
      <c r="FT182" s="113">
        <v>0</v>
      </c>
      <c r="FU182" s="113">
        <v>0</v>
      </c>
      <c r="FV182" s="113">
        <v>0</v>
      </c>
      <c r="FW182" s="113">
        <v>0</v>
      </c>
      <c r="FX182" s="32">
        <v>0</v>
      </c>
      <c r="FY182" s="30">
        <v>0</v>
      </c>
      <c r="FZ182" s="30">
        <v>0</v>
      </c>
    </row>
    <row r="183" spans="1:182" x14ac:dyDescent="0.2">
      <c r="A183" s="28">
        <v>37135</v>
      </c>
      <c r="B183" s="28"/>
      <c r="C183" s="29">
        <v>237790</v>
      </c>
      <c r="D183" s="29">
        <v>170713</v>
      </c>
      <c r="E183" s="29">
        <f t="shared" si="4"/>
        <v>408503</v>
      </c>
      <c r="F183" s="30">
        <v>3175034</v>
      </c>
      <c r="G183" s="30">
        <v>79736</v>
      </c>
      <c r="H183" s="30">
        <f t="shared" si="5"/>
        <v>3254770</v>
      </c>
      <c r="I183" s="42" t="s">
        <v>75</v>
      </c>
      <c r="J183" s="42" t="s">
        <v>75</v>
      </c>
      <c r="K183" s="32">
        <v>3556689</v>
      </c>
      <c r="L183" s="31" t="s">
        <v>75</v>
      </c>
      <c r="M183" s="31" t="s">
        <v>75</v>
      </c>
      <c r="N183" s="30">
        <v>9027366</v>
      </c>
      <c r="O183" s="31" t="s">
        <v>75</v>
      </c>
      <c r="P183" s="31" t="s">
        <v>75</v>
      </c>
      <c r="Q183" s="30">
        <v>13227440</v>
      </c>
      <c r="R183" s="31" t="s">
        <v>75</v>
      </c>
      <c r="S183" s="31" t="s">
        <v>75</v>
      </c>
      <c r="T183" s="32">
        <v>97223</v>
      </c>
      <c r="U183" s="31" t="s">
        <v>75</v>
      </c>
      <c r="V183" s="31" t="s">
        <v>75</v>
      </c>
      <c r="W183" s="31" t="s">
        <v>75</v>
      </c>
      <c r="X183" s="31" t="s">
        <v>75</v>
      </c>
      <c r="Y183" s="31" t="s">
        <v>75</v>
      </c>
      <c r="Z183" s="30">
        <v>48747</v>
      </c>
      <c r="AA183" s="31" t="s">
        <v>75</v>
      </c>
      <c r="AB183" s="31" t="s">
        <v>75</v>
      </c>
      <c r="AC183" s="30">
        <v>79857</v>
      </c>
      <c r="AD183" s="31" t="s">
        <v>75</v>
      </c>
      <c r="AE183" s="31" t="s">
        <v>75</v>
      </c>
      <c r="AF183" s="30">
        <v>3434</v>
      </c>
      <c r="AG183" s="42" t="s">
        <v>75</v>
      </c>
      <c r="AH183" s="42" t="s">
        <v>75</v>
      </c>
      <c r="AI183" s="32">
        <v>42083</v>
      </c>
      <c r="AJ183" s="31" t="s">
        <v>75</v>
      </c>
      <c r="AK183" s="31" t="s">
        <v>75</v>
      </c>
      <c r="AL183" s="31" t="s">
        <v>75</v>
      </c>
      <c r="AM183" s="31"/>
      <c r="AN183" s="31"/>
      <c r="AO183" s="31"/>
      <c r="AP183" s="31"/>
      <c r="AQ183" s="31"/>
      <c r="AR183" s="31"/>
      <c r="AS183" s="31" t="s">
        <v>75</v>
      </c>
      <c r="AT183" s="31" t="s">
        <v>75</v>
      </c>
      <c r="AU183" s="31" t="s">
        <v>75</v>
      </c>
      <c r="AV183" s="31" t="s">
        <v>75</v>
      </c>
      <c r="AW183" s="31" t="s">
        <v>75</v>
      </c>
      <c r="AX183" s="31" t="s">
        <v>75</v>
      </c>
      <c r="AY183" s="31" t="s">
        <v>75</v>
      </c>
      <c r="AZ183" s="31" t="s">
        <v>75</v>
      </c>
      <c r="BA183" s="29">
        <v>12608467</v>
      </c>
      <c r="BB183" s="31" t="s">
        <v>75</v>
      </c>
      <c r="BC183" s="31" t="s">
        <v>75</v>
      </c>
      <c r="BD183" s="29">
        <v>1230595</v>
      </c>
      <c r="BE183" s="113">
        <v>0</v>
      </c>
      <c r="BF183" s="113">
        <v>0</v>
      </c>
      <c r="BG183" s="113">
        <v>0</v>
      </c>
      <c r="BH183" s="113">
        <v>0</v>
      </c>
      <c r="BI183" s="113">
        <v>0</v>
      </c>
      <c r="BJ183" s="113">
        <v>0</v>
      </c>
      <c r="BK183" s="113">
        <v>0</v>
      </c>
      <c r="BL183" s="113">
        <v>0</v>
      </c>
      <c r="BM183" s="113">
        <v>0</v>
      </c>
      <c r="BN183" s="113">
        <v>0</v>
      </c>
      <c r="BO183" s="113">
        <v>0</v>
      </c>
      <c r="BP183" s="113">
        <v>0</v>
      </c>
      <c r="BQ183" s="113">
        <v>0</v>
      </c>
      <c r="BR183" s="113">
        <v>0</v>
      </c>
      <c r="BS183" s="113">
        <v>0</v>
      </c>
      <c r="BT183" s="113">
        <v>0</v>
      </c>
      <c r="BU183" s="113">
        <v>0</v>
      </c>
      <c r="BV183" s="113">
        <v>0</v>
      </c>
      <c r="BW183" s="113"/>
      <c r="BX183" s="113"/>
      <c r="BY183" s="113"/>
      <c r="BZ183" s="113">
        <v>0</v>
      </c>
      <c r="CA183" s="113">
        <v>0</v>
      </c>
      <c r="CB183" s="113">
        <v>0</v>
      </c>
      <c r="CC183" s="113"/>
      <c r="CD183" s="113"/>
      <c r="CE183" s="113"/>
      <c r="CF183" s="113">
        <v>0</v>
      </c>
      <c r="CG183" s="113">
        <v>0</v>
      </c>
      <c r="CH183" s="113">
        <v>0</v>
      </c>
      <c r="CI183" s="113">
        <v>0</v>
      </c>
      <c r="CJ183" s="113">
        <v>0</v>
      </c>
      <c r="CK183" s="113">
        <v>0</v>
      </c>
      <c r="CL183" s="113">
        <v>0</v>
      </c>
      <c r="CM183" s="113">
        <v>0</v>
      </c>
      <c r="CN183" s="113">
        <v>0</v>
      </c>
      <c r="CO183" s="113">
        <v>0</v>
      </c>
      <c r="CP183" s="113">
        <v>0</v>
      </c>
      <c r="CQ183" s="113">
        <v>0</v>
      </c>
      <c r="CR183" s="113">
        <v>0</v>
      </c>
      <c r="CS183" s="113">
        <v>0</v>
      </c>
      <c r="CT183" s="113">
        <v>0</v>
      </c>
      <c r="CU183" s="113">
        <v>0</v>
      </c>
      <c r="CV183" s="113">
        <v>0</v>
      </c>
      <c r="CW183" s="113">
        <v>0</v>
      </c>
      <c r="CX183" s="113">
        <v>0</v>
      </c>
      <c r="CY183" s="113">
        <v>0</v>
      </c>
      <c r="CZ183" s="113">
        <v>0</v>
      </c>
      <c r="DA183" s="113">
        <v>0</v>
      </c>
      <c r="DB183" s="113">
        <v>0</v>
      </c>
      <c r="DC183" s="113">
        <v>0</v>
      </c>
      <c r="DD183" s="113">
        <v>0</v>
      </c>
      <c r="DE183" s="113">
        <v>0</v>
      </c>
      <c r="DF183" s="113">
        <v>0</v>
      </c>
      <c r="DG183" s="113">
        <v>0</v>
      </c>
      <c r="DH183" s="113">
        <v>0</v>
      </c>
      <c r="DI183" s="113">
        <v>0</v>
      </c>
      <c r="DJ183" s="113">
        <v>0</v>
      </c>
      <c r="DK183" s="113">
        <v>0</v>
      </c>
      <c r="DL183" s="113">
        <v>0</v>
      </c>
      <c r="DM183" s="113">
        <v>0</v>
      </c>
      <c r="DN183" s="113">
        <v>0</v>
      </c>
      <c r="DO183" s="113">
        <v>0</v>
      </c>
      <c r="DP183" s="113">
        <v>0</v>
      </c>
      <c r="DQ183" s="113">
        <v>0</v>
      </c>
      <c r="DR183" s="113">
        <v>0</v>
      </c>
      <c r="DS183" s="113">
        <v>0</v>
      </c>
      <c r="DT183" s="113">
        <v>0</v>
      </c>
      <c r="DU183" s="113">
        <v>0</v>
      </c>
      <c r="DV183" s="113">
        <v>0</v>
      </c>
      <c r="DW183" s="113">
        <v>0</v>
      </c>
      <c r="DX183" s="113">
        <v>0</v>
      </c>
      <c r="DY183" s="113">
        <v>0</v>
      </c>
      <c r="DZ183" s="113">
        <v>0</v>
      </c>
      <c r="EA183" s="113">
        <v>0</v>
      </c>
      <c r="EB183" s="113">
        <v>0</v>
      </c>
      <c r="EC183" s="113">
        <v>0</v>
      </c>
      <c r="ED183" s="113">
        <v>0</v>
      </c>
      <c r="EE183" s="113">
        <v>0</v>
      </c>
      <c r="EF183" s="113">
        <v>0</v>
      </c>
      <c r="EG183" s="113">
        <v>0</v>
      </c>
      <c r="EH183" s="113">
        <v>0</v>
      </c>
      <c r="EI183" s="113">
        <v>0</v>
      </c>
      <c r="EJ183" s="113">
        <v>0</v>
      </c>
      <c r="EK183" s="113">
        <v>0</v>
      </c>
      <c r="EL183" s="113">
        <v>0</v>
      </c>
      <c r="EM183" s="113">
        <v>0</v>
      </c>
      <c r="EN183" s="113">
        <v>0</v>
      </c>
      <c r="EO183" s="113">
        <v>0</v>
      </c>
      <c r="EP183" s="113">
        <v>0</v>
      </c>
      <c r="EQ183" s="113">
        <v>0</v>
      </c>
      <c r="ER183" s="113">
        <v>0</v>
      </c>
      <c r="ES183" s="113">
        <v>0</v>
      </c>
      <c r="ET183" s="113">
        <v>0</v>
      </c>
      <c r="EU183" s="113">
        <v>0</v>
      </c>
      <c r="EV183" s="113">
        <v>0</v>
      </c>
      <c r="EW183" s="113">
        <v>0</v>
      </c>
      <c r="EX183" s="113">
        <v>0</v>
      </c>
      <c r="EY183" s="113">
        <v>0</v>
      </c>
      <c r="EZ183" s="113">
        <v>0</v>
      </c>
      <c r="FA183" s="113">
        <v>0</v>
      </c>
      <c r="FB183" s="113">
        <v>0</v>
      </c>
      <c r="FC183" s="113">
        <v>0</v>
      </c>
      <c r="FD183" s="113">
        <v>0</v>
      </c>
      <c r="FE183" s="113">
        <v>0</v>
      </c>
      <c r="FF183" s="113">
        <v>0</v>
      </c>
      <c r="FG183" s="113">
        <v>0</v>
      </c>
      <c r="FH183" s="113">
        <v>0</v>
      </c>
      <c r="FI183" s="113">
        <v>0</v>
      </c>
      <c r="FJ183" s="113">
        <v>0</v>
      </c>
      <c r="FK183" s="113">
        <v>0</v>
      </c>
      <c r="FL183" s="113">
        <v>0</v>
      </c>
      <c r="FM183" s="113">
        <v>0</v>
      </c>
      <c r="FN183" s="113">
        <v>0</v>
      </c>
      <c r="FO183" s="113">
        <v>0</v>
      </c>
      <c r="FP183" s="113">
        <v>0</v>
      </c>
      <c r="FQ183" s="113">
        <v>0</v>
      </c>
      <c r="FR183" s="113">
        <v>0</v>
      </c>
      <c r="FS183" s="113">
        <v>0</v>
      </c>
      <c r="FT183" s="113">
        <v>0</v>
      </c>
      <c r="FU183" s="113">
        <v>0</v>
      </c>
      <c r="FV183" s="113">
        <v>0</v>
      </c>
      <c r="FW183" s="113">
        <v>0</v>
      </c>
      <c r="FX183" s="32">
        <v>0</v>
      </c>
      <c r="FY183" s="30">
        <v>0</v>
      </c>
      <c r="FZ183" s="30">
        <v>0</v>
      </c>
    </row>
    <row r="184" spans="1:182" x14ac:dyDescent="0.2">
      <c r="A184" s="28">
        <v>37165</v>
      </c>
      <c r="B184" s="28"/>
      <c r="C184" s="29">
        <v>285841</v>
      </c>
      <c r="D184" s="29">
        <v>224921</v>
      </c>
      <c r="E184" s="29">
        <f t="shared" si="4"/>
        <v>510762</v>
      </c>
      <c r="F184" s="30">
        <v>6336436</v>
      </c>
      <c r="G184" s="30">
        <v>317677</v>
      </c>
      <c r="H184" s="30">
        <f t="shared" si="5"/>
        <v>6654113</v>
      </c>
      <c r="I184" s="42" t="s">
        <v>75</v>
      </c>
      <c r="J184" s="42" t="s">
        <v>75</v>
      </c>
      <c r="K184" s="32">
        <v>4106924</v>
      </c>
      <c r="L184" s="31" t="s">
        <v>75</v>
      </c>
      <c r="M184" s="31" t="s">
        <v>75</v>
      </c>
      <c r="N184" s="30">
        <v>9916398</v>
      </c>
      <c r="O184" s="31" t="s">
        <v>75</v>
      </c>
      <c r="P184" s="31" t="s">
        <v>75</v>
      </c>
      <c r="Q184" s="30">
        <v>14557829</v>
      </c>
      <c r="R184" s="31" t="s">
        <v>75</v>
      </c>
      <c r="S184" s="31" t="s">
        <v>75</v>
      </c>
      <c r="T184" s="32">
        <v>142248</v>
      </c>
      <c r="U184" s="31" t="s">
        <v>75</v>
      </c>
      <c r="V184" s="31" t="s">
        <v>75</v>
      </c>
      <c r="W184" s="31" t="s">
        <v>75</v>
      </c>
      <c r="X184" s="31" t="s">
        <v>75</v>
      </c>
      <c r="Y184" s="31" t="s">
        <v>75</v>
      </c>
      <c r="Z184" s="30">
        <v>94201</v>
      </c>
      <c r="AA184" s="31" t="s">
        <v>75</v>
      </c>
      <c r="AB184" s="31" t="s">
        <v>75</v>
      </c>
      <c r="AC184" s="30">
        <v>95730</v>
      </c>
      <c r="AD184" s="31" t="s">
        <v>75</v>
      </c>
      <c r="AE184" s="31" t="s">
        <v>75</v>
      </c>
      <c r="AF184" s="30">
        <v>6521</v>
      </c>
      <c r="AG184" s="42" t="s">
        <v>75</v>
      </c>
      <c r="AH184" s="42" t="s">
        <v>75</v>
      </c>
      <c r="AI184" s="32">
        <v>71417</v>
      </c>
      <c r="AJ184" s="31" t="s">
        <v>75</v>
      </c>
      <c r="AK184" s="31" t="s">
        <v>75</v>
      </c>
      <c r="AL184" s="31" t="s">
        <v>75</v>
      </c>
      <c r="AM184" s="31"/>
      <c r="AN184" s="31"/>
      <c r="AO184" s="31"/>
      <c r="AP184" s="31"/>
      <c r="AQ184" s="31"/>
      <c r="AR184" s="31"/>
      <c r="AS184" s="31" t="s">
        <v>75</v>
      </c>
      <c r="AT184" s="31" t="s">
        <v>75</v>
      </c>
      <c r="AU184" s="31" t="s">
        <v>75</v>
      </c>
      <c r="AV184" s="31" t="s">
        <v>75</v>
      </c>
      <c r="AW184" s="31" t="s">
        <v>75</v>
      </c>
      <c r="AX184" s="31" t="s">
        <v>75</v>
      </c>
      <c r="AY184" s="31" t="s">
        <v>75</v>
      </c>
      <c r="AZ184" s="31" t="s">
        <v>75</v>
      </c>
      <c r="BA184" s="29">
        <v>15010953</v>
      </c>
      <c r="BB184" s="31" t="s">
        <v>75</v>
      </c>
      <c r="BC184" s="31" t="s">
        <v>75</v>
      </c>
      <c r="BD184" s="29">
        <v>1414730</v>
      </c>
      <c r="BE184" s="113">
        <v>0</v>
      </c>
      <c r="BF184" s="113">
        <v>0</v>
      </c>
      <c r="BG184" s="113">
        <v>0</v>
      </c>
      <c r="BH184" s="113">
        <v>0</v>
      </c>
      <c r="BI184" s="113">
        <v>0</v>
      </c>
      <c r="BJ184" s="113">
        <v>0</v>
      </c>
      <c r="BK184" s="113">
        <v>0</v>
      </c>
      <c r="BL184" s="113">
        <v>0</v>
      </c>
      <c r="BM184" s="113">
        <v>0</v>
      </c>
      <c r="BN184" s="113">
        <v>0</v>
      </c>
      <c r="BO184" s="113">
        <v>0</v>
      </c>
      <c r="BP184" s="113">
        <v>0</v>
      </c>
      <c r="BQ184" s="113">
        <v>0</v>
      </c>
      <c r="BR184" s="113">
        <v>0</v>
      </c>
      <c r="BS184" s="113">
        <v>0</v>
      </c>
      <c r="BT184" s="113">
        <v>0</v>
      </c>
      <c r="BU184" s="113">
        <v>0</v>
      </c>
      <c r="BV184" s="113">
        <v>0</v>
      </c>
      <c r="BW184" s="113"/>
      <c r="BX184" s="113"/>
      <c r="BY184" s="113"/>
      <c r="BZ184" s="113">
        <v>0</v>
      </c>
      <c r="CA184" s="113">
        <v>0</v>
      </c>
      <c r="CB184" s="113">
        <v>0</v>
      </c>
      <c r="CC184" s="113"/>
      <c r="CD184" s="113"/>
      <c r="CE184" s="113"/>
      <c r="CF184" s="113">
        <v>0</v>
      </c>
      <c r="CG184" s="113">
        <v>0</v>
      </c>
      <c r="CH184" s="113">
        <v>0</v>
      </c>
      <c r="CI184" s="113">
        <v>0</v>
      </c>
      <c r="CJ184" s="113">
        <v>0</v>
      </c>
      <c r="CK184" s="113">
        <v>0</v>
      </c>
      <c r="CL184" s="113">
        <v>0</v>
      </c>
      <c r="CM184" s="113">
        <v>0</v>
      </c>
      <c r="CN184" s="113">
        <v>0</v>
      </c>
      <c r="CO184" s="113">
        <v>0</v>
      </c>
      <c r="CP184" s="113">
        <v>0</v>
      </c>
      <c r="CQ184" s="113">
        <v>0</v>
      </c>
      <c r="CR184" s="113">
        <v>0</v>
      </c>
      <c r="CS184" s="113">
        <v>0</v>
      </c>
      <c r="CT184" s="113">
        <v>0</v>
      </c>
      <c r="CU184" s="113">
        <v>0</v>
      </c>
      <c r="CV184" s="113">
        <v>0</v>
      </c>
      <c r="CW184" s="113">
        <v>0</v>
      </c>
      <c r="CX184" s="113">
        <v>0</v>
      </c>
      <c r="CY184" s="113">
        <v>0</v>
      </c>
      <c r="CZ184" s="113">
        <v>0</v>
      </c>
      <c r="DA184" s="113">
        <v>0</v>
      </c>
      <c r="DB184" s="113">
        <v>0</v>
      </c>
      <c r="DC184" s="113">
        <v>0</v>
      </c>
      <c r="DD184" s="113">
        <v>0</v>
      </c>
      <c r="DE184" s="113">
        <v>0</v>
      </c>
      <c r="DF184" s="113">
        <v>0</v>
      </c>
      <c r="DG184" s="113">
        <v>0</v>
      </c>
      <c r="DH184" s="113">
        <v>0</v>
      </c>
      <c r="DI184" s="113">
        <v>0</v>
      </c>
      <c r="DJ184" s="113">
        <v>0</v>
      </c>
      <c r="DK184" s="113">
        <v>0</v>
      </c>
      <c r="DL184" s="113">
        <v>0</v>
      </c>
      <c r="DM184" s="113">
        <v>0</v>
      </c>
      <c r="DN184" s="113">
        <v>0</v>
      </c>
      <c r="DO184" s="113">
        <v>0</v>
      </c>
      <c r="DP184" s="113">
        <v>0</v>
      </c>
      <c r="DQ184" s="113">
        <v>0</v>
      </c>
      <c r="DR184" s="113">
        <v>0</v>
      </c>
      <c r="DS184" s="113">
        <v>0</v>
      </c>
      <c r="DT184" s="113">
        <v>0</v>
      </c>
      <c r="DU184" s="113">
        <v>0</v>
      </c>
      <c r="DV184" s="113">
        <v>0</v>
      </c>
      <c r="DW184" s="113">
        <v>0</v>
      </c>
      <c r="DX184" s="113">
        <v>0</v>
      </c>
      <c r="DY184" s="113">
        <v>0</v>
      </c>
      <c r="DZ184" s="113">
        <v>0</v>
      </c>
      <c r="EA184" s="113">
        <v>0</v>
      </c>
      <c r="EB184" s="113">
        <v>0</v>
      </c>
      <c r="EC184" s="113">
        <v>0</v>
      </c>
      <c r="ED184" s="113">
        <v>0</v>
      </c>
      <c r="EE184" s="113">
        <v>0</v>
      </c>
      <c r="EF184" s="113">
        <v>0</v>
      </c>
      <c r="EG184" s="113">
        <v>0</v>
      </c>
      <c r="EH184" s="113">
        <v>0</v>
      </c>
      <c r="EI184" s="113">
        <v>0</v>
      </c>
      <c r="EJ184" s="113">
        <v>0</v>
      </c>
      <c r="EK184" s="113">
        <v>0</v>
      </c>
      <c r="EL184" s="113">
        <v>0</v>
      </c>
      <c r="EM184" s="113">
        <v>0</v>
      </c>
      <c r="EN184" s="113">
        <v>0</v>
      </c>
      <c r="EO184" s="113">
        <v>0</v>
      </c>
      <c r="EP184" s="113">
        <v>0</v>
      </c>
      <c r="EQ184" s="113">
        <v>0</v>
      </c>
      <c r="ER184" s="113">
        <v>0</v>
      </c>
      <c r="ES184" s="113">
        <v>0</v>
      </c>
      <c r="ET184" s="113">
        <v>0</v>
      </c>
      <c r="EU184" s="113">
        <v>0</v>
      </c>
      <c r="EV184" s="113">
        <v>0</v>
      </c>
      <c r="EW184" s="113">
        <v>0</v>
      </c>
      <c r="EX184" s="113">
        <v>0</v>
      </c>
      <c r="EY184" s="113">
        <v>0</v>
      </c>
      <c r="EZ184" s="113">
        <v>0</v>
      </c>
      <c r="FA184" s="113">
        <v>0</v>
      </c>
      <c r="FB184" s="113">
        <v>0</v>
      </c>
      <c r="FC184" s="113">
        <v>0</v>
      </c>
      <c r="FD184" s="113">
        <v>0</v>
      </c>
      <c r="FE184" s="113">
        <v>0</v>
      </c>
      <c r="FF184" s="113">
        <v>0</v>
      </c>
      <c r="FG184" s="113">
        <v>0</v>
      </c>
      <c r="FH184" s="113">
        <v>0</v>
      </c>
      <c r="FI184" s="113">
        <v>0</v>
      </c>
      <c r="FJ184" s="113">
        <v>0</v>
      </c>
      <c r="FK184" s="113">
        <v>0</v>
      </c>
      <c r="FL184" s="113">
        <v>0</v>
      </c>
      <c r="FM184" s="113">
        <v>0</v>
      </c>
      <c r="FN184" s="113">
        <v>0</v>
      </c>
      <c r="FO184" s="113">
        <v>0</v>
      </c>
      <c r="FP184" s="113">
        <v>0</v>
      </c>
      <c r="FQ184" s="113">
        <v>0</v>
      </c>
      <c r="FR184" s="113">
        <v>0</v>
      </c>
      <c r="FS184" s="113">
        <v>0</v>
      </c>
      <c r="FT184" s="113">
        <v>0</v>
      </c>
      <c r="FU184" s="113">
        <v>0</v>
      </c>
      <c r="FV184" s="113">
        <v>0</v>
      </c>
      <c r="FW184" s="113">
        <v>0</v>
      </c>
      <c r="FX184" s="32">
        <v>0</v>
      </c>
      <c r="FY184" s="30">
        <v>0</v>
      </c>
      <c r="FZ184" s="30">
        <v>0</v>
      </c>
    </row>
    <row r="185" spans="1:182" x14ac:dyDescent="0.2">
      <c r="A185" s="28">
        <v>37196</v>
      </c>
      <c r="B185" s="28"/>
      <c r="C185" s="29">
        <v>317204</v>
      </c>
      <c r="D185" s="29">
        <v>171938</v>
      </c>
      <c r="E185" s="29">
        <f t="shared" si="4"/>
        <v>489142</v>
      </c>
      <c r="F185" s="30">
        <v>5580694</v>
      </c>
      <c r="G185" s="30">
        <v>42915</v>
      </c>
      <c r="H185" s="30">
        <f t="shared" si="5"/>
        <v>5623609</v>
      </c>
      <c r="I185" s="42" t="s">
        <v>75</v>
      </c>
      <c r="J185" s="42" t="s">
        <v>75</v>
      </c>
      <c r="K185" s="32">
        <v>5489472</v>
      </c>
      <c r="L185" s="31" t="s">
        <v>75</v>
      </c>
      <c r="M185" s="31" t="s">
        <v>75</v>
      </c>
      <c r="N185" s="30">
        <v>13478599</v>
      </c>
      <c r="O185" s="31" t="s">
        <v>75</v>
      </c>
      <c r="P185" s="31" t="s">
        <v>75</v>
      </c>
      <c r="Q185" s="30">
        <v>17154045</v>
      </c>
      <c r="R185" s="31" t="s">
        <v>75</v>
      </c>
      <c r="S185" s="31" t="s">
        <v>75</v>
      </c>
      <c r="T185" s="32">
        <v>28812</v>
      </c>
      <c r="U185" s="31" t="s">
        <v>75</v>
      </c>
      <c r="V185" s="31" t="s">
        <v>75</v>
      </c>
      <c r="W185" s="31" t="s">
        <v>75</v>
      </c>
      <c r="X185" s="31" t="s">
        <v>75</v>
      </c>
      <c r="Y185" s="31" t="s">
        <v>75</v>
      </c>
      <c r="Z185" s="30">
        <v>95040</v>
      </c>
      <c r="AA185" s="31" t="s">
        <v>75</v>
      </c>
      <c r="AB185" s="31" t="s">
        <v>75</v>
      </c>
      <c r="AC185" s="30">
        <v>84621</v>
      </c>
      <c r="AD185" s="31" t="s">
        <v>75</v>
      </c>
      <c r="AE185" s="31" t="s">
        <v>75</v>
      </c>
      <c r="AF185" s="30">
        <v>19221</v>
      </c>
      <c r="AG185" s="42" t="s">
        <v>75</v>
      </c>
      <c r="AH185" s="42" t="s">
        <v>75</v>
      </c>
      <c r="AI185" s="32">
        <v>51950</v>
      </c>
      <c r="AJ185" s="31" t="s">
        <v>75</v>
      </c>
      <c r="AK185" s="31" t="s">
        <v>75</v>
      </c>
      <c r="AL185" s="31" t="s">
        <v>75</v>
      </c>
      <c r="AM185" s="31"/>
      <c r="AN185" s="31"/>
      <c r="AO185" s="31"/>
      <c r="AP185" s="31"/>
      <c r="AQ185" s="31"/>
      <c r="AR185" s="31"/>
      <c r="AS185" s="31" t="s">
        <v>75</v>
      </c>
      <c r="AT185" s="31" t="s">
        <v>75</v>
      </c>
      <c r="AU185" s="31" t="s">
        <v>75</v>
      </c>
      <c r="AV185" s="31" t="s">
        <v>75</v>
      </c>
      <c r="AW185" s="31" t="s">
        <v>75</v>
      </c>
      <c r="AX185" s="31" t="s">
        <v>75</v>
      </c>
      <c r="AY185" s="31" t="s">
        <v>75</v>
      </c>
      <c r="AZ185" s="31" t="s">
        <v>75</v>
      </c>
      <c r="BA185" s="29">
        <v>14600758</v>
      </c>
      <c r="BB185" s="31" t="s">
        <v>75</v>
      </c>
      <c r="BC185" s="31" t="s">
        <v>75</v>
      </c>
      <c r="BD185" s="29">
        <v>1226918</v>
      </c>
      <c r="BE185" s="113">
        <v>0</v>
      </c>
      <c r="BF185" s="113">
        <v>0</v>
      </c>
      <c r="BG185" s="113">
        <v>0</v>
      </c>
      <c r="BH185" s="113">
        <v>0</v>
      </c>
      <c r="BI185" s="113">
        <v>0</v>
      </c>
      <c r="BJ185" s="113">
        <v>0</v>
      </c>
      <c r="BK185" s="113">
        <v>0</v>
      </c>
      <c r="BL185" s="113">
        <v>0</v>
      </c>
      <c r="BM185" s="113">
        <v>0</v>
      </c>
      <c r="BN185" s="113">
        <v>0</v>
      </c>
      <c r="BO185" s="113">
        <v>0</v>
      </c>
      <c r="BP185" s="113">
        <v>0</v>
      </c>
      <c r="BQ185" s="113">
        <v>0</v>
      </c>
      <c r="BR185" s="113">
        <v>0</v>
      </c>
      <c r="BS185" s="113">
        <v>0</v>
      </c>
      <c r="BT185" s="113">
        <v>0</v>
      </c>
      <c r="BU185" s="113">
        <v>0</v>
      </c>
      <c r="BV185" s="113">
        <v>0</v>
      </c>
      <c r="BW185" s="113"/>
      <c r="BX185" s="113"/>
      <c r="BY185" s="113"/>
      <c r="BZ185" s="113">
        <v>0</v>
      </c>
      <c r="CA185" s="113">
        <v>0</v>
      </c>
      <c r="CB185" s="113">
        <v>0</v>
      </c>
      <c r="CC185" s="113"/>
      <c r="CD185" s="113"/>
      <c r="CE185" s="113"/>
      <c r="CF185" s="113">
        <v>0</v>
      </c>
      <c r="CG185" s="113">
        <v>0</v>
      </c>
      <c r="CH185" s="113">
        <v>0</v>
      </c>
      <c r="CI185" s="113">
        <v>0</v>
      </c>
      <c r="CJ185" s="113">
        <v>0</v>
      </c>
      <c r="CK185" s="113">
        <v>0</v>
      </c>
      <c r="CL185" s="113">
        <v>0</v>
      </c>
      <c r="CM185" s="113">
        <v>0</v>
      </c>
      <c r="CN185" s="113">
        <v>0</v>
      </c>
      <c r="CO185" s="113">
        <v>0</v>
      </c>
      <c r="CP185" s="113">
        <v>0</v>
      </c>
      <c r="CQ185" s="113">
        <v>0</v>
      </c>
      <c r="CR185" s="113">
        <v>0</v>
      </c>
      <c r="CS185" s="113">
        <v>0</v>
      </c>
      <c r="CT185" s="113">
        <v>0</v>
      </c>
      <c r="CU185" s="113">
        <v>0</v>
      </c>
      <c r="CV185" s="113">
        <v>0</v>
      </c>
      <c r="CW185" s="113">
        <v>0</v>
      </c>
      <c r="CX185" s="113">
        <v>0</v>
      </c>
      <c r="CY185" s="113">
        <v>0</v>
      </c>
      <c r="CZ185" s="113">
        <v>0</v>
      </c>
      <c r="DA185" s="113">
        <v>0</v>
      </c>
      <c r="DB185" s="113">
        <v>0</v>
      </c>
      <c r="DC185" s="113">
        <v>0</v>
      </c>
      <c r="DD185" s="113">
        <v>0</v>
      </c>
      <c r="DE185" s="113">
        <v>0</v>
      </c>
      <c r="DF185" s="113">
        <v>0</v>
      </c>
      <c r="DG185" s="113">
        <v>0</v>
      </c>
      <c r="DH185" s="113">
        <v>0</v>
      </c>
      <c r="DI185" s="113">
        <v>0</v>
      </c>
      <c r="DJ185" s="113">
        <v>0</v>
      </c>
      <c r="DK185" s="113">
        <v>0</v>
      </c>
      <c r="DL185" s="113">
        <v>0</v>
      </c>
      <c r="DM185" s="113">
        <v>0</v>
      </c>
      <c r="DN185" s="113">
        <v>0</v>
      </c>
      <c r="DO185" s="113">
        <v>0</v>
      </c>
      <c r="DP185" s="113">
        <v>0</v>
      </c>
      <c r="DQ185" s="113">
        <v>0</v>
      </c>
      <c r="DR185" s="113">
        <v>0</v>
      </c>
      <c r="DS185" s="113">
        <v>0</v>
      </c>
      <c r="DT185" s="113">
        <v>0</v>
      </c>
      <c r="DU185" s="113">
        <v>0</v>
      </c>
      <c r="DV185" s="113">
        <v>0</v>
      </c>
      <c r="DW185" s="113">
        <v>0</v>
      </c>
      <c r="DX185" s="113">
        <v>0</v>
      </c>
      <c r="DY185" s="113">
        <v>0</v>
      </c>
      <c r="DZ185" s="113">
        <v>0</v>
      </c>
      <c r="EA185" s="113">
        <v>0</v>
      </c>
      <c r="EB185" s="113">
        <v>0</v>
      </c>
      <c r="EC185" s="113">
        <v>0</v>
      </c>
      <c r="ED185" s="113">
        <v>0</v>
      </c>
      <c r="EE185" s="113">
        <v>0</v>
      </c>
      <c r="EF185" s="113">
        <v>0</v>
      </c>
      <c r="EG185" s="113">
        <v>0</v>
      </c>
      <c r="EH185" s="113">
        <v>0</v>
      </c>
      <c r="EI185" s="113">
        <v>0</v>
      </c>
      <c r="EJ185" s="113">
        <v>0</v>
      </c>
      <c r="EK185" s="113">
        <v>0</v>
      </c>
      <c r="EL185" s="113">
        <v>0</v>
      </c>
      <c r="EM185" s="113">
        <v>0</v>
      </c>
      <c r="EN185" s="113">
        <v>0</v>
      </c>
      <c r="EO185" s="113">
        <v>0</v>
      </c>
      <c r="EP185" s="113">
        <v>0</v>
      </c>
      <c r="EQ185" s="113">
        <v>0</v>
      </c>
      <c r="ER185" s="113">
        <v>0</v>
      </c>
      <c r="ES185" s="113">
        <v>0</v>
      </c>
      <c r="ET185" s="113">
        <v>0</v>
      </c>
      <c r="EU185" s="113">
        <v>0</v>
      </c>
      <c r="EV185" s="113">
        <v>0</v>
      </c>
      <c r="EW185" s="113">
        <v>0</v>
      </c>
      <c r="EX185" s="113">
        <v>0</v>
      </c>
      <c r="EY185" s="113">
        <v>0</v>
      </c>
      <c r="EZ185" s="113">
        <v>0</v>
      </c>
      <c r="FA185" s="113">
        <v>0</v>
      </c>
      <c r="FB185" s="113">
        <v>0</v>
      </c>
      <c r="FC185" s="113">
        <v>0</v>
      </c>
      <c r="FD185" s="113">
        <v>0</v>
      </c>
      <c r="FE185" s="113">
        <v>0</v>
      </c>
      <c r="FF185" s="113">
        <v>0</v>
      </c>
      <c r="FG185" s="113">
        <v>0</v>
      </c>
      <c r="FH185" s="113">
        <v>0</v>
      </c>
      <c r="FI185" s="113">
        <v>0</v>
      </c>
      <c r="FJ185" s="113">
        <v>0</v>
      </c>
      <c r="FK185" s="113">
        <v>0</v>
      </c>
      <c r="FL185" s="113">
        <v>0</v>
      </c>
      <c r="FM185" s="113">
        <v>0</v>
      </c>
      <c r="FN185" s="113">
        <v>0</v>
      </c>
      <c r="FO185" s="113">
        <v>0</v>
      </c>
      <c r="FP185" s="113">
        <v>0</v>
      </c>
      <c r="FQ185" s="113">
        <v>0</v>
      </c>
      <c r="FR185" s="113">
        <v>0</v>
      </c>
      <c r="FS185" s="113">
        <v>0</v>
      </c>
      <c r="FT185" s="113">
        <v>0</v>
      </c>
      <c r="FU185" s="113">
        <v>0</v>
      </c>
      <c r="FV185" s="113">
        <v>0</v>
      </c>
      <c r="FW185" s="113">
        <v>0</v>
      </c>
      <c r="FX185" s="32">
        <v>0</v>
      </c>
      <c r="FY185" s="30">
        <v>0</v>
      </c>
      <c r="FZ185" s="30">
        <v>0</v>
      </c>
    </row>
    <row r="186" spans="1:182" x14ac:dyDescent="0.2">
      <c r="A186" s="28">
        <v>37226</v>
      </c>
      <c r="B186" s="28"/>
      <c r="C186" s="29">
        <v>421346</v>
      </c>
      <c r="D186" s="29">
        <v>472016</v>
      </c>
      <c r="E186" s="29">
        <f t="shared" si="4"/>
        <v>893362</v>
      </c>
      <c r="F186" s="30">
        <v>11656924</v>
      </c>
      <c r="G186" s="30">
        <v>212647</v>
      </c>
      <c r="H186" s="30">
        <f t="shared" si="5"/>
        <v>11869571</v>
      </c>
      <c r="I186" s="42" t="s">
        <v>75</v>
      </c>
      <c r="J186" s="42" t="s">
        <v>75</v>
      </c>
      <c r="K186" s="32">
        <v>7124189</v>
      </c>
      <c r="L186" s="31" t="s">
        <v>75</v>
      </c>
      <c r="M186" s="31" t="s">
        <v>75</v>
      </c>
      <c r="N186" s="30">
        <v>19293253</v>
      </c>
      <c r="O186" s="31" t="s">
        <v>75</v>
      </c>
      <c r="P186" s="31" t="s">
        <v>75</v>
      </c>
      <c r="Q186" s="30">
        <v>17551446</v>
      </c>
      <c r="R186" s="31" t="s">
        <v>75</v>
      </c>
      <c r="S186" s="31" t="s">
        <v>75</v>
      </c>
      <c r="T186" s="32">
        <v>70040</v>
      </c>
      <c r="U186" s="31" t="s">
        <v>75</v>
      </c>
      <c r="V186" s="31" t="s">
        <v>75</v>
      </c>
      <c r="W186" s="31" t="s">
        <v>75</v>
      </c>
      <c r="X186" s="31" t="s">
        <v>75</v>
      </c>
      <c r="Y186" s="31" t="s">
        <v>75</v>
      </c>
      <c r="Z186" s="30">
        <v>174640</v>
      </c>
      <c r="AA186" s="31" t="s">
        <v>75</v>
      </c>
      <c r="AB186" s="31" t="s">
        <v>75</v>
      </c>
      <c r="AC186" s="30">
        <v>134350</v>
      </c>
      <c r="AD186" s="31" t="s">
        <v>75</v>
      </c>
      <c r="AE186" s="31" t="s">
        <v>75</v>
      </c>
      <c r="AF186" s="30">
        <v>38357</v>
      </c>
      <c r="AG186" s="42" t="s">
        <v>75</v>
      </c>
      <c r="AH186" s="42" t="s">
        <v>75</v>
      </c>
      <c r="AI186" s="32">
        <v>98087</v>
      </c>
      <c r="AJ186" s="31" t="s">
        <v>75</v>
      </c>
      <c r="AK186" s="31" t="s">
        <v>75</v>
      </c>
      <c r="AL186" s="31" t="s">
        <v>75</v>
      </c>
      <c r="AM186" s="31"/>
      <c r="AN186" s="31"/>
      <c r="AO186" s="31"/>
      <c r="AP186" s="31"/>
      <c r="AQ186" s="31"/>
      <c r="AR186" s="31"/>
      <c r="AS186" s="31" t="s">
        <v>75</v>
      </c>
      <c r="AT186" s="31" t="s">
        <v>75</v>
      </c>
      <c r="AU186" s="31" t="s">
        <v>75</v>
      </c>
      <c r="AV186" s="31" t="s">
        <v>75</v>
      </c>
      <c r="AW186" s="31" t="s">
        <v>75</v>
      </c>
      <c r="AX186" s="31" t="s">
        <v>75</v>
      </c>
      <c r="AY186" s="31" t="s">
        <v>75</v>
      </c>
      <c r="AZ186" s="31" t="s">
        <v>75</v>
      </c>
      <c r="BA186" s="29">
        <v>16397284</v>
      </c>
      <c r="BB186" s="31" t="s">
        <v>75</v>
      </c>
      <c r="BC186" s="31" t="s">
        <v>75</v>
      </c>
      <c r="BD186" s="29">
        <v>1531183</v>
      </c>
      <c r="BE186" s="113">
        <v>0</v>
      </c>
      <c r="BF186" s="113">
        <v>0</v>
      </c>
      <c r="BG186" s="113">
        <v>0</v>
      </c>
      <c r="BH186" s="113">
        <v>0</v>
      </c>
      <c r="BI186" s="113">
        <v>0</v>
      </c>
      <c r="BJ186" s="113">
        <v>0</v>
      </c>
      <c r="BK186" s="113">
        <v>0</v>
      </c>
      <c r="BL186" s="113">
        <v>0</v>
      </c>
      <c r="BM186" s="113">
        <v>0</v>
      </c>
      <c r="BN186" s="113">
        <v>0</v>
      </c>
      <c r="BO186" s="113">
        <v>0</v>
      </c>
      <c r="BP186" s="113">
        <v>0</v>
      </c>
      <c r="BQ186" s="113">
        <v>0</v>
      </c>
      <c r="BR186" s="113">
        <v>0</v>
      </c>
      <c r="BS186" s="113">
        <v>0</v>
      </c>
      <c r="BT186" s="113">
        <v>0</v>
      </c>
      <c r="BU186" s="113">
        <v>0</v>
      </c>
      <c r="BV186" s="113">
        <v>0</v>
      </c>
      <c r="BW186" s="113"/>
      <c r="BX186" s="113"/>
      <c r="BY186" s="113"/>
      <c r="BZ186" s="113">
        <v>0</v>
      </c>
      <c r="CA186" s="113">
        <v>0</v>
      </c>
      <c r="CB186" s="113">
        <v>0</v>
      </c>
      <c r="CC186" s="113"/>
      <c r="CD186" s="113"/>
      <c r="CE186" s="113"/>
      <c r="CF186" s="113">
        <v>0</v>
      </c>
      <c r="CG186" s="113">
        <v>0</v>
      </c>
      <c r="CH186" s="113">
        <v>0</v>
      </c>
      <c r="CI186" s="113">
        <v>0</v>
      </c>
      <c r="CJ186" s="113">
        <v>0</v>
      </c>
      <c r="CK186" s="113">
        <v>0</v>
      </c>
      <c r="CL186" s="113">
        <v>0</v>
      </c>
      <c r="CM186" s="113">
        <v>0</v>
      </c>
      <c r="CN186" s="113">
        <v>0</v>
      </c>
      <c r="CO186" s="113">
        <v>0</v>
      </c>
      <c r="CP186" s="113">
        <v>0</v>
      </c>
      <c r="CQ186" s="113">
        <v>0</v>
      </c>
      <c r="CR186" s="113">
        <v>0</v>
      </c>
      <c r="CS186" s="113">
        <v>0</v>
      </c>
      <c r="CT186" s="113">
        <v>0</v>
      </c>
      <c r="CU186" s="113">
        <v>0</v>
      </c>
      <c r="CV186" s="113">
        <v>0</v>
      </c>
      <c r="CW186" s="113">
        <v>0</v>
      </c>
      <c r="CX186" s="113">
        <v>0</v>
      </c>
      <c r="CY186" s="113">
        <v>0</v>
      </c>
      <c r="CZ186" s="113">
        <v>0</v>
      </c>
      <c r="DA186" s="113">
        <v>0</v>
      </c>
      <c r="DB186" s="113">
        <v>0</v>
      </c>
      <c r="DC186" s="113">
        <v>0</v>
      </c>
      <c r="DD186" s="113">
        <v>0</v>
      </c>
      <c r="DE186" s="113">
        <v>0</v>
      </c>
      <c r="DF186" s="113">
        <v>0</v>
      </c>
      <c r="DG186" s="113">
        <v>0</v>
      </c>
      <c r="DH186" s="113">
        <v>0</v>
      </c>
      <c r="DI186" s="113">
        <v>0</v>
      </c>
      <c r="DJ186" s="113">
        <v>0</v>
      </c>
      <c r="DK186" s="113">
        <v>0</v>
      </c>
      <c r="DL186" s="113">
        <v>0</v>
      </c>
      <c r="DM186" s="113">
        <v>0</v>
      </c>
      <c r="DN186" s="113">
        <v>0</v>
      </c>
      <c r="DO186" s="113">
        <v>0</v>
      </c>
      <c r="DP186" s="113">
        <v>0</v>
      </c>
      <c r="DQ186" s="113">
        <v>0</v>
      </c>
      <c r="DR186" s="113">
        <v>0</v>
      </c>
      <c r="DS186" s="113">
        <v>0</v>
      </c>
      <c r="DT186" s="113">
        <v>0</v>
      </c>
      <c r="DU186" s="113">
        <v>0</v>
      </c>
      <c r="DV186" s="113">
        <v>0</v>
      </c>
      <c r="DW186" s="113">
        <v>0</v>
      </c>
      <c r="DX186" s="113">
        <v>0</v>
      </c>
      <c r="DY186" s="113">
        <v>0</v>
      </c>
      <c r="DZ186" s="113">
        <v>0</v>
      </c>
      <c r="EA186" s="113">
        <v>0</v>
      </c>
      <c r="EB186" s="113">
        <v>0</v>
      </c>
      <c r="EC186" s="113">
        <v>0</v>
      </c>
      <c r="ED186" s="113">
        <v>0</v>
      </c>
      <c r="EE186" s="113">
        <v>0</v>
      </c>
      <c r="EF186" s="113">
        <v>0</v>
      </c>
      <c r="EG186" s="113">
        <v>0</v>
      </c>
      <c r="EH186" s="113">
        <v>0</v>
      </c>
      <c r="EI186" s="113">
        <v>0</v>
      </c>
      <c r="EJ186" s="113">
        <v>0</v>
      </c>
      <c r="EK186" s="113">
        <v>0</v>
      </c>
      <c r="EL186" s="113">
        <v>0</v>
      </c>
      <c r="EM186" s="113">
        <v>0</v>
      </c>
      <c r="EN186" s="113">
        <v>0</v>
      </c>
      <c r="EO186" s="113">
        <v>0</v>
      </c>
      <c r="EP186" s="113">
        <v>0</v>
      </c>
      <c r="EQ186" s="113">
        <v>0</v>
      </c>
      <c r="ER186" s="113">
        <v>0</v>
      </c>
      <c r="ES186" s="113">
        <v>0</v>
      </c>
      <c r="ET186" s="113">
        <v>0</v>
      </c>
      <c r="EU186" s="113">
        <v>0</v>
      </c>
      <c r="EV186" s="113">
        <v>0</v>
      </c>
      <c r="EW186" s="113">
        <v>0</v>
      </c>
      <c r="EX186" s="113">
        <v>0</v>
      </c>
      <c r="EY186" s="113">
        <v>0</v>
      </c>
      <c r="EZ186" s="113">
        <v>0</v>
      </c>
      <c r="FA186" s="113">
        <v>0</v>
      </c>
      <c r="FB186" s="113">
        <v>0</v>
      </c>
      <c r="FC186" s="113">
        <v>0</v>
      </c>
      <c r="FD186" s="113">
        <v>0</v>
      </c>
      <c r="FE186" s="113">
        <v>0</v>
      </c>
      <c r="FF186" s="113">
        <v>0</v>
      </c>
      <c r="FG186" s="113">
        <v>0</v>
      </c>
      <c r="FH186" s="113">
        <v>0</v>
      </c>
      <c r="FI186" s="113">
        <v>0</v>
      </c>
      <c r="FJ186" s="113">
        <v>0</v>
      </c>
      <c r="FK186" s="113">
        <v>0</v>
      </c>
      <c r="FL186" s="113">
        <v>0</v>
      </c>
      <c r="FM186" s="113">
        <v>0</v>
      </c>
      <c r="FN186" s="113">
        <v>0</v>
      </c>
      <c r="FO186" s="113">
        <v>0</v>
      </c>
      <c r="FP186" s="113">
        <v>0</v>
      </c>
      <c r="FQ186" s="113">
        <v>0</v>
      </c>
      <c r="FR186" s="113">
        <v>0</v>
      </c>
      <c r="FS186" s="113">
        <v>0</v>
      </c>
      <c r="FT186" s="113">
        <v>0</v>
      </c>
      <c r="FU186" s="113">
        <v>0</v>
      </c>
      <c r="FV186" s="113">
        <v>0</v>
      </c>
      <c r="FW186" s="113">
        <v>0</v>
      </c>
      <c r="FX186" s="32">
        <v>0</v>
      </c>
      <c r="FY186" s="30">
        <v>0</v>
      </c>
      <c r="FZ186" s="30">
        <v>0</v>
      </c>
    </row>
    <row r="187" spans="1:182" x14ac:dyDescent="0.2">
      <c r="A187" s="28">
        <v>37257</v>
      </c>
      <c r="B187" s="28"/>
      <c r="C187" s="29">
        <v>166110</v>
      </c>
      <c r="D187" s="29">
        <v>110885</v>
      </c>
      <c r="E187" s="29">
        <f t="shared" si="4"/>
        <v>276995</v>
      </c>
      <c r="F187" s="30">
        <v>5423326</v>
      </c>
      <c r="G187" s="30">
        <v>193505</v>
      </c>
      <c r="H187" s="30">
        <f t="shared" si="5"/>
        <v>5616831</v>
      </c>
      <c r="I187" s="42" t="s">
        <v>75</v>
      </c>
      <c r="J187" s="42" t="s">
        <v>75</v>
      </c>
      <c r="K187" s="32">
        <v>4114275</v>
      </c>
      <c r="L187" s="31" t="s">
        <v>75</v>
      </c>
      <c r="M187" s="31" t="s">
        <v>75</v>
      </c>
      <c r="N187" s="30">
        <v>7026291</v>
      </c>
      <c r="O187" s="31" t="s">
        <v>75</v>
      </c>
      <c r="P187" s="31" t="s">
        <v>75</v>
      </c>
      <c r="Q187" s="30">
        <v>16151052</v>
      </c>
      <c r="R187" s="31" t="s">
        <v>75</v>
      </c>
      <c r="S187" s="31" t="s">
        <v>75</v>
      </c>
      <c r="T187" s="32">
        <v>78154</v>
      </c>
      <c r="U187" s="31" t="s">
        <v>75</v>
      </c>
      <c r="V187" s="31" t="s">
        <v>75</v>
      </c>
      <c r="W187" s="31" t="s">
        <v>75</v>
      </c>
      <c r="X187" s="31" t="s">
        <v>75</v>
      </c>
      <c r="Y187" s="31" t="s">
        <v>75</v>
      </c>
      <c r="Z187" s="30">
        <v>61183</v>
      </c>
      <c r="AA187" s="31" t="s">
        <v>75</v>
      </c>
      <c r="AB187" s="31" t="s">
        <v>75</v>
      </c>
      <c r="AC187" s="30">
        <v>71041</v>
      </c>
      <c r="AD187" s="31" t="s">
        <v>75</v>
      </c>
      <c r="AE187" s="31" t="s">
        <v>75</v>
      </c>
      <c r="AF187" s="30">
        <v>5209</v>
      </c>
      <c r="AG187" s="42" t="s">
        <v>75</v>
      </c>
      <c r="AH187" s="42" t="s">
        <v>75</v>
      </c>
      <c r="AI187" s="32">
        <v>44877</v>
      </c>
      <c r="AJ187" s="31" t="s">
        <v>75</v>
      </c>
      <c r="AK187" s="31" t="s">
        <v>75</v>
      </c>
      <c r="AL187" s="31" t="s">
        <v>75</v>
      </c>
      <c r="AM187" s="31"/>
      <c r="AN187" s="31"/>
      <c r="AO187" s="31"/>
      <c r="AP187" s="31"/>
      <c r="AQ187" s="31"/>
      <c r="AR187" s="31"/>
      <c r="AS187" s="31" t="s">
        <v>75</v>
      </c>
      <c r="AT187" s="31" t="s">
        <v>75</v>
      </c>
      <c r="AU187" s="31" t="s">
        <v>75</v>
      </c>
      <c r="AV187" s="31" t="s">
        <v>75</v>
      </c>
      <c r="AW187" s="31" t="s">
        <v>75</v>
      </c>
      <c r="AX187" s="31" t="s">
        <v>75</v>
      </c>
      <c r="AY187" s="31" t="s">
        <v>75</v>
      </c>
      <c r="AZ187" s="31" t="s">
        <v>75</v>
      </c>
      <c r="BA187" s="29">
        <v>14914635</v>
      </c>
      <c r="BB187" s="31" t="s">
        <v>75</v>
      </c>
      <c r="BC187" s="31" t="s">
        <v>75</v>
      </c>
      <c r="BD187" s="29">
        <v>1070362</v>
      </c>
      <c r="BE187" s="113">
        <v>0</v>
      </c>
      <c r="BF187" s="113">
        <v>0</v>
      </c>
      <c r="BG187" s="113">
        <v>0</v>
      </c>
      <c r="BH187" s="113">
        <v>0</v>
      </c>
      <c r="BI187" s="113">
        <v>0</v>
      </c>
      <c r="BJ187" s="113">
        <v>0</v>
      </c>
      <c r="BK187" s="113">
        <v>0</v>
      </c>
      <c r="BL187" s="113">
        <v>0</v>
      </c>
      <c r="BM187" s="113">
        <v>0</v>
      </c>
      <c r="BN187" s="113">
        <v>0</v>
      </c>
      <c r="BO187" s="113">
        <v>0</v>
      </c>
      <c r="BP187" s="113">
        <v>0</v>
      </c>
      <c r="BQ187" s="113">
        <v>0</v>
      </c>
      <c r="BR187" s="113">
        <v>0</v>
      </c>
      <c r="BS187" s="113">
        <v>0</v>
      </c>
      <c r="BT187" s="113">
        <v>0</v>
      </c>
      <c r="BU187" s="113">
        <v>0</v>
      </c>
      <c r="BV187" s="113">
        <v>0</v>
      </c>
      <c r="BW187" s="113"/>
      <c r="BX187" s="113"/>
      <c r="BY187" s="113"/>
      <c r="BZ187" s="113">
        <v>0</v>
      </c>
      <c r="CA187" s="113">
        <v>0</v>
      </c>
      <c r="CB187" s="113">
        <v>0</v>
      </c>
      <c r="CC187" s="113"/>
      <c r="CD187" s="113"/>
      <c r="CE187" s="113"/>
      <c r="CF187" s="113">
        <v>0</v>
      </c>
      <c r="CG187" s="113">
        <v>0</v>
      </c>
      <c r="CH187" s="113">
        <v>0</v>
      </c>
      <c r="CI187" s="113">
        <v>0</v>
      </c>
      <c r="CJ187" s="113">
        <v>0</v>
      </c>
      <c r="CK187" s="113">
        <v>0</v>
      </c>
      <c r="CL187" s="113">
        <v>0</v>
      </c>
      <c r="CM187" s="113">
        <v>0</v>
      </c>
      <c r="CN187" s="113">
        <v>0</v>
      </c>
      <c r="CO187" s="113">
        <v>0</v>
      </c>
      <c r="CP187" s="113">
        <v>0</v>
      </c>
      <c r="CQ187" s="113">
        <v>0</v>
      </c>
      <c r="CR187" s="113">
        <v>0</v>
      </c>
      <c r="CS187" s="113">
        <v>0</v>
      </c>
      <c r="CT187" s="113">
        <v>0</v>
      </c>
      <c r="CU187" s="113">
        <v>0</v>
      </c>
      <c r="CV187" s="113">
        <v>0</v>
      </c>
      <c r="CW187" s="113">
        <v>0</v>
      </c>
      <c r="CX187" s="113">
        <v>0</v>
      </c>
      <c r="CY187" s="113">
        <v>0</v>
      </c>
      <c r="CZ187" s="113">
        <v>0</v>
      </c>
      <c r="DA187" s="113">
        <v>0</v>
      </c>
      <c r="DB187" s="113">
        <v>0</v>
      </c>
      <c r="DC187" s="113">
        <v>0</v>
      </c>
      <c r="DD187" s="113">
        <v>0</v>
      </c>
      <c r="DE187" s="113">
        <v>0</v>
      </c>
      <c r="DF187" s="113">
        <v>0</v>
      </c>
      <c r="DG187" s="113">
        <v>0</v>
      </c>
      <c r="DH187" s="113">
        <v>0</v>
      </c>
      <c r="DI187" s="113">
        <v>0</v>
      </c>
      <c r="DJ187" s="113">
        <v>0</v>
      </c>
      <c r="DK187" s="113">
        <v>0</v>
      </c>
      <c r="DL187" s="113">
        <v>0</v>
      </c>
      <c r="DM187" s="113">
        <v>0</v>
      </c>
      <c r="DN187" s="113">
        <v>0</v>
      </c>
      <c r="DO187" s="113">
        <v>0</v>
      </c>
      <c r="DP187" s="113">
        <v>0</v>
      </c>
      <c r="DQ187" s="113">
        <v>0</v>
      </c>
      <c r="DR187" s="113">
        <v>0</v>
      </c>
      <c r="DS187" s="113">
        <v>0</v>
      </c>
      <c r="DT187" s="113">
        <v>0</v>
      </c>
      <c r="DU187" s="113">
        <v>0</v>
      </c>
      <c r="DV187" s="113">
        <v>0</v>
      </c>
      <c r="DW187" s="113">
        <v>0</v>
      </c>
      <c r="DX187" s="113">
        <v>0</v>
      </c>
      <c r="DY187" s="113">
        <v>0</v>
      </c>
      <c r="DZ187" s="113">
        <v>0</v>
      </c>
      <c r="EA187" s="113">
        <v>0</v>
      </c>
      <c r="EB187" s="113">
        <v>0</v>
      </c>
      <c r="EC187" s="113">
        <v>0</v>
      </c>
      <c r="ED187" s="113">
        <v>0</v>
      </c>
      <c r="EE187" s="113">
        <v>0</v>
      </c>
      <c r="EF187" s="113">
        <v>0</v>
      </c>
      <c r="EG187" s="113">
        <v>0</v>
      </c>
      <c r="EH187" s="113">
        <v>0</v>
      </c>
      <c r="EI187" s="113">
        <v>0</v>
      </c>
      <c r="EJ187" s="113">
        <v>0</v>
      </c>
      <c r="EK187" s="113">
        <v>0</v>
      </c>
      <c r="EL187" s="113">
        <v>0</v>
      </c>
      <c r="EM187" s="113">
        <v>0</v>
      </c>
      <c r="EN187" s="113">
        <v>0</v>
      </c>
      <c r="EO187" s="113">
        <v>0</v>
      </c>
      <c r="EP187" s="113">
        <v>0</v>
      </c>
      <c r="EQ187" s="113">
        <v>0</v>
      </c>
      <c r="ER187" s="113">
        <v>0</v>
      </c>
      <c r="ES187" s="113">
        <v>0</v>
      </c>
      <c r="ET187" s="113">
        <v>0</v>
      </c>
      <c r="EU187" s="113">
        <v>0</v>
      </c>
      <c r="EV187" s="113">
        <v>0</v>
      </c>
      <c r="EW187" s="113">
        <v>0</v>
      </c>
      <c r="EX187" s="113">
        <v>0</v>
      </c>
      <c r="EY187" s="113">
        <v>0</v>
      </c>
      <c r="EZ187" s="113">
        <v>0</v>
      </c>
      <c r="FA187" s="113">
        <v>0</v>
      </c>
      <c r="FB187" s="113">
        <v>0</v>
      </c>
      <c r="FC187" s="113">
        <v>0</v>
      </c>
      <c r="FD187" s="113">
        <v>0</v>
      </c>
      <c r="FE187" s="113">
        <v>0</v>
      </c>
      <c r="FF187" s="113">
        <v>0</v>
      </c>
      <c r="FG187" s="113">
        <v>0</v>
      </c>
      <c r="FH187" s="113">
        <v>0</v>
      </c>
      <c r="FI187" s="113">
        <v>0</v>
      </c>
      <c r="FJ187" s="113">
        <v>0</v>
      </c>
      <c r="FK187" s="113">
        <v>0</v>
      </c>
      <c r="FL187" s="113">
        <v>0</v>
      </c>
      <c r="FM187" s="113">
        <v>0</v>
      </c>
      <c r="FN187" s="113">
        <v>0</v>
      </c>
      <c r="FO187" s="113">
        <v>0</v>
      </c>
      <c r="FP187" s="113">
        <v>0</v>
      </c>
      <c r="FQ187" s="113">
        <v>0</v>
      </c>
      <c r="FR187" s="113">
        <v>0</v>
      </c>
      <c r="FS187" s="113">
        <v>0</v>
      </c>
      <c r="FT187" s="113">
        <v>0</v>
      </c>
      <c r="FU187" s="113">
        <v>0</v>
      </c>
      <c r="FV187" s="113">
        <v>0</v>
      </c>
      <c r="FW187" s="113">
        <v>0</v>
      </c>
      <c r="FX187" s="32">
        <v>0</v>
      </c>
      <c r="FY187" s="30">
        <v>0</v>
      </c>
      <c r="FZ187" s="30">
        <v>0</v>
      </c>
    </row>
    <row r="188" spans="1:182" x14ac:dyDescent="0.2">
      <c r="A188" s="28">
        <v>37288</v>
      </c>
      <c r="B188" s="28"/>
      <c r="C188" s="29">
        <v>171707</v>
      </c>
      <c r="D188" s="29">
        <v>117548</v>
      </c>
      <c r="E188" s="29">
        <f t="shared" si="4"/>
        <v>289255</v>
      </c>
      <c r="F188" s="30">
        <v>5211913</v>
      </c>
      <c r="G188" s="30">
        <v>113977</v>
      </c>
      <c r="H188" s="30">
        <f t="shared" si="5"/>
        <v>5325890</v>
      </c>
      <c r="I188" s="42" t="s">
        <v>75</v>
      </c>
      <c r="J188" s="42" t="s">
        <v>75</v>
      </c>
      <c r="K188" s="32">
        <v>3130267</v>
      </c>
      <c r="L188" s="31" t="s">
        <v>75</v>
      </c>
      <c r="M188" s="31" t="s">
        <v>75</v>
      </c>
      <c r="N188" s="30">
        <v>6327097</v>
      </c>
      <c r="O188" s="31" t="s">
        <v>75</v>
      </c>
      <c r="P188" s="31" t="s">
        <v>75</v>
      </c>
      <c r="Q188" s="30">
        <v>12712572</v>
      </c>
      <c r="R188" s="31" t="s">
        <v>75</v>
      </c>
      <c r="S188" s="31" t="s">
        <v>75</v>
      </c>
      <c r="T188" s="32">
        <v>75958</v>
      </c>
      <c r="U188" s="31" t="s">
        <v>75</v>
      </c>
      <c r="V188" s="31" t="s">
        <v>75</v>
      </c>
      <c r="W188" s="31" t="s">
        <v>75</v>
      </c>
      <c r="X188" s="31" t="s">
        <v>75</v>
      </c>
      <c r="Y188" s="31" t="s">
        <v>75</v>
      </c>
      <c r="Z188" s="30">
        <v>40838</v>
      </c>
      <c r="AA188" s="31" t="s">
        <v>75</v>
      </c>
      <c r="AB188" s="31" t="s">
        <v>75</v>
      </c>
      <c r="AC188" s="30">
        <v>45504</v>
      </c>
      <c r="AD188" s="31" t="s">
        <v>75</v>
      </c>
      <c r="AE188" s="31" t="s">
        <v>75</v>
      </c>
      <c r="AF188" s="30">
        <v>6253</v>
      </c>
      <c r="AG188" s="42" t="s">
        <v>75</v>
      </c>
      <c r="AH188" s="42" t="s">
        <v>75</v>
      </c>
      <c r="AI188" s="32">
        <v>31013</v>
      </c>
      <c r="AJ188" s="31" t="s">
        <v>75</v>
      </c>
      <c r="AK188" s="31" t="s">
        <v>75</v>
      </c>
      <c r="AL188" s="31" t="s">
        <v>75</v>
      </c>
      <c r="AM188" s="31"/>
      <c r="AN188" s="31"/>
      <c r="AO188" s="31"/>
      <c r="AP188" s="31"/>
      <c r="AQ188" s="31"/>
      <c r="AR188" s="31"/>
      <c r="AS188" s="31" t="s">
        <v>75</v>
      </c>
      <c r="AT188" s="31" t="s">
        <v>75</v>
      </c>
      <c r="AU188" s="31" t="s">
        <v>75</v>
      </c>
      <c r="AV188" s="31" t="s">
        <v>75</v>
      </c>
      <c r="AW188" s="31" t="s">
        <v>75</v>
      </c>
      <c r="AX188" s="31" t="s">
        <v>75</v>
      </c>
      <c r="AY188" s="31" t="s">
        <v>75</v>
      </c>
      <c r="AZ188" s="31" t="s">
        <v>75</v>
      </c>
      <c r="BA188" s="29">
        <v>14867795</v>
      </c>
      <c r="BB188" s="31" t="s">
        <v>75</v>
      </c>
      <c r="BC188" s="31" t="s">
        <v>75</v>
      </c>
      <c r="BD188" s="29">
        <v>1388759</v>
      </c>
      <c r="BE188" s="113">
        <v>0</v>
      </c>
      <c r="BF188" s="113">
        <v>0</v>
      </c>
      <c r="BG188" s="113">
        <v>0</v>
      </c>
      <c r="BH188" s="113">
        <v>0</v>
      </c>
      <c r="BI188" s="113">
        <v>0</v>
      </c>
      <c r="BJ188" s="113">
        <v>0</v>
      </c>
      <c r="BK188" s="113">
        <v>0</v>
      </c>
      <c r="BL188" s="113">
        <v>0</v>
      </c>
      <c r="BM188" s="113">
        <v>0</v>
      </c>
      <c r="BN188" s="113">
        <v>0</v>
      </c>
      <c r="BO188" s="113">
        <v>0</v>
      </c>
      <c r="BP188" s="113">
        <v>0</v>
      </c>
      <c r="BQ188" s="113">
        <v>0</v>
      </c>
      <c r="BR188" s="113">
        <v>0</v>
      </c>
      <c r="BS188" s="113">
        <v>0</v>
      </c>
      <c r="BT188" s="113">
        <v>0</v>
      </c>
      <c r="BU188" s="113">
        <v>0</v>
      </c>
      <c r="BV188" s="113">
        <v>0</v>
      </c>
      <c r="BW188" s="113"/>
      <c r="BX188" s="113"/>
      <c r="BY188" s="113"/>
      <c r="BZ188" s="113">
        <v>0</v>
      </c>
      <c r="CA188" s="113">
        <v>0</v>
      </c>
      <c r="CB188" s="113">
        <v>0</v>
      </c>
      <c r="CC188" s="113"/>
      <c r="CD188" s="113"/>
      <c r="CE188" s="113"/>
      <c r="CF188" s="113">
        <v>0</v>
      </c>
      <c r="CG188" s="113">
        <v>0</v>
      </c>
      <c r="CH188" s="113">
        <v>0</v>
      </c>
      <c r="CI188" s="113">
        <v>0</v>
      </c>
      <c r="CJ188" s="113">
        <v>0</v>
      </c>
      <c r="CK188" s="113">
        <v>0</v>
      </c>
      <c r="CL188" s="113">
        <v>0</v>
      </c>
      <c r="CM188" s="113">
        <v>0</v>
      </c>
      <c r="CN188" s="113">
        <v>0</v>
      </c>
      <c r="CO188" s="113">
        <v>0</v>
      </c>
      <c r="CP188" s="113">
        <v>0</v>
      </c>
      <c r="CQ188" s="113">
        <v>0</v>
      </c>
      <c r="CR188" s="113">
        <v>0</v>
      </c>
      <c r="CS188" s="113">
        <v>0</v>
      </c>
      <c r="CT188" s="113">
        <v>0</v>
      </c>
      <c r="CU188" s="113">
        <v>0</v>
      </c>
      <c r="CV188" s="113">
        <v>0</v>
      </c>
      <c r="CW188" s="113">
        <v>0</v>
      </c>
      <c r="CX188" s="113">
        <v>0</v>
      </c>
      <c r="CY188" s="113">
        <v>0</v>
      </c>
      <c r="CZ188" s="113">
        <v>0</v>
      </c>
      <c r="DA188" s="113">
        <v>0</v>
      </c>
      <c r="DB188" s="113">
        <v>0</v>
      </c>
      <c r="DC188" s="113">
        <v>0</v>
      </c>
      <c r="DD188" s="113">
        <v>0</v>
      </c>
      <c r="DE188" s="113">
        <v>0</v>
      </c>
      <c r="DF188" s="113">
        <v>0</v>
      </c>
      <c r="DG188" s="113">
        <v>0</v>
      </c>
      <c r="DH188" s="113">
        <v>0</v>
      </c>
      <c r="DI188" s="113">
        <v>0</v>
      </c>
      <c r="DJ188" s="113">
        <v>0</v>
      </c>
      <c r="DK188" s="113">
        <v>0</v>
      </c>
      <c r="DL188" s="113">
        <v>0</v>
      </c>
      <c r="DM188" s="113">
        <v>0</v>
      </c>
      <c r="DN188" s="113">
        <v>0</v>
      </c>
      <c r="DO188" s="113">
        <v>0</v>
      </c>
      <c r="DP188" s="113">
        <v>0</v>
      </c>
      <c r="DQ188" s="113">
        <v>0</v>
      </c>
      <c r="DR188" s="113">
        <v>0</v>
      </c>
      <c r="DS188" s="113">
        <v>0</v>
      </c>
      <c r="DT188" s="113">
        <v>0</v>
      </c>
      <c r="DU188" s="113">
        <v>0</v>
      </c>
      <c r="DV188" s="113">
        <v>0</v>
      </c>
      <c r="DW188" s="113">
        <v>0</v>
      </c>
      <c r="DX188" s="113">
        <v>0</v>
      </c>
      <c r="DY188" s="113">
        <v>0</v>
      </c>
      <c r="DZ188" s="113">
        <v>0</v>
      </c>
      <c r="EA188" s="113">
        <v>0</v>
      </c>
      <c r="EB188" s="113">
        <v>0</v>
      </c>
      <c r="EC188" s="113">
        <v>0</v>
      </c>
      <c r="ED188" s="113">
        <v>0</v>
      </c>
      <c r="EE188" s="113">
        <v>0</v>
      </c>
      <c r="EF188" s="113">
        <v>0</v>
      </c>
      <c r="EG188" s="113">
        <v>0</v>
      </c>
      <c r="EH188" s="113">
        <v>0</v>
      </c>
      <c r="EI188" s="113">
        <v>0</v>
      </c>
      <c r="EJ188" s="113">
        <v>0</v>
      </c>
      <c r="EK188" s="113">
        <v>0</v>
      </c>
      <c r="EL188" s="113">
        <v>0</v>
      </c>
      <c r="EM188" s="113">
        <v>0</v>
      </c>
      <c r="EN188" s="113">
        <v>0</v>
      </c>
      <c r="EO188" s="113">
        <v>0</v>
      </c>
      <c r="EP188" s="113">
        <v>0</v>
      </c>
      <c r="EQ188" s="113">
        <v>0</v>
      </c>
      <c r="ER188" s="113">
        <v>0</v>
      </c>
      <c r="ES188" s="113">
        <v>0</v>
      </c>
      <c r="ET188" s="113">
        <v>0</v>
      </c>
      <c r="EU188" s="113">
        <v>0</v>
      </c>
      <c r="EV188" s="113">
        <v>0</v>
      </c>
      <c r="EW188" s="113">
        <v>0</v>
      </c>
      <c r="EX188" s="113">
        <v>0</v>
      </c>
      <c r="EY188" s="113">
        <v>0</v>
      </c>
      <c r="EZ188" s="113">
        <v>0</v>
      </c>
      <c r="FA188" s="113">
        <v>0</v>
      </c>
      <c r="FB188" s="113">
        <v>0</v>
      </c>
      <c r="FC188" s="113">
        <v>0</v>
      </c>
      <c r="FD188" s="113">
        <v>0</v>
      </c>
      <c r="FE188" s="113">
        <v>0</v>
      </c>
      <c r="FF188" s="113">
        <v>0</v>
      </c>
      <c r="FG188" s="113">
        <v>0</v>
      </c>
      <c r="FH188" s="113">
        <v>0</v>
      </c>
      <c r="FI188" s="113">
        <v>0</v>
      </c>
      <c r="FJ188" s="113">
        <v>0</v>
      </c>
      <c r="FK188" s="113">
        <v>0</v>
      </c>
      <c r="FL188" s="113">
        <v>0</v>
      </c>
      <c r="FM188" s="113">
        <v>0</v>
      </c>
      <c r="FN188" s="113">
        <v>0</v>
      </c>
      <c r="FO188" s="113">
        <v>0</v>
      </c>
      <c r="FP188" s="113">
        <v>0</v>
      </c>
      <c r="FQ188" s="113">
        <v>0</v>
      </c>
      <c r="FR188" s="113">
        <v>0</v>
      </c>
      <c r="FS188" s="113">
        <v>0</v>
      </c>
      <c r="FT188" s="113">
        <v>0</v>
      </c>
      <c r="FU188" s="113">
        <v>0</v>
      </c>
      <c r="FV188" s="113">
        <v>0</v>
      </c>
      <c r="FW188" s="113">
        <v>0</v>
      </c>
      <c r="FX188" s="32">
        <v>0</v>
      </c>
      <c r="FY188" s="30">
        <v>0</v>
      </c>
      <c r="FZ188" s="30">
        <v>0</v>
      </c>
    </row>
    <row r="189" spans="1:182" x14ac:dyDescent="0.2">
      <c r="A189" s="28">
        <v>37316</v>
      </c>
      <c r="B189" s="28"/>
      <c r="C189" s="29">
        <v>247939</v>
      </c>
      <c r="D189" s="29">
        <v>127334</v>
      </c>
      <c r="E189" s="29">
        <f t="shared" si="4"/>
        <v>375273</v>
      </c>
      <c r="F189" s="30">
        <v>4677856</v>
      </c>
      <c r="G189" s="30">
        <v>104988</v>
      </c>
      <c r="H189" s="30">
        <f t="shared" si="5"/>
        <v>4782844</v>
      </c>
      <c r="I189" s="42" t="s">
        <v>75</v>
      </c>
      <c r="J189" s="42" t="s">
        <v>75</v>
      </c>
      <c r="K189" s="32">
        <v>4363551</v>
      </c>
      <c r="L189" s="31" t="s">
        <v>75</v>
      </c>
      <c r="M189" s="31" t="s">
        <v>75</v>
      </c>
      <c r="N189" s="30">
        <v>9063767</v>
      </c>
      <c r="O189" s="31" t="s">
        <v>75</v>
      </c>
      <c r="P189" s="31" t="s">
        <v>75</v>
      </c>
      <c r="Q189" s="30">
        <v>13775593</v>
      </c>
      <c r="R189" s="31" t="s">
        <v>75</v>
      </c>
      <c r="S189" s="31" t="s">
        <v>75</v>
      </c>
      <c r="T189" s="32">
        <v>80374</v>
      </c>
      <c r="U189" s="31" t="s">
        <v>75</v>
      </c>
      <c r="V189" s="31" t="s">
        <v>75</v>
      </c>
      <c r="W189" s="31" t="s">
        <v>75</v>
      </c>
      <c r="X189" s="31" t="s">
        <v>75</v>
      </c>
      <c r="Y189" s="31" t="s">
        <v>75</v>
      </c>
      <c r="Z189" s="30">
        <v>77290</v>
      </c>
      <c r="AA189" s="31" t="s">
        <v>75</v>
      </c>
      <c r="AB189" s="31" t="s">
        <v>75</v>
      </c>
      <c r="AC189" s="30">
        <v>145696</v>
      </c>
      <c r="AD189" s="31" t="s">
        <v>75</v>
      </c>
      <c r="AE189" s="31" t="s">
        <v>75</v>
      </c>
      <c r="AF189" s="30">
        <v>5883</v>
      </c>
      <c r="AG189" s="42" t="s">
        <v>75</v>
      </c>
      <c r="AH189" s="42" t="s">
        <v>75</v>
      </c>
      <c r="AI189" s="32">
        <v>75181</v>
      </c>
      <c r="AJ189" s="31" t="s">
        <v>75</v>
      </c>
      <c r="AK189" s="31" t="s">
        <v>75</v>
      </c>
      <c r="AL189" s="31" t="s">
        <v>75</v>
      </c>
      <c r="AM189" s="31"/>
      <c r="AN189" s="31"/>
      <c r="AO189" s="31"/>
      <c r="AP189" s="31"/>
      <c r="AQ189" s="31"/>
      <c r="AR189" s="31"/>
      <c r="AS189" s="31" t="s">
        <v>75</v>
      </c>
      <c r="AT189" s="31" t="s">
        <v>75</v>
      </c>
      <c r="AU189" s="31" t="s">
        <v>75</v>
      </c>
      <c r="AV189" s="31" t="s">
        <v>75</v>
      </c>
      <c r="AW189" s="31" t="s">
        <v>75</v>
      </c>
      <c r="AX189" s="31" t="s">
        <v>75</v>
      </c>
      <c r="AY189" s="31" t="s">
        <v>75</v>
      </c>
      <c r="AZ189" s="31" t="s">
        <v>75</v>
      </c>
      <c r="BA189" s="29">
        <v>12952332</v>
      </c>
      <c r="BB189" s="31" t="s">
        <v>75</v>
      </c>
      <c r="BC189" s="31" t="s">
        <v>75</v>
      </c>
      <c r="BD189" s="29">
        <v>1311542</v>
      </c>
      <c r="BE189" s="113">
        <v>0</v>
      </c>
      <c r="BF189" s="113">
        <v>0</v>
      </c>
      <c r="BG189" s="113">
        <v>0</v>
      </c>
      <c r="BH189" s="113">
        <v>0</v>
      </c>
      <c r="BI189" s="113">
        <v>0</v>
      </c>
      <c r="BJ189" s="113">
        <v>0</v>
      </c>
      <c r="BK189" s="113">
        <v>0</v>
      </c>
      <c r="BL189" s="113">
        <v>0</v>
      </c>
      <c r="BM189" s="113">
        <v>0</v>
      </c>
      <c r="BN189" s="113">
        <v>0</v>
      </c>
      <c r="BO189" s="113">
        <v>0</v>
      </c>
      <c r="BP189" s="113">
        <v>0</v>
      </c>
      <c r="BQ189" s="113">
        <v>0</v>
      </c>
      <c r="BR189" s="113">
        <v>0</v>
      </c>
      <c r="BS189" s="113">
        <v>0</v>
      </c>
      <c r="BT189" s="113">
        <v>0</v>
      </c>
      <c r="BU189" s="113">
        <v>0</v>
      </c>
      <c r="BV189" s="113">
        <v>0</v>
      </c>
      <c r="BW189" s="113"/>
      <c r="BX189" s="113"/>
      <c r="BY189" s="113"/>
      <c r="BZ189" s="113">
        <v>0</v>
      </c>
      <c r="CA189" s="113">
        <v>0</v>
      </c>
      <c r="CB189" s="113">
        <v>0</v>
      </c>
      <c r="CC189" s="113"/>
      <c r="CD189" s="113"/>
      <c r="CE189" s="113"/>
      <c r="CF189" s="113">
        <v>0</v>
      </c>
      <c r="CG189" s="113">
        <v>0</v>
      </c>
      <c r="CH189" s="113">
        <v>0</v>
      </c>
      <c r="CI189" s="113">
        <v>0</v>
      </c>
      <c r="CJ189" s="113">
        <v>0</v>
      </c>
      <c r="CK189" s="113">
        <v>0</v>
      </c>
      <c r="CL189" s="113">
        <v>0</v>
      </c>
      <c r="CM189" s="113">
        <v>0</v>
      </c>
      <c r="CN189" s="113">
        <v>0</v>
      </c>
      <c r="CO189" s="113">
        <v>0</v>
      </c>
      <c r="CP189" s="113">
        <v>0</v>
      </c>
      <c r="CQ189" s="113">
        <v>0</v>
      </c>
      <c r="CR189" s="113">
        <v>0</v>
      </c>
      <c r="CS189" s="113">
        <v>0</v>
      </c>
      <c r="CT189" s="113">
        <v>0</v>
      </c>
      <c r="CU189" s="113">
        <v>0</v>
      </c>
      <c r="CV189" s="113">
        <v>0</v>
      </c>
      <c r="CW189" s="113">
        <v>0</v>
      </c>
      <c r="CX189" s="113">
        <v>0</v>
      </c>
      <c r="CY189" s="113">
        <v>0</v>
      </c>
      <c r="CZ189" s="113">
        <v>0</v>
      </c>
      <c r="DA189" s="113">
        <v>0</v>
      </c>
      <c r="DB189" s="113">
        <v>0</v>
      </c>
      <c r="DC189" s="113">
        <v>0</v>
      </c>
      <c r="DD189" s="113">
        <v>0</v>
      </c>
      <c r="DE189" s="113">
        <v>0</v>
      </c>
      <c r="DF189" s="113">
        <v>0</v>
      </c>
      <c r="DG189" s="113">
        <v>0</v>
      </c>
      <c r="DH189" s="113">
        <v>0</v>
      </c>
      <c r="DI189" s="113">
        <v>0</v>
      </c>
      <c r="DJ189" s="113">
        <v>0</v>
      </c>
      <c r="DK189" s="113">
        <v>0</v>
      </c>
      <c r="DL189" s="113">
        <v>0</v>
      </c>
      <c r="DM189" s="113">
        <v>0</v>
      </c>
      <c r="DN189" s="113">
        <v>0</v>
      </c>
      <c r="DO189" s="113">
        <v>0</v>
      </c>
      <c r="DP189" s="113">
        <v>0</v>
      </c>
      <c r="DQ189" s="113">
        <v>0</v>
      </c>
      <c r="DR189" s="113">
        <v>0</v>
      </c>
      <c r="DS189" s="113">
        <v>0</v>
      </c>
      <c r="DT189" s="113">
        <v>0</v>
      </c>
      <c r="DU189" s="113">
        <v>0</v>
      </c>
      <c r="DV189" s="113">
        <v>0</v>
      </c>
      <c r="DW189" s="113">
        <v>0</v>
      </c>
      <c r="DX189" s="113">
        <v>0</v>
      </c>
      <c r="DY189" s="113">
        <v>0</v>
      </c>
      <c r="DZ189" s="113">
        <v>0</v>
      </c>
      <c r="EA189" s="113">
        <v>0</v>
      </c>
      <c r="EB189" s="113">
        <v>0</v>
      </c>
      <c r="EC189" s="113">
        <v>0</v>
      </c>
      <c r="ED189" s="113">
        <v>0</v>
      </c>
      <c r="EE189" s="113">
        <v>0</v>
      </c>
      <c r="EF189" s="113">
        <v>0</v>
      </c>
      <c r="EG189" s="113">
        <v>0</v>
      </c>
      <c r="EH189" s="113">
        <v>0</v>
      </c>
      <c r="EI189" s="113">
        <v>0</v>
      </c>
      <c r="EJ189" s="113">
        <v>0</v>
      </c>
      <c r="EK189" s="113">
        <v>0</v>
      </c>
      <c r="EL189" s="113">
        <v>0</v>
      </c>
      <c r="EM189" s="113">
        <v>0</v>
      </c>
      <c r="EN189" s="113">
        <v>0</v>
      </c>
      <c r="EO189" s="113">
        <v>0</v>
      </c>
      <c r="EP189" s="113">
        <v>0</v>
      </c>
      <c r="EQ189" s="113">
        <v>0</v>
      </c>
      <c r="ER189" s="113">
        <v>0</v>
      </c>
      <c r="ES189" s="113">
        <v>0</v>
      </c>
      <c r="ET189" s="113">
        <v>0</v>
      </c>
      <c r="EU189" s="113">
        <v>0</v>
      </c>
      <c r="EV189" s="113">
        <v>0</v>
      </c>
      <c r="EW189" s="113">
        <v>0</v>
      </c>
      <c r="EX189" s="113">
        <v>0</v>
      </c>
      <c r="EY189" s="113">
        <v>0</v>
      </c>
      <c r="EZ189" s="113">
        <v>0</v>
      </c>
      <c r="FA189" s="113">
        <v>0</v>
      </c>
      <c r="FB189" s="113">
        <v>0</v>
      </c>
      <c r="FC189" s="113">
        <v>0</v>
      </c>
      <c r="FD189" s="113">
        <v>0</v>
      </c>
      <c r="FE189" s="113">
        <v>0</v>
      </c>
      <c r="FF189" s="113">
        <v>0</v>
      </c>
      <c r="FG189" s="113">
        <v>0</v>
      </c>
      <c r="FH189" s="113">
        <v>0</v>
      </c>
      <c r="FI189" s="113">
        <v>0</v>
      </c>
      <c r="FJ189" s="113">
        <v>0</v>
      </c>
      <c r="FK189" s="113">
        <v>0</v>
      </c>
      <c r="FL189" s="113">
        <v>0</v>
      </c>
      <c r="FM189" s="113">
        <v>0</v>
      </c>
      <c r="FN189" s="113">
        <v>0</v>
      </c>
      <c r="FO189" s="113">
        <v>0</v>
      </c>
      <c r="FP189" s="113">
        <v>0</v>
      </c>
      <c r="FQ189" s="113">
        <v>0</v>
      </c>
      <c r="FR189" s="113">
        <v>0</v>
      </c>
      <c r="FS189" s="113">
        <v>0</v>
      </c>
      <c r="FT189" s="113">
        <v>0</v>
      </c>
      <c r="FU189" s="113">
        <v>0</v>
      </c>
      <c r="FV189" s="113">
        <v>0</v>
      </c>
      <c r="FW189" s="113">
        <v>0</v>
      </c>
      <c r="FX189" s="32">
        <v>0</v>
      </c>
      <c r="FY189" s="30">
        <v>0</v>
      </c>
      <c r="FZ189" s="30">
        <v>0</v>
      </c>
    </row>
    <row r="190" spans="1:182" x14ac:dyDescent="0.2">
      <c r="A190" s="28">
        <v>37347</v>
      </c>
      <c r="B190" s="28"/>
      <c r="C190" s="29">
        <v>248274</v>
      </c>
      <c r="D190" s="29">
        <v>200225</v>
      </c>
      <c r="E190" s="29">
        <f t="shared" si="4"/>
        <v>448499</v>
      </c>
      <c r="F190" s="30">
        <v>2818821</v>
      </c>
      <c r="G190" s="30">
        <v>71510</v>
      </c>
      <c r="H190" s="30">
        <f t="shared" si="5"/>
        <v>2890331</v>
      </c>
      <c r="I190" s="42" t="s">
        <v>75</v>
      </c>
      <c r="J190" s="42" t="s">
        <v>75</v>
      </c>
      <c r="K190" s="32">
        <v>2691161</v>
      </c>
      <c r="L190" s="31" t="s">
        <v>75</v>
      </c>
      <c r="M190" s="31" t="s">
        <v>75</v>
      </c>
      <c r="N190" s="30">
        <v>8635170</v>
      </c>
      <c r="O190" s="31" t="s">
        <v>75</v>
      </c>
      <c r="P190" s="31" t="s">
        <v>75</v>
      </c>
      <c r="Q190" s="30">
        <v>11846509</v>
      </c>
      <c r="R190" s="31" t="s">
        <v>75</v>
      </c>
      <c r="S190" s="31" t="s">
        <v>75</v>
      </c>
      <c r="T190" s="32">
        <v>117261</v>
      </c>
      <c r="U190" s="31" t="s">
        <v>75</v>
      </c>
      <c r="V190" s="31" t="s">
        <v>75</v>
      </c>
      <c r="W190" s="31" t="s">
        <v>75</v>
      </c>
      <c r="X190" s="31" t="s">
        <v>75</v>
      </c>
      <c r="Y190" s="31" t="s">
        <v>75</v>
      </c>
      <c r="Z190" s="30">
        <v>56416</v>
      </c>
      <c r="AA190" s="31" t="s">
        <v>75</v>
      </c>
      <c r="AB190" s="31" t="s">
        <v>75</v>
      </c>
      <c r="AC190" s="30">
        <v>90094</v>
      </c>
      <c r="AD190" s="31" t="s">
        <v>75</v>
      </c>
      <c r="AE190" s="31" t="s">
        <v>75</v>
      </c>
      <c r="AF190" s="30">
        <v>6681</v>
      </c>
      <c r="AG190" s="42" t="s">
        <v>75</v>
      </c>
      <c r="AH190" s="42" t="s">
        <v>75</v>
      </c>
      <c r="AI190" s="32">
        <v>44119</v>
      </c>
      <c r="AJ190" s="31" t="s">
        <v>75</v>
      </c>
      <c r="AK190" s="31" t="s">
        <v>75</v>
      </c>
      <c r="AL190" s="31" t="s">
        <v>75</v>
      </c>
      <c r="AM190" s="31"/>
      <c r="AN190" s="31"/>
      <c r="AO190" s="31"/>
      <c r="AP190" s="31"/>
      <c r="AQ190" s="31"/>
      <c r="AR190" s="31"/>
      <c r="AS190" s="31" t="s">
        <v>75</v>
      </c>
      <c r="AT190" s="31" t="s">
        <v>75</v>
      </c>
      <c r="AU190" s="31" t="s">
        <v>75</v>
      </c>
      <c r="AV190" s="31" t="s">
        <v>75</v>
      </c>
      <c r="AW190" s="31" t="s">
        <v>75</v>
      </c>
      <c r="AX190" s="31" t="s">
        <v>75</v>
      </c>
      <c r="AY190" s="31" t="s">
        <v>75</v>
      </c>
      <c r="AZ190" s="31" t="s">
        <v>75</v>
      </c>
      <c r="BA190" s="29">
        <v>12672931</v>
      </c>
      <c r="BB190" s="31" t="s">
        <v>75</v>
      </c>
      <c r="BC190" s="31" t="s">
        <v>75</v>
      </c>
      <c r="BD190" s="29">
        <v>1440603</v>
      </c>
      <c r="BE190" s="113">
        <v>0</v>
      </c>
      <c r="BF190" s="113">
        <v>0</v>
      </c>
      <c r="BG190" s="113">
        <v>0</v>
      </c>
      <c r="BH190" s="113">
        <v>0</v>
      </c>
      <c r="BI190" s="113">
        <v>0</v>
      </c>
      <c r="BJ190" s="113">
        <v>0</v>
      </c>
      <c r="BK190" s="113">
        <v>0</v>
      </c>
      <c r="BL190" s="113">
        <v>0</v>
      </c>
      <c r="BM190" s="113">
        <v>0</v>
      </c>
      <c r="BN190" s="113">
        <v>0</v>
      </c>
      <c r="BO190" s="113">
        <v>0</v>
      </c>
      <c r="BP190" s="113">
        <v>0</v>
      </c>
      <c r="BQ190" s="113">
        <v>0</v>
      </c>
      <c r="BR190" s="113">
        <v>0</v>
      </c>
      <c r="BS190" s="113">
        <v>0</v>
      </c>
      <c r="BT190" s="113">
        <v>0</v>
      </c>
      <c r="BU190" s="113">
        <v>0</v>
      </c>
      <c r="BV190" s="113">
        <v>0</v>
      </c>
      <c r="BW190" s="113"/>
      <c r="BX190" s="113"/>
      <c r="BY190" s="113"/>
      <c r="BZ190" s="113">
        <v>0</v>
      </c>
      <c r="CA190" s="113">
        <v>0</v>
      </c>
      <c r="CB190" s="113">
        <v>0</v>
      </c>
      <c r="CC190" s="113"/>
      <c r="CD190" s="113"/>
      <c r="CE190" s="113"/>
      <c r="CF190" s="113">
        <v>0</v>
      </c>
      <c r="CG190" s="113">
        <v>0</v>
      </c>
      <c r="CH190" s="113">
        <v>0</v>
      </c>
      <c r="CI190" s="113">
        <v>0</v>
      </c>
      <c r="CJ190" s="113">
        <v>0</v>
      </c>
      <c r="CK190" s="113">
        <v>0</v>
      </c>
      <c r="CL190" s="113">
        <v>0</v>
      </c>
      <c r="CM190" s="113">
        <v>0</v>
      </c>
      <c r="CN190" s="113">
        <v>0</v>
      </c>
      <c r="CO190" s="113">
        <v>0</v>
      </c>
      <c r="CP190" s="113">
        <v>0</v>
      </c>
      <c r="CQ190" s="113">
        <v>0</v>
      </c>
      <c r="CR190" s="113">
        <v>0</v>
      </c>
      <c r="CS190" s="113">
        <v>0</v>
      </c>
      <c r="CT190" s="113">
        <v>0</v>
      </c>
      <c r="CU190" s="113">
        <v>0</v>
      </c>
      <c r="CV190" s="113">
        <v>0</v>
      </c>
      <c r="CW190" s="113">
        <v>0</v>
      </c>
      <c r="CX190" s="113">
        <v>0</v>
      </c>
      <c r="CY190" s="113">
        <v>0</v>
      </c>
      <c r="CZ190" s="113">
        <v>0</v>
      </c>
      <c r="DA190" s="113">
        <v>0</v>
      </c>
      <c r="DB190" s="113">
        <v>0</v>
      </c>
      <c r="DC190" s="113">
        <v>0</v>
      </c>
      <c r="DD190" s="113">
        <v>0</v>
      </c>
      <c r="DE190" s="113">
        <v>0</v>
      </c>
      <c r="DF190" s="113">
        <v>0</v>
      </c>
      <c r="DG190" s="113">
        <v>0</v>
      </c>
      <c r="DH190" s="113">
        <v>0</v>
      </c>
      <c r="DI190" s="113">
        <v>0</v>
      </c>
      <c r="DJ190" s="113">
        <v>0</v>
      </c>
      <c r="DK190" s="113">
        <v>0</v>
      </c>
      <c r="DL190" s="113">
        <v>0</v>
      </c>
      <c r="DM190" s="113">
        <v>0</v>
      </c>
      <c r="DN190" s="113">
        <v>0</v>
      </c>
      <c r="DO190" s="113">
        <v>0</v>
      </c>
      <c r="DP190" s="113">
        <v>0</v>
      </c>
      <c r="DQ190" s="113">
        <v>0</v>
      </c>
      <c r="DR190" s="113">
        <v>0</v>
      </c>
      <c r="DS190" s="113">
        <v>0</v>
      </c>
      <c r="DT190" s="113">
        <v>0</v>
      </c>
      <c r="DU190" s="113">
        <v>0</v>
      </c>
      <c r="DV190" s="113">
        <v>0</v>
      </c>
      <c r="DW190" s="113">
        <v>0</v>
      </c>
      <c r="DX190" s="113">
        <v>0</v>
      </c>
      <c r="DY190" s="113">
        <v>0</v>
      </c>
      <c r="DZ190" s="113">
        <v>0</v>
      </c>
      <c r="EA190" s="113">
        <v>0</v>
      </c>
      <c r="EB190" s="113">
        <v>0</v>
      </c>
      <c r="EC190" s="113">
        <v>0</v>
      </c>
      <c r="ED190" s="113">
        <v>0</v>
      </c>
      <c r="EE190" s="113">
        <v>0</v>
      </c>
      <c r="EF190" s="113">
        <v>0</v>
      </c>
      <c r="EG190" s="113">
        <v>0</v>
      </c>
      <c r="EH190" s="113">
        <v>0</v>
      </c>
      <c r="EI190" s="113">
        <v>0</v>
      </c>
      <c r="EJ190" s="113">
        <v>0</v>
      </c>
      <c r="EK190" s="113">
        <v>0</v>
      </c>
      <c r="EL190" s="113">
        <v>0</v>
      </c>
      <c r="EM190" s="113">
        <v>0</v>
      </c>
      <c r="EN190" s="113">
        <v>0</v>
      </c>
      <c r="EO190" s="113">
        <v>0</v>
      </c>
      <c r="EP190" s="113">
        <v>0</v>
      </c>
      <c r="EQ190" s="113">
        <v>0</v>
      </c>
      <c r="ER190" s="113">
        <v>0</v>
      </c>
      <c r="ES190" s="113">
        <v>0</v>
      </c>
      <c r="ET190" s="113">
        <v>0</v>
      </c>
      <c r="EU190" s="113">
        <v>0</v>
      </c>
      <c r="EV190" s="113">
        <v>0</v>
      </c>
      <c r="EW190" s="113">
        <v>0</v>
      </c>
      <c r="EX190" s="113">
        <v>0</v>
      </c>
      <c r="EY190" s="113">
        <v>0</v>
      </c>
      <c r="EZ190" s="113">
        <v>0</v>
      </c>
      <c r="FA190" s="113">
        <v>0</v>
      </c>
      <c r="FB190" s="113">
        <v>0</v>
      </c>
      <c r="FC190" s="113">
        <v>0</v>
      </c>
      <c r="FD190" s="113">
        <v>0</v>
      </c>
      <c r="FE190" s="113">
        <v>0</v>
      </c>
      <c r="FF190" s="113">
        <v>0</v>
      </c>
      <c r="FG190" s="113">
        <v>0</v>
      </c>
      <c r="FH190" s="113">
        <v>0</v>
      </c>
      <c r="FI190" s="113">
        <v>0</v>
      </c>
      <c r="FJ190" s="113">
        <v>0</v>
      </c>
      <c r="FK190" s="113">
        <v>0</v>
      </c>
      <c r="FL190" s="113">
        <v>0</v>
      </c>
      <c r="FM190" s="113">
        <v>0</v>
      </c>
      <c r="FN190" s="113">
        <v>0</v>
      </c>
      <c r="FO190" s="113">
        <v>0</v>
      </c>
      <c r="FP190" s="113">
        <v>0</v>
      </c>
      <c r="FQ190" s="113">
        <v>0</v>
      </c>
      <c r="FR190" s="113">
        <v>0</v>
      </c>
      <c r="FS190" s="113">
        <v>0</v>
      </c>
      <c r="FT190" s="113">
        <v>0</v>
      </c>
      <c r="FU190" s="113">
        <v>0</v>
      </c>
      <c r="FV190" s="113">
        <v>0</v>
      </c>
      <c r="FW190" s="113">
        <v>0</v>
      </c>
      <c r="FX190" s="32">
        <v>0</v>
      </c>
      <c r="FY190" s="30">
        <v>0</v>
      </c>
      <c r="FZ190" s="30">
        <v>0</v>
      </c>
    </row>
    <row r="191" spans="1:182" x14ac:dyDescent="0.2">
      <c r="A191" s="28">
        <v>37377</v>
      </c>
      <c r="B191" s="28"/>
      <c r="C191" s="29">
        <v>248544</v>
      </c>
      <c r="D191" s="29">
        <v>153865</v>
      </c>
      <c r="E191" s="29">
        <f t="shared" si="4"/>
        <v>402409</v>
      </c>
      <c r="F191" s="30">
        <v>2264677</v>
      </c>
      <c r="G191" s="30">
        <v>57732</v>
      </c>
      <c r="H191" s="30">
        <f t="shared" si="5"/>
        <v>2322409</v>
      </c>
      <c r="I191" s="42" t="s">
        <v>75</v>
      </c>
      <c r="J191" s="42" t="s">
        <v>75</v>
      </c>
      <c r="K191" s="32">
        <v>3532334</v>
      </c>
      <c r="L191" s="31" t="s">
        <v>75</v>
      </c>
      <c r="M191" s="31" t="s">
        <v>75</v>
      </c>
      <c r="N191" s="30">
        <v>9118511</v>
      </c>
      <c r="O191" s="31" t="s">
        <v>75</v>
      </c>
      <c r="P191" s="31" t="s">
        <v>75</v>
      </c>
      <c r="Q191" s="30">
        <v>10856497</v>
      </c>
      <c r="R191" s="31" t="s">
        <v>75</v>
      </c>
      <c r="S191" s="31" t="s">
        <v>75</v>
      </c>
      <c r="T191" s="32">
        <v>98725</v>
      </c>
      <c r="U191" s="31" t="s">
        <v>75</v>
      </c>
      <c r="V191" s="31" t="s">
        <v>75</v>
      </c>
      <c r="W191" s="31" t="s">
        <v>75</v>
      </c>
      <c r="X191" s="31" t="s">
        <v>75</v>
      </c>
      <c r="Y191" s="31" t="s">
        <v>75</v>
      </c>
      <c r="Z191" s="30">
        <v>57489</v>
      </c>
      <c r="AA191" s="31" t="s">
        <v>75</v>
      </c>
      <c r="AB191" s="31" t="s">
        <v>75</v>
      </c>
      <c r="AC191" s="30">
        <v>117587</v>
      </c>
      <c r="AD191" s="31" t="s">
        <v>75</v>
      </c>
      <c r="AE191" s="31" t="s">
        <v>75</v>
      </c>
      <c r="AF191" s="30">
        <v>11027</v>
      </c>
      <c r="AG191" s="42" t="s">
        <v>75</v>
      </c>
      <c r="AH191" s="42" t="s">
        <v>75</v>
      </c>
      <c r="AI191" s="32">
        <v>66688</v>
      </c>
      <c r="AJ191" s="31" t="s">
        <v>75</v>
      </c>
      <c r="AK191" s="31" t="s">
        <v>75</v>
      </c>
      <c r="AL191" s="31" t="s">
        <v>75</v>
      </c>
      <c r="AM191" s="31"/>
      <c r="AN191" s="31"/>
      <c r="AO191" s="31"/>
      <c r="AP191" s="31"/>
      <c r="AQ191" s="31"/>
      <c r="AR191" s="31"/>
      <c r="AS191" s="31" t="s">
        <v>75</v>
      </c>
      <c r="AT191" s="31" t="s">
        <v>75</v>
      </c>
      <c r="AU191" s="31" t="s">
        <v>75</v>
      </c>
      <c r="AV191" s="31" t="s">
        <v>75</v>
      </c>
      <c r="AW191" s="31" t="s">
        <v>75</v>
      </c>
      <c r="AX191" s="31" t="s">
        <v>75</v>
      </c>
      <c r="AY191" s="31" t="s">
        <v>75</v>
      </c>
      <c r="AZ191" s="31" t="s">
        <v>75</v>
      </c>
      <c r="BA191" s="29">
        <v>12338441</v>
      </c>
      <c r="BB191" s="31" t="s">
        <v>75</v>
      </c>
      <c r="BC191" s="31" t="s">
        <v>75</v>
      </c>
      <c r="BD191" s="29">
        <v>1401004</v>
      </c>
      <c r="BE191" s="113">
        <v>0</v>
      </c>
      <c r="BF191" s="113">
        <v>0</v>
      </c>
      <c r="BG191" s="113">
        <v>0</v>
      </c>
      <c r="BH191" s="113">
        <v>0</v>
      </c>
      <c r="BI191" s="113">
        <v>0</v>
      </c>
      <c r="BJ191" s="113">
        <v>0</v>
      </c>
      <c r="BK191" s="113">
        <v>0</v>
      </c>
      <c r="BL191" s="113">
        <v>0</v>
      </c>
      <c r="BM191" s="113">
        <v>0</v>
      </c>
      <c r="BN191" s="113">
        <v>0</v>
      </c>
      <c r="BO191" s="113">
        <v>0</v>
      </c>
      <c r="BP191" s="113">
        <v>0</v>
      </c>
      <c r="BQ191" s="113">
        <v>0</v>
      </c>
      <c r="BR191" s="113">
        <v>0</v>
      </c>
      <c r="BS191" s="113">
        <v>0</v>
      </c>
      <c r="BT191" s="113">
        <v>0</v>
      </c>
      <c r="BU191" s="113">
        <v>0</v>
      </c>
      <c r="BV191" s="113">
        <v>0</v>
      </c>
      <c r="BW191" s="113"/>
      <c r="BX191" s="113"/>
      <c r="BY191" s="113"/>
      <c r="BZ191" s="113">
        <v>0</v>
      </c>
      <c r="CA191" s="113">
        <v>0</v>
      </c>
      <c r="CB191" s="113">
        <v>0</v>
      </c>
      <c r="CC191" s="113"/>
      <c r="CD191" s="113"/>
      <c r="CE191" s="113"/>
      <c r="CF191" s="113">
        <v>0</v>
      </c>
      <c r="CG191" s="113">
        <v>0</v>
      </c>
      <c r="CH191" s="113">
        <v>0</v>
      </c>
      <c r="CI191" s="113">
        <v>0</v>
      </c>
      <c r="CJ191" s="113">
        <v>0</v>
      </c>
      <c r="CK191" s="113">
        <v>0</v>
      </c>
      <c r="CL191" s="113">
        <v>0</v>
      </c>
      <c r="CM191" s="113">
        <v>0</v>
      </c>
      <c r="CN191" s="113">
        <v>0</v>
      </c>
      <c r="CO191" s="113">
        <v>0</v>
      </c>
      <c r="CP191" s="113">
        <v>0</v>
      </c>
      <c r="CQ191" s="113">
        <v>0</v>
      </c>
      <c r="CR191" s="113">
        <v>0</v>
      </c>
      <c r="CS191" s="113">
        <v>0</v>
      </c>
      <c r="CT191" s="113">
        <v>0</v>
      </c>
      <c r="CU191" s="113">
        <v>0</v>
      </c>
      <c r="CV191" s="113">
        <v>0</v>
      </c>
      <c r="CW191" s="113">
        <v>0</v>
      </c>
      <c r="CX191" s="113">
        <v>0</v>
      </c>
      <c r="CY191" s="113">
        <v>0</v>
      </c>
      <c r="CZ191" s="113">
        <v>0</v>
      </c>
      <c r="DA191" s="113">
        <v>0</v>
      </c>
      <c r="DB191" s="113">
        <v>0</v>
      </c>
      <c r="DC191" s="113">
        <v>0</v>
      </c>
      <c r="DD191" s="113">
        <v>0</v>
      </c>
      <c r="DE191" s="113">
        <v>0</v>
      </c>
      <c r="DF191" s="113">
        <v>0</v>
      </c>
      <c r="DG191" s="113">
        <v>0</v>
      </c>
      <c r="DH191" s="113">
        <v>0</v>
      </c>
      <c r="DI191" s="113">
        <v>0</v>
      </c>
      <c r="DJ191" s="113">
        <v>0</v>
      </c>
      <c r="DK191" s="113">
        <v>0</v>
      </c>
      <c r="DL191" s="113">
        <v>0</v>
      </c>
      <c r="DM191" s="113">
        <v>0</v>
      </c>
      <c r="DN191" s="113">
        <v>0</v>
      </c>
      <c r="DO191" s="113">
        <v>0</v>
      </c>
      <c r="DP191" s="113">
        <v>0</v>
      </c>
      <c r="DQ191" s="113">
        <v>0</v>
      </c>
      <c r="DR191" s="113">
        <v>0</v>
      </c>
      <c r="DS191" s="113">
        <v>0</v>
      </c>
      <c r="DT191" s="113">
        <v>0</v>
      </c>
      <c r="DU191" s="113">
        <v>0</v>
      </c>
      <c r="DV191" s="113">
        <v>0</v>
      </c>
      <c r="DW191" s="113">
        <v>0</v>
      </c>
      <c r="DX191" s="113">
        <v>0</v>
      </c>
      <c r="DY191" s="113">
        <v>0</v>
      </c>
      <c r="DZ191" s="113">
        <v>0</v>
      </c>
      <c r="EA191" s="113">
        <v>0</v>
      </c>
      <c r="EB191" s="113">
        <v>0</v>
      </c>
      <c r="EC191" s="113">
        <v>0</v>
      </c>
      <c r="ED191" s="113">
        <v>0</v>
      </c>
      <c r="EE191" s="113">
        <v>0</v>
      </c>
      <c r="EF191" s="113">
        <v>0</v>
      </c>
      <c r="EG191" s="113">
        <v>0</v>
      </c>
      <c r="EH191" s="113">
        <v>0</v>
      </c>
      <c r="EI191" s="113">
        <v>0</v>
      </c>
      <c r="EJ191" s="113">
        <v>0</v>
      </c>
      <c r="EK191" s="113">
        <v>0</v>
      </c>
      <c r="EL191" s="113">
        <v>0</v>
      </c>
      <c r="EM191" s="113">
        <v>0</v>
      </c>
      <c r="EN191" s="113">
        <v>0</v>
      </c>
      <c r="EO191" s="113">
        <v>0</v>
      </c>
      <c r="EP191" s="113">
        <v>0</v>
      </c>
      <c r="EQ191" s="113">
        <v>0</v>
      </c>
      <c r="ER191" s="113">
        <v>0</v>
      </c>
      <c r="ES191" s="113">
        <v>0</v>
      </c>
      <c r="ET191" s="113">
        <v>0</v>
      </c>
      <c r="EU191" s="113">
        <v>0</v>
      </c>
      <c r="EV191" s="113">
        <v>0</v>
      </c>
      <c r="EW191" s="113">
        <v>0</v>
      </c>
      <c r="EX191" s="113">
        <v>0</v>
      </c>
      <c r="EY191" s="113">
        <v>0</v>
      </c>
      <c r="EZ191" s="113">
        <v>0</v>
      </c>
      <c r="FA191" s="113">
        <v>0</v>
      </c>
      <c r="FB191" s="113">
        <v>0</v>
      </c>
      <c r="FC191" s="113">
        <v>0</v>
      </c>
      <c r="FD191" s="113">
        <v>0</v>
      </c>
      <c r="FE191" s="113">
        <v>0</v>
      </c>
      <c r="FF191" s="113">
        <v>0</v>
      </c>
      <c r="FG191" s="113">
        <v>0</v>
      </c>
      <c r="FH191" s="113">
        <v>0</v>
      </c>
      <c r="FI191" s="113">
        <v>0</v>
      </c>
      <c r="FJ191" s="113">
        <v>0</v>
      </c>
      <c r="FK191" s="113">
        <v>0</v>
      </c>
      <c r="FL191" s="113">
        <v>0</v>
      </c>
      <c r="FM191" s="113">
        <v>0</v>
      </c>
      <c r="FN191" s="113">
        <v>0</v>
      </c>
      <c r="FO191" s="113">
        <v>0</v>
      </c>
      <c r="FP191" s="113">
        <v>0</v>
      </c>
      <c r="FQ191" s="113">
        <v>0</v>
      </c>
      <c r="FR191" s="113">
        <v>0</v>
      </c>
      <c r="FS191" s="113">
        <v>0</v>
      </c>
      <c r="FT191" s="113">
        <v>0</v>
      </c>
      <c r="FU191" s="113">
        <v>0</v>
      </c>
      <c r="FV191" s="113">
        <v>0</v>
      </c>
      <c r="FW191" s="113">
        <v>0</v>
      </c>
      <c r="FX191" s="32">
        <v>0</v>
      </c>
      <c r="FY191" s="30">
        <v>0</v>
      </c>
      <c r="FZ191" s="30">
        <v>0</v>
      </c>
    </row>
    <row r="192" spans="1:182" x14ac:dyDescent="0.2">
      <c r="A192" s="28">
        <v>37408</v>
      </c>
      <c r="B192" s="28"/>
      <c r="C192" s="29">
        <v>279061</v>
      </c>
      <c r="D192" s="29">
        <v>199687</v>
      </c>
      <c r="E192" s="29">
        <f t="shared" si="4"/>
        <v>478748</v>
      </c>
      <c r="F192" s="30">
        <v>1733505</v>
      </c>
      <c r="G192" s="30">
        <v>56780</v>
      </c>
      <c r="H192" s="30">
        <f t="shared" si="5"/>
        <v>1790285</v>
      </c>
      <c r="I192" s="42" t="s">
        <v>75</v>
      </c>
      <c r="J192" s="42" t="s">
        <v>75</v>
      </c>
      <c r="K192" s="32">
        <v>2899432</v>
      </c>
      <c r="L192" s="31" t="s">
        <v>75</v>
      </c>
      <c r="M192" s="31" t="s">
        <v>75</v>
      </c>
      <c r="N192" s="30">
        <v>7189748</v>
      </c>
      <c r="O192" s="31" t="s">
        <v>75</v>
      </c>
      <c r="P192" s="31" t="s">
        <v>75</v>
      </c>
      <c r="Q192" s="30">
        <v>7964145</v>
      </c>
      <c r="R192" s="31" t="s">
        <v>75</v>
      </c>
      <c r="S192" s="31" t="s">
        <v>75</v>
      </c>
      <c r="T192" s="32">
        <v>91128</v>
      </c>
      <c r="U192" s="31" t="s">
        <v>75</v>
      </c>
      <c r="V192" s="31" t="s">
        <v>75</v>
      </c>
      <c r="W192" s="31" t="s">
        <v>75</v>
      </c>
      <c r="X192" s="31" t="s">
        <v>75</v>
      </c>
      <c r="Y192" s="31" t="s">
        <v>75</v>
      </c>
      <c r="Z192" s="30">
        <v>55414</v>
      </c>
      <c r="AA192" s="31" t="s">
        <v>75</v>
      </c>
      <c r="AB192" s="31" t="s">
        <v>75</v>
      </c>
      <c r="AC192" s="30">
        <v>208540</v>
      </c>
      <c r="AD192" s="31" t="s">
        <v>75</v>
      </c>
      <c r="AE192" s="31" t="s">
        <v>75</v>
      </c>
      <c r="AF192" s="30">
        <v>4533</v>
      </c>
      <c r="AG192" s="42" t="s">
        <v>75</v>
      </c>
      <c r="AH192" s="42" t="s">
        <v>75</v>
      </c>
      <c r="AI192" s="32">
        <v>86155</v>
      </c>
      <c r="AJ192" s="31" t="s">
        <v>75</v>
      </c>
      <c r="AK192" s="31" t="s">
        <v>75</v>
      </c>
      <c r="AL192" s="31" t="s">
        <v>75</v>
      </c>
      <c r="AM192" s="31"/>
      <c r="AN192" s="31"/>
      <c r="AO192" s="31"/>
      <c r="AP192" s="31"/>
      <c r="AQ192" s="31"/>
      <c r="AR192" s="31"/>
      <c r="AS192" s="31" t="s">
        <v>75</v>
      </c>
      <c r="AT192" s="31" t="s">
        <v>75</v>
      </c>
      <c r="AU192" s="31" t="s">
        <v>75</v>
      </c>
      <c r="AV192" s="31" t="s">
        <v>75</v>
      </c>
      <c r="AW192" s="31" t="s">
        <v>75</v>
      </c>
      <c r="AX192" s="31" t="s">
        <v>75</v>
      </c>
      <c r="AY192" s="31" t="s">
        <v>75</v>
      </c>
      <c r="AZ192" s="31" t="s">
        <v>75</v>
      </c>
      <c r="BA192" s="29">
        <v>12039304</v>
      </c>
      <c r="BB192" s="31" t="s">
        <v>75</v>
      </c>
      <c r="BC192" s="31" t="s">
        <v>75</v>
      </c>
      <c r="BD192" s="29">
        <v>1306566</v>
      </c>
      <c r="BE192" s="113">
        <v>0</v>
      </c>
      <c r="BF192" s="113">
        <v>0</v>
      </c>
      <c r="BG192" s="113">
        <v>0</v>
      </c>
      <c r="BH192" s="113">
        <v>0</v>
      </c>
      <c r="BI192" s="113">
        <v>0</v>
      </c>
      <c r="BJ192" s="113">
        <v>0</v>
      </c>
      <c r="BK192" s="113">
        <v>0</v>
      </c>
      <c r="BL192" s="113">
        <v>0</v>
      </c>
      <c r="BM192" s="113">
        <v>0</v>
      </c>
      <c r="BN192" s="113">
        <v>0</v>
      </c>
      <c r="BO192" s="113">
        <v>0</v>
      </c>
      <c r="BP192" s="113">
        <v>0</v>
      </c>
      <c r="BQ192" s="113">
        <v>0</v>
      </c>
      <c r="BR192" s="113">
        <v>0</v>
      </c>
      <c r="BS192" s="113">
        <v>0</v>
      </c>
      <c r="BT192" s="113">
        <v>0</v>
      </c>
      <c r="BU192" s="113">
        <v>0</v>
      </c>
      <c r="BV192" s="113">
        <v>0</v>
      </c>
      <c r="BW192" s="113"/>
      <c r="BX192" s="113"/>
      <c r="BY192" s="113"/>
      <c r="BZ192" s="113">
        <v>0</v>
      </c>
      <c r="CA192" s="113">
        <v>0</v>
      </c>
      <c r="CB192" s="113">
        <v>0</v>
      </c>
      <c r="CC192" s="113"/>
      <c r="CD192" s="113"/>
      <c r="CE192" s="113"/>
      <c r="CF192" s="113">
        <v>0</v>
      </c>
      <c r="CG192" s="113">
        <v>0</v>
      </c>
      <c r="CH192" s="113">
        <v>0</v>
      </c>
      <c r="CI192" s="113">
        <v>0</v>
      </c>
      <c r="CJ192" s="113">
        <v>0</v>
      </c>
      <c r="CK192" s="113">
        <v>0</v>
      </c>
      <c r="CL192" s="113">
        <v>0</v>
      </c>
      <c r="CM192" s="113">
        <v>0</v>
      </c>
      <c r="CN192" s="113">
        <v>0</v>
      </c>
      <c r="CO192" s="113">
        <v>0</v>
      </c>
      <c r="CP192" s="113">
        <v>0</v>
      </c>
      <c r="CQ192" s="113">
        <v>0</v>
      </c>
      <c r="CR192" s="113">
        <v>0</v>
      </c>
      <c r="CS192" s="113">
        <v>0</v>
      </c>
      <c r="CT192" s="113">
        <v>0</v>
      </c>
      <c r="CU192" s="113">
        <v>0</v>
      </c>
      <c r="CV192" s="113">
        <v>0</v>
      </c>
      <c r="CW192" s="113">
        <v>0</v>
      </c>
      <c r="CX192" s="113">
        <v>0</v>
      </c>
      <c r="CY192" s="113">
        <v>0</v>
      </c>
      <c r="CZ192" s="113">
        <v>0</v>
      </c>
      <c r="DA192" s="113">
        <v>0</v>
      </c>
      <c r="DB192" s="113">
        <v>0</v>
      </c>
      <c r="DC192" s="113">
        <v>0</v>
      </c>
      <c r="DD192" s="113">
        <v>0</v>
      </c>
      <c r="DE192" s="113">
        <v>0</v>
      </c>
      <c r="DF192" s="113">
        <v>0</v>
      </c>
      <c r="DG192" s="113">
        <v>0</v>
      </c>
      <c r="DH192" s="113">
        <v>0</v>
      </c>
      <c r="DI192" s="113">
        <v>0</v>
      </c>
      <c r="DJ192" s="113">
        <v>0</v>
      </c>
      <c r="DK192" s="113">
        <v>0</v>
      </c>
      <c r="DL192" s="113">
        <v>0</v>
      </c>
      <c r="DM192" s="113">
        <v>0</v>
      </c>
      <c r="DN192" s="113">
        <v>0</v>
      </c>
      <c r="DO192" s="113">
        <v>0</v>
      </c>
      <c r="DP192" s="113">
        <v>0</v>
      </c>
      <c r="DQ192" s="113">
        <v>0</v>
      </c>
      <c r="DR192" s="113">
        <v>0</v>
      </c>
      <c r="DS192" s="113">
        <v>0</v>
      </c>
      <c r="DT192" s="113">
        <v>0</v>
      </c>
      <c r="DU192" s="113">
        <v>0</v>
      </c>
      <c r="DV192" s="113">
        <v>0</v>
      </c>
      <c r="DW192" s="113">
        <v>0</v>
      </c>
      <c r="DX192" s="113">
        <v>0</v>
      </c>
      <c r="DY192" s="113">
        <v>0</v>
      </c>
      <c r="DZ192" s="113">
        <v>0</v>
      </c>
      <c r="EA192" s="113">
        <v>0</v>
      </c>
      <c r="EB192" s="113">
        <v>0</v>
      </c>
      <c r="EC192" s="113">
        <v>0</v>
      </c>
      <c r="ED192" s="113">
        <v>0</v>
      </c>
      <c r="EE192" s="113">
        <v>0</v>
      </c>
      <c r="EF192" s="113">
        <v>0</v>
      </c>
      <c r="EG192" s="113">
        <v>0</v>
      </c>
      <c r="EH192" s="113">
        <v>0</v>
      </c>
      <c r="EI192" s="113">
        <v>0</v>
      </c>
      <c r="EJ192" s="113">
        <v>0</v>
      </c>
      <c r="EK192" s="113">
        <v>0</v>
      </c>
      <c r="EL192" s="113">
        <v>0</v>
      </c>
      <c r="EM192" s="113">
        <v>0</v>
      </c>
      <c r="EN192" s="113">
        <v>0</v>
      </c>
      <c r="EO192" s="113">
        <v>0</v>
      </c>
      <c r="EP192" s="113">
        <v>0</v>
      </c>
      <c r="EQ192" s="113">
        <v>0</v>
      </c>
      <c r="ER192" s="113">
        <v>0</v>
      </c>
      <c r="ES192" s="113">
        <v>0</v>
      </c>
      <c r="ET192" s="113">
        <v>0</v>
      </c>
      <c r="EU192" s="113">
        <v>0</v>
      </c>
      <c r="EV192" s="113">
        <v>0</v>
      </c>
      <c r="EW192" s="113">
        <v>0</v>
      </c>
      <c r="EX192" s="113">
        <v>0</v>
      </c>
      <c r="EY192" s="113">
        <v>0</v>
      </c>
      <c r="EZ192" s="113">
        <v>0</v>
      </c>
      <c r="FA192" s="113">
        <v>0</v>
      </c>
      <c r="FB192" s="113">
        <v>0</v>
      </c>
      <c r="FC192" s="113">
        <v>0</v>
      </c>
      <c r="FD192" s="113">
        <v>0</v>
      </c>
      <c r="FE192" s="113">
        <v>0</v>
      </c>
      <c r="FF192" s="113">
        <v>0</v>
      </c>
      <c r="FG192" s="113">
        <v>0</v>
      </c>
      <c r="FH192" s="113">
        <v>0</v>
      </c>
      <c r="FI192" s="113">
        <v>0</v>
      </c>
      <c r="FJ192" s="113">
        <v>0</v>
      </c>
      <c r="FK192" s="113">
        <v>0</v>
      </c>
      <c r="FL192" s="113">
        <v>0</v>
      </c>
      <c r="FM192" s="113">
        <v>0</v>
      </c>
      <c r="FN192" s="113">
        <v>0</v>
      </c>
      <c r="FO192" s="113">
        <v>0</v>
      </c>
      <c r="FP192" s="113">
        <v>0</v>
      </c>
      <c r="FQ192" s="113">
        <v>0</v>
      </c>
      <c r="FR192" s="113">
        <v>0</v>
      </c>
      <c r="FS192" s="113">
        <v>0</v>
      </c>
      <c r="FT192" s="113">
        <v>0</v>
      </c>
      <c r="FU192" s="113">
        <v>0</v>
      </c>
      <c r="FV192" s="113">
        <v>0</v>
      </c>
      <c r="FW192" s="113">
        <v>0</v>
      </c>
      <c r="FX192" s="32">
        <v>0</v>
      </c>
      <c r="FY192" s="30">
        <v>0</v>
      </c>
      <c r="FZ192" s="30">
        <v>0</v>
      </c>
    </row>
    <row r="193" spans="1:182" x14ac:dyDescent="0.2">
      <c r="A193" s="28">
        <v>37438</v>
      </c>
      <c r="B193" s="28"/>
      <c r="C193" s="29">
        <v>179967</v>
      </c>
      <c r="D193" s="29">
        <v>108674</v>
      </c>
      <c r="E193" s="29">
        <f t="shared" si="4"/>
        <v>288641</v>
      </c>
      <c r="F193" s="30">
        <v>1707325</v>
      </c>
      <c r="G193" s="30">
        <v>59375</v>
      </c>
      <c r="H193" s="30">
        <f t="shared" si="5"/>
        <v>1766700</v>
      </c>
      <c r="I193" s="42" t="s">
        <v>75</v>
      </c>
      <c r="J193" s="42" t="s">
        <v>75</v>
      </c>
      <c r="K193" s="32">
        <v>2643435</v>
      </c>
      <c r="L193" s="31" t="s">
        <v>75</v>
      </c>
      <c r="M193" s="31" t="s">
        <v>75</v>
      </c>
      <c r="N193" s="30">
        <v>6685115</v>
      </c>
      <c r="O193" s="31" t="s">
        <v>75</v>
      </c>
      <c r="P193" s="31" t="s">
        <v>75</v>
      </c>
      <c r="Q193" s="30">
        <v>8366946</v>
      </c>
      <c r="R193" s="31" t="s">
        <v>75</v>
      </c>
      <c r="S193" s="31" t="s">
        <v>75</v>
      </c>
      <c r="T193" s="32">
        <v>73493</v>
      </c>
      <c r="U193" s="31" t="s">
        <v>75</v>
      </c>
      <c r="V193" s="31" t="s">
        <v>75</v>
      </c>
      <c r="W193" s="31" t="s">
        <v>75</v>
      </c>
      <c r="X193" s="31" t="s">
        <v>75</v>
      </c>
      <c r="Y193" s="31" t="s">
        <v>75</v>
      </c>
      <c r="Z193" s="30">
        <v>41804</v>
      </c>
      <c r="AA193" s="31" t="s">
        <v>75</v>
      </c>
      <c r="AB193" s="31" t="s">
        <v>75</v>
      </c>
      <c r="AC193" s="30">
        <v>74035</v>
      </c>
      <c r="AD193" s="31" t="s">
        <v>75</v>
      </c>
      <c r="AE193" s="31" t="s">
        <v>75</v>
      </c>
      <c r="AF193" s="30">
        <v>6955</v>
      </c>
      <c r="AG193" s="42" t="s">
        <v>75</v>
      </c>
      <c r="AH193" s="42" t="s">
        <v>75</v>
      </c>
      <c r="AI193" s="32">
        <v>55923</v>
      </c>
      <c r="AJ193" s="31" t="s">
        <v>75</v>
      </c>
      <c r="AK193" s="31" t="s">
        <v>75</v>
      </c>
      <c r="AL193" s="31" t="s">
        <v>75</v>
      </c>
      <c r="AM193" s="31"/>
      <c r="AN193" s="31"/>
      <c r="AO193" s="31"/>
      <c r="AP193" s="31"/>
      <c r="AQ193" s="31"/>
      <c r="AR193" s="31"/>
      <c r="AS193" s="31" t="s">
        <v>75</v>
      </c>
      <c r="AT193" s="31" t="s">
        <v>75</v>
      </c>
      <c r="AU193" s="31" t="s">
        <v>75</v>
      </c>
      <c r="AV193" s="31" t="s">
        <v>75</v>
      </c>
      <c r="AW193" s="31" t="s">
        <v>75</v>
      </c>
      <c r="AX193" s="31" t="s">
        <v>75</v>
      </c>
      <c r="AY193" s="31" t="s">
        <v>75</v>
      </c>
      <c r="AZ193" s="31" t="s">
        <v>75</v>
      </c>
      <c r="BA193" s="29">
        <v>14902762</v>
      </c>
      <c r="BB193" s="31" t="s">
        <v>75</v>
      </c>
      <c r="BC193" s="31" t="s">
        <v>75</v>
      </c>
      <c r="BD193" s="29">
        <v>1491845</v>
      </c>
      <c r="BE193" s="113">
        <v>0</v>
      </c>
      <c r="BF193" s="113">
        <v>0</v>
      </c>
      <c r="BG193" s="113">
        <v>0</v>
      </c>
      <c r="BH193" s="113">
        <v>0</v>
      </c>
      <c r="BI193" s="113">
        <v>0</v>
      </c>
      <c r="BJ193" s="113">
        <v>0</v>
      </c>
      <c r="BK193" s="113">
        <v>0</v>
      </c>
      <c r="BL193" s="113">
        <v>0</v>
      </c>
      <c r="BM193" s="113">
        <v>0</v>
      </c>
      <c r="BN193" s="113">
        <v>0</v>
      </c>
      <c r="BO193" s="113">
        <v>0</v>
      </c>
      <c r="BP193" s="113">
        <v>0</v>
      </c>
      <c r="BQ193" s="113">
        <v>0</v>
      </c>
      <c r="BR193" s="113">
        <v>0</v>
      </c>
      <c r="BS193" s="113">
        <v>0</v>
      </c>
      <c r="BT193" s="113">
        <v>0</v>
      </c>
      <c r="BU193" s="113">
        <v>0</v>
      </c>
      <c r="BV193" s="113">
        <v>0</v>
      </c>
      <c r="BW193" s="113"/>
      <c r="BX193" s="113"/>
      <c r="BY193" s="113"/>
      <c r="BZ193" s="113">
        <v>0</v>
      </c>
      <c r="CA193" s="113">
        <v>0</v>
      </c>
      <c r="CB193" s="113">
        <v>0</v>
      </c>
      <c r="CC193" s="113"/>
      <c r="CD193" s="113"/>
      <c r="CE193" s="113"/>
      <c r="CF193" s="113">
        <v>0</v>
      </c>
      <c r="CG193" s="113">
        <v>0</v>
      </c>
      <c r="CH193" s="113">
        <v>0</v>
      </c>
      <c r="CI193" s="113">
        <v>0</v>
      </c>
      <c r="CJ193" s="113">
        <v>0</v>
      </c>
      <c r="CK193" s="113">
        <v>0</v>
      </c>
      <c r="CL193" s="113">
        <v>0</v>
      </c>
      <c r="CM193" s="113">
        <v>0</v>
      </c>
      <c r="CN193" s="113">
        <v>0</v>
      </c>
      <c r="CO193" s="113">
        <v>0</v>
      </c>
      <c r="CP193" s="113">
        <v>0</v>
      </c>
      <c r="CQ193" s="113">
        <v>0</v>
      </c>
      <c r="CR193" s="113">
        <v>0</v>
      </c>
      <c r="CS193" s="113">
        <v>0</v>
      </c>
      <c r="CT193" s="113">
        <v>0</v>
      </c>
      <c r="CU193" s="113">
        <v>0</v>
      </c>
      <c r="CV193" s="113">
        <v>0</v>
      </c>
      <c r="CW193" s="113">
        <v>0</v>
      </c>
      <c r="CX193" s="113">
        <v>0</v>
      </c>
      <c r="CY193" s="113">
        <v>0</v>
      </c>
      <c r="CZ193" s="113">
        <v>0</v>
      </c>
      <c r="DA193" s="113">
        <v>0</v>
      </c>
      <c r="DB193" s="113">
        <v>0</v>
      </c>
      <c r="DC193" s="113">
        <v>0</v>
      </c>
      <c r="DD193" s="113">
        <v>0</v>
      </c>
      <c r="DE193" s="113">
        <v>0</v>
      </c>
      <c r="DF193" s="113">
        <v>0</v>
      </c>
      <c r="DG193" s="113">
        <v>0</v>
      </c>
      <c r="DH193" s="113">
        <v>0</v>
      </c>
      <c r="DI193" s="113">
        <v>0</v>
      </c>
      <c r="DJ193" s="113">
        <v>0</v>
      </c>
      <c r="DK193" s="113">
        <v>0</v>
      </c>
      <c r="DL193" s="113">
        <v>0</v>
      </c>
      <c r="DM193" s="113">
        <v>0</v>
      </c>
      <c r="DN193" s="113">
        <v>0</v>
      </c>
      <c r="DO193" s="113">
        <v>0</v>
      </c>
      <c r="DP193" s="113">
        <v>0</v>
      </c>
      <c r="DQ193" s="113">
        <v>0</v>
      </c>
      <c r="DR193" s="113">
        <v>0</v>
      </c>
      <c r="DS193" s="113">
        <v>0</v>
      </c>
      <c r="DT193" s="113">
        <v>0</v>
      </c>
      <c r="DU193" s="113">
        <v>0</v>
      </c>
      <c r="DV193" s="113">
        <v>0</v>
      </c>
      <c r="DW193" s="113">
        <v>0</v>
      </c>
      <c r="DX193" s="113">
        <v>0</v>
      </c>
      <c r="DY193" s="113">
        <v>0</v>
      </c>
      <c r="DZ193" s="113">
        <v>0</v>
      </c>
      <c r="EA193" s="113">
        <v>0</v>
      </c>
      <c r="EB193" s="113">
        <v>0</v>
      </c>
      <c r="EC193" s="113">
        <v>0</v>
      </c>
      <c r="ED193" s="113">
        <v>0</v>
      </c>
      <c r="EE193" s="113">
        <v>0</v>
      </c>
      <c r="EF193" s="113">
        <v>0</v>
      </c>
      <c r="EG193" s="113">
        <v>0</v>
      </c>
      <c r="EH193" s="113">
        <v>0</v>
      </c>
      <c r="EI193" s="113">
        <v>0</v>
      </c>
      <c r="EJ193" s="113">
        <v>0</v>
      </c>
      <c r="EK193" s="113">
        <v>0</v>
      </c>
      <c r="EL193" s="113">
        <v>0</v>
      </c>
      <c r="EM193" s="113">
        <v>0</v>
      </c>
      <c r="EN193" s="113">
        <v>0</v>
      </c>
      <c r="EO193" s="113">
        <v>0</v>
      </c>
      <c r="EP193" s="113">
        <v>0</v>
      </c>
      <c r="EQ193" s="113">
        <v>0</v>
      </c>
      <c r="ER193" s="113">
        <v>0</v>
      </c>
      <c r="ES193" s="113">
        <v>0</v>
      </c>
      <c r="ET193" s="113">
        <v>0</v>
      </c>
      <c r="EU193" s="113">
        <v>0</v>
      </c>
      <c r="EV193" s="113">
        <v>0</v>
      </c>
      <c r="EW193" s="113">
        <v>0</v>
      </c>
      <c r="EX193" s="113">
        <v>0</v>
      </c>
      <c r="EY193" s="113">
        <v>0</v>
      </c>
      <c r="EZ193" s="113">
        <v>0</v>
      </c>
      <c r="FA193" s="113">
        <v>0</v>
      </c>
      <c r="FB193" s="113">
        <v>0</v>
      </c>
      <c r="FC193" s="113">
        <v>0</v>
      </c>
      <c r="FD193" s="113">
        <v>0</v>
      </c>
      <c r="FE193" s="113">
        <v>0</v>
      </c>
      <c r="FF193" s="113">
        <v>0</v>
      </c>
      <c r="FG193" s="113">
        <v>0</v>
      </c>
      <c r="FH193" s="113">
        <v>0</v>
      </c>
      <c r="FI193" s="113">
        <v>0</v>
      </c>
      <c r="FJ193" s="113">
        <v>0</v>
      </c>
      <c r="FK193" s="113">
        <v>0</v>
      </c>
      <c r="FL193" s="113">
        <v>0</v>
      </c>
      <c r="FM193" s="113">
        <v>0</v>
      </c>
      <c r="FN193" s="113">
        <v>0</v>
      </c>
      <c r="FO193" s="113">
        <v>0</v>
      </c>
      <c r="FP193" s="113">
        <v>0</v>
      </c>
      <c r="FQ193" s="113">
        <v>0</v>
      </c>
      <c r="FR193" s="113">
        <v>0</v>
      </c>
      <c r="FS193" s="113">
        <v>0</v>
      </c>
      <c r="FT193" s="113">
        <v>0</v>
      </c>
      <c r="FU193" s="113">
        <v>0</v>
      </c>
      <c r="FV193" s="113">
        <v>0</v>
      </c>
      <c r="FW193" s="113">
        <v>0</v>
      </c>
      <c r="FX193" s="32">
        <v>0</v>
      </c>
      <c r="FY193" s="30">
        <v>0</v>
      </c>
      <c r="FZ193" s="30">
        <v>0</v>
      </c>
    </row>
    <row r="194" spans="1:182" x14ac:dyDescent="0.2">
      <c r="A194" s="28">
        <v>37469</v>
      </c>
      <c r="B194" s="28"/>
      <c r="C194" s="29">
        <v>197176</v>
      </c>
      <c r="D194" s="29">
        <v>81994</v>
      </c>
      <c r="E194" s="29">
        <f t="shared" si="4"/>
        <v>279170</v>
      </c>
      <c r="F194" s="30">
        <v>2537303</v>
      </c>
      <c r="G194" s="30">
        <v>70832</v>
      </c>
      <c r="H194" s="30">
        <f t="shared" si="5"/>
        <v>2608135</v>
      </c>
      <c r="I194" s="42" t="s">
        <v>75</v>
      </c>
      <c r="J194" s="42" t="s">
        <v>75</v>
      </c>
      <c r="K194" s="32">
        <v>2372150</v>
      </c>
      <c r="L194" s="31" t="s">
        <v>75</v>
      </c>
      <c r="M194" s="31" t="s">
        <v>75</v>
      </c>
      <c r="N194" s="30">
        <v>6168032</v>
      </c>
      <c r="O194" s="31" t="s">
        <v>75</v>
      </c>
      <c r="P194" s="31" t="s">
        <v>75</v>
      </c>
      <c r="Q194" s="30">
        <v>10054963</v>
      </c>
      <c r="R194" s="31" t="s">
        <v>75</v>
      </c>
      <c r="S194" s="31" t="s">
        <v>75</v>
      </c>
      <c r="T194" s="32">
        <v>81661</v>
      </c>
      <c r="U194" s="31" t="s">
        <v>75</v>
      </c>
      <c r="V194" s="31" t="s">
        <v>75</v>
      </c>
      <c r="W194" s="31" t="s">
        <v>75</v>
      </c>
      <c r="X194" s="31" t="s">
        <v>75</v>
      </c>
      <c r="Y194" s="31" t="s">
        <v>75</v>
      </c>
      <c r="Z194" s="30">
        <v>22672</v>
      </c>
      <c r="AA194" s="31" t="s">
        <v>75</v>
      </c>
      <c r="AB194" s="31" t="s">
        <v>75</v>
      </c>
      <c r="AC194" s="30">
        <v>67423</v>
      </c>
      <c r="AD194" s="31" t="s">
        <v>75</v>
      </c>
      <c r="AE194" s="31" t="s">
        <v>75</v>
      </c>
      <c r="AF194" s="30">
        <v>4944</v>
      </c>
      <c r="AG194" s="42" t="s">
        <v>75</v>
      </c>
      <c r="AH194" s="42" t="s">
        <v>75</v>
      </c>
      <c r="AI194" s="32">
        <v>32184</v>
      </c>
      <c r="AJ194" s="31" t="s">
        <v>75</v>
      </c>
      <c r="AK194" s="31" t="s">
        <v>75</v>
      </c>
      <c r="AL194" s="31" t="s">
        <v>75</v>
      </c>
      <c r="AM194" s="31"/>
      <c r="AN194" s="31"/>
      <c r="AO194" s="31"/>
      <c r="AP194" s="31"/>
      <c r="AQ194" s="31"/>
      <c r="AR194" s="31"/>
      <c r="AS194" s="31" t="s">
        <v>75</v>
      </c>
      <c r="AT194" s="31" t="s">
        <v>75</v>
      </c>
      <c r="AU194" s="31" t="s">
        <v>75</v>
      </c>
      <c r="AV194" s="31" t="s">
        <v>75</v>
      </c>
      <c r="AW194" s="31" t="s">
        <v>75</v>
      </c>
      <c r="AX194" s="31" t="s">
        <v>75</v>
      </c>
      <c r="AY194" s="31" t="s">
        <v>75</v>
      </c>
      <c r="AZ194" s="31" t="s">
        <v>75</v>
      </c>
      <c r="BA194" s="29">
        <v>10693961</v>
      </c>
      <c r="BB194" s="31" t="s">
        <v>75</v>
      </c>
      <c r="BC194" s="31" t="s">
        <v>75</v>
      </c>
      <c r="BD194" s="29">
        <v>1452993</v>
      </c>
      <c r="BE194" s="113">
        <v>0</v>
      </c>
      <c r="BF194" s="113">
        <v>0</v>
      </c>
      <c r="BG194" s="113">
        <v>0</v>
      </c>
      <c r="BH194" s="113">
        <v>0</v>
      </c>
      <c r="BI194" s="113">
        <v>0</v>
      </c>
      <c r="BJ194" s="113">
        <v>0</v>
      </c>
      <c r="BK194" s="113">
        <v>0</v>
      </c>
      <c r="BL194" s="113">
        <v>0</v>
      </c>
      <c r="BM194" s="113">
        <v>0</v>
      </c>
      <c r="BN194" s="113">
        <v>0</v>
      </c>
      <c r="BO194" s="113">
        <v>0</v>
      </c>
      <c r="BP194" s="113">
        <v>0</v>
      </c>
      <c r="BQ194" s="113">
        <v>0</v>
      </c>
      <c r="BR194" s="113">
        <v>0</v>
      </c>
      <c r="BS194" s="113">
        <v>0</v>
      </c>
      <c r="BT194" s="113">
        <v>0</v>
      </c>
      <c r="BU194" s="113">
        <v>0</v>
      </c>
      <c r="BV194" s="113">
        <v>0</v>
      </c>
      <c r="BW194" s="113"/>
      <c r="BX194" s="113"/>
      <c r="BY194" s="113"/>
      <c r="BZ194" s="113">
        <v>0</v>
      </c>
      <c r="CA194" s="113">
        <v>0</v>
      </c>
      <c r="CB194" s="113">
        <v>0</v>
      </c>
      <c r="CC194" s="113"/>
      <c r="CD194" s="113"/>
      <c r="CE194" s="113"/>
      <c r="CF194" s="113">
        <v>0</v>
      </c>
      <c r="CG194" s="113">
        <v>0</v>
      </c>
      <c r="CH194" s="113">
        <v>0</v>
      </c>
      <c r="CI194" s="113">
        <v>0</v>
      </c>
      <c r="CJ194" s="113">
        <v>0</v>
      </c>
      <c r="CK194" s="113">
        <v>0</v>
      </c>
      <c r="CL194" s="113">
        <v>0</v>
      </c>
      <c r="CM194" s="113">
        <v>0</v>
      </c>
      <c r="CN194" s="113">
        <v>0</v>
      </c>
      <c r="CO194" s="113">
        <v>0</v>
      </c>
      <c r="CP194" s="113">
        <v>0</v>
      </c>
      <c r="CQ194" s="113">
        <v>0</v>
      </c>
      <c r="CR194" s="113">
        <v>0</v>
      </c>
      <c r="CS194" s="113">
        <v>0</v>
      </c>
      <c r="CT194" s="113">
        <v>0</v>
      </c>
      <c r="CU194" s="113">
        <v>0</v>
      </c>
      <c r="CV194" s="113">
        <v>0</v>
      </c>
      <c r="CW194" s="113">
        <v>0</v>
      </c>
      <c r="CX194" s="113">
        <v>0</v>
      </c>
      <c r="CY194" s="113">
        <v>0</v>
      </c>
      <c r="CZ194" s="113">
        <v>0</v>
      </c>
      <c r="DA194" s="113">
        <v>0</v>
      </c>
      <c r="DB194" s="113">
        <v>0</v>
      </c>
      <c r="DC194" s="113">
        <v>0</v>
      </c>
      <c r="DD194" s="113">
        <v>0</v>
      </c>
      <c r="DE194" s="113">
        <v>0</v>
      </c>
      <c r="DF194" s="113">
        <v>0</v>
      </c>
      <c r="DG194" s="113">
        <v>0</v>
      </c>
      <c r="DH194" s="113">
        <v>0</v>
      </c>
      <c r="DI194" s="113">
        <v>0</v>
      </c>
      <c r="DJ194" s="113">
        <v>0</v>
      </c>
      <c r="DK194" s="113">
        <v>0</v>
      </c>
      <c r="DL194" s="113">
        <v>0</v>
      </c>
      <c r="DM194" s="113">
        <v>0</v>
      </c>
      <c r="DN194" s="113">
        <v>0</v>
      </c>
      <c r="DO194" s="113">
        <v>0</v>
      </c>
      <c r="DP194" s="113">
        <v>0</v>
      </c>
      <c r="DQ194" s="113">
        <v>0</v>
      </c>
      <c r="DR194" s="113">
        <v>0</v>
      </c>
      <c r="DS194" s="113">
        <v>0</v>
      </c>
      <c r="DT194" s="113">
        <v>0</v>
      </c>
      <c r="DU194" s="113">
        <v>0</v>
      </c>
      <c r="DV194" s="113">
        <v>0</v>
      </c>
      <c r="DW194" s="113">
        <v>0</v>
      </c>
      <c r="DX194" s="113">
        <v>0</v>
      </c>
      <c r="DY194" s="113">
        <v>0</v>
      </c>
      <c r="DZ194" s="113">
        <v>0</v>
      </c>
      <c r="EA194" s="113">
        <v>0</v>
      </c>
      <c r="EB194" s="113">
        <v>0</v>
      </c>
      <c r="EC194" s="113">
        <v>0</v>
      </c>
      <c r="ED194" s="113">
        <v>0</v>
      </c>
      <c r="EE194" s="113">
        <v>0</v>
      </c>
      <c r="EF194" s="113">
        <v>0</v>
      </c>
      <c r="EG194" s="113">
        <v>0</v>
      </c>
      <c r="EH194" s="113">
        <v>0</v>
      </c>
      <c r="EI194" s="113">
        <v>0</v>
      </c>
      <c r="EJ194" s="113">
        <v>0</v>
      </c>
      <c r="EK194" s="113">
        <v>0</v>
      </c>
      <c r="EL194" s="113">
        <v>0</v>
      </c>
      <c r="EM194" s="113">
        <v>0</v>
      </c>
      <c r="EN194" s="113">
        <v>0</v>
      </c>
      <c r="EO194" s="113">
        <v>0</v>
      </c>
      <c r="EP194" s="113">
        <v>0</v>
      </c>
      <c r="EQ194" s="113">
        <v>0</v>
      </c>
      <c r="ER194" s="113">
        <v>0</v>
      </c>
      <c r="ES194" s="113">
        <v>0</v>
      </c>
      <c r="ET194" s="113">
        <v>0</v>
      </c>
      <c r="EU194" s="113">
        <v>0</v>
      </c>
      <c r="EV194" s="113">
        <v>0</v>
      </c>
      <c r="EW194" s="113">
        <v>0</v>
      </c>
      <c r="EX194" s="113">
        <v>0</v>
      </c>
      <c r="EY194" s="113">
        <v>0</v>
      </c>
      <c r="EZ194" s="113">
        <v>0</v>
      </c>
      <c r="FA194" s="113">
        <v>0</v>
      </c>
      <c r="FB194" s="113">
        <v>0</v>
      </c>
      <c r="FC194" s="113">
        <v>0</v>
      </c>
      <c r="FD194" s="113">
        <v>0</v>
      </c>
      <c r="FE194" s="113">
        <v>0</v>
      </c>
      <c r="FF194" s="113">
        <v>0</v>
      </c>
      <c r="FG194" s="113">
        <v>0</v>
      </c>
      <c r="FH194" s="113">
        <v>0</v>
      </c>
      <c r="FI194" s="113">
        <v>0</v>
      </c>
      <c r="FJ194" s="113">
        <v>0</v>
      </c>
      <c r="FK194" s="113">
        <v>0</v>
      </c>
      <c r="FL194" s="113">
        <v>0</v>
      </c>
      <c r="FM194" s="113">
        <v>0</v>
      </c>
      <c r="FN194" s="113">
        <v>0</v>
      </c>
      <c r="FO194" s="113">
        <v>0</v>
      </c>
      <c r="FP194" s="113">
        <v>0</v>
      </c>
      <c r="FQ194" s="113">
        <v>0</v>
      </c>
      <c r="FR194" s="113">
        <v>0</v>
      </c>
      <c r="FS194" s="113">
        <v>0</v>
      </c>
      <c r="FT194" s="113">
        <v>0</v>
      </c>
      <c r="FU194" s="113">
        <v>0</v>
      </c>
      <c r="FV194" s="113">
        <v>0</v>
      </c>
      <c r="FW194" s="113">
        <v>0</v>
      </c>
      <c r="FX194" s="32">
        <v>0</v>
      </c>
      <c r="FY194" s="30">
        <v>0</v>
      </c>
      <c r="FZ194" s="30">
        <v>0</v>
      </c>
    </row>
    <row r="195" spans="1:182" x14ac:dyDescent="0.2">
      <c r="A195" s="28">
        <v>37500</v>
      </c>
      <c r="B195" s="28"/>
      <c r="C195" s="29">
        <v>170926</v>
      </c>
      <c r="D195" s="29">
        <v>104025</v>
      </c>
      <c r="E195" s="29">
        <f t="shared" si="4"/>
        <v>274951</v>
      </c>
      <c r="F195" s="30">
        <v>2402621</v>
      </c>
      <c r="G195" s="30">
        <v>76034</v>
      </c>
      <c r="H195" s="30">
        <f t="shared" si="5"/>
        <v>2478655</v>
      </c>
      <c r="I195" s="42" t="s">
        <v>75</v>
      </c>
      <c r="J195" s="42" t="s">
        <v>75</v>
      </c>
      <c r="K195" s="32">
        <v>4587287</v>
      </c>
      <c r="L195" s="31" t="s">
        <v>75</v>
      </c>
      <c r="M195" s="31" t="s">
        <v>75</v>
      </c>
      <c r="N195" s="30">
        <v>8118600</v>
      </c>
      <c r="O195" s="31" t="s">
        <v>75</v>
      </c>
      <c r="P195" s="31" t="s">
        <v>75</v>
      </c>
      <c r="Q195" s="30">
        <v>11363729</v>
      </c>
      <c r="R195" s="31" t="s">
        <v>75</v>
      </c>
      <c r="S195" s="31" t="s">
        <v>75</v>
      </c>
      <c r="T195" s="32">
        <v>66229</v>
      </c>
      <c r="U195" s="31" t="s">
        <v>75</v>
      </c>
      <c r="V195" s="31" t="s">
        <v>75</v>
      </c>
      <c r="W195" s="31" t="s">
        <v>75</v>
      </c>
      <c r="X195" s="31" t="s">
        <v>75</v>
      </c>
      <c r="Y195" s="31" t="s">
        <v>75</v>
      </c>
      <c r="Z195" s="30">
        <v>31380</v>
      </c>
      <c r="AA195" s="31" t="s">
        <v>75</v>
      </c>
      <c r="AB195" s="31" t="s">
        <v>75</v>
      </c>
      <c r="AC195" s="30">
        <v>77320</v>
      </c>
      <c r="AD195" s="31" t="s">
        <v>75</v>
      </c>
      <c r="AE195" s="31" t="s">
        <v>75</v>
      </c>
      <c r="AF195" s="30">
        <v>7721</v>
      </c>
      <c r="AG195" s="42" t="s">
        <v>75</v>
      </c>
      <c r="AH195" s="42" t="s">
        <v>75</v>
      </c>
      <c r="AI195" s="32">
        <v>37908</v>
      </c>
      <c r="AJ195" s="31" t="s">
        <v>75</v>
      </c>
      <c r="AK195" s="31" t="s">
        <v>75</v>
      </c>
      <c r="AL195" s="31" t="s">
        <v>75</v>
      </c>
      <c r="AM195" s="31"/>
      <c r="AN195" s="31"/>
      <c r="AO195" s="31"/>
      <c r="AP195" s="31"/>
      <c r="AQ195" s="31"/>
      <c r="AR195" s="31"/>
      <c r="AS195" s="31" t="s">
        <v>75</v>
      </c>
      <c r="AT195" s="31" t="s">
        <v>75</v>
      </c>
      <c r="AU195" s="31" t="s">
        <v>75</v>
      </c>
      <c r="AV195" s="31" t="s">
        <v>75</v>
      </c>
      <c r="AW195" s="31" t="s">
        <v>75</v>
      </c>
      <c r="AX195" s="31" t="s">
        <v>75</v>
      </c>
      <c r="AY195" s="31" t="s">
        <v>75</v>
      </c>
      <c r="AZ195" s="31" t="s">
        <v>75</v>
      </c>
      <c r="BA195" s="29">
        <v>11819705</v>
      </c>
      <c r="BB195" s="31" t="s">
        <v>75</v>
      </c>
      <c r="BC195" s="31" t="s">
        <v>75</v>
      </c>
      <c r="BD195" s="29">
        <v>1603195</v>
      </c>
      <c r="BE195" s="113">
        <v>0</v>
      </c>
      <c r="BF195" s="113">
        <v>0</v>
      </c>
      <c r="BG195" s="113">
        <v>0</v>
      </c>
      <c r="BH195" s="113">
        <v>0</v>
      </c>
      <c r="BI195" s="113">
        <v>0</v>
      </c>
      <c r="BJ195" s="113">
        <v>0</v>
      </c>
      <c r="BK195" s="113">
        <v>0</v>
      </c>
      <c r="BL195" s="113">
        <v>0</v>
      </c>
      <c r="BM195" s="113">
        <v>0</v>
      </c>
      <c r="BN195" s="113">
        <v>0</v>
      </c>
      <c r="BO195" s="113">
        <v>0</v>
      </c>
      <c r="BP195" s="113">
        <v>0</v>
      </c>
      <c r="BQ195" s="113">
        <v>0</v>
      </c>
      <c r="BR195" s="113">
        <v>0</v>
      </c>
      <c r="BS195" s="113">
        <v>0</v>
      </c>
      <c r="BT195" s="113">
        <v>0</v>
      </c>
      <c r="BU195" s="113">
        <v>0</v>
      </c>
      <c r="BV195" s="113">
        <v>0</v>
      </c>
      <c r="BW195" s="113"/>
      <c r="BX195" s="113"/>
      <c r="BY195" s="113"/>
      <c r="BZ195" s="113">
        <v>0</v>
      </c>
      <c r="CA195" s="113">
        <v>0</v>
      </c>
      <c r="CB195" s="113">
        <v>0</v>
      </c>
      <c r="CC195" s="113"/>
      <c r="CD195" s="113"/>
      <c r="CE195" s="113"/>
      <c r="CF195" s="113">
        <v>0</v>
      </c>
      <c r="CG195" s="113">
        <v>0</v>
      </c>
      <c r="CH195" s="113">
        <v>0</v>
      </c>
      <c r="CI195" s="113">
        <v>0</v>
      </c>
      <c r="CJ195" s="113">
        <v>0</v>
      </c>
      <c r="CK195" s="113">
        <v>0</v>
      </c>
      <c r="CL195" s="113">
        <v>0</v>
      </c>
      <c r="CM195" s="113">
        <v>0</v>
      </c>
      <c r="CN195" s="113">
        <v>0</v>
      </c>
      <c r="CO195" s="113">
        <v>0</v>
      </c>
      <c r="CP195" s="113">
        <v>0</v>
      </c>
      <c r="CQ195" s="113">
        <v>0</v>
      </c>
      <c r="CR195" s="113">
        <v>0</v>
      </c>
      <c r="CS195" s="113">
        <v>0</v>
      </c>
      <c r="CT195" s="113">
        <v>0</v>
      </c>
      <c r="CU195" s="113">
        <v>0</v>
      </c>
      <c r="CV195" s="113">
        <v>0</v>
      </c>
      <c r="CW195" s="113">
        <v>0</v>
      </c>
      <c r="CX195" s="113">
        <v>0</v>
      </c>
      <c r="CY195" s="113">
        <v>0</v>
      </c>
      <c r="CZ195" s="113">
        <v>0</v>
      </c>
      <c r="DA195" s="113">
        <v>0</v>
      </c>
      <c r="DB195" s="113">
        <v>0</v>
      </c>
      <c r="DC195" s="113">
        <v>0</v>
      </c>
      <c r="DD195" s="113">
        <v>0</v>
      </c>
      <c r="DE195" s="113">
        <v>0</v>
      </c>
      <c r="DF195" s="113">
        <v>0</v>
      </c>
      <c r="DG195" s="113">
        <v>0</v>
      </c>
      <c r="DH195" s="113">
        <v>0</v>
      </c>
      <c r="DI195" s="113">
        <v>0</v>
      </c>
      <c r="DJ195" s="113">
        <v>0</v>
      </c>
      <c r="DK195" s="113">
        <v>0</v>
      </c>
      <c r="DL195" s="113">
        <v>0</v>
      </c>
      <c r="DM195" s="113">
        <v>0</v>
      </c>
      <c r="DN195" s="113">
        <v>0</v>
      </c>
      <c r="DO195" s="113">
        <v>0</v>
      </c>
      <c r="DP195" s="113">
        <v>0</v>
      </c>
      <c r="DQ195" s="113">
        <v>0</v>
      </c>
      <c r="DR195" s="113">
        <v>0</v>
      </c>
      <c r="DS195" s="113">
        <v>0</v>
      </c>
      <c r="DT195" s="113">
        <v>0</v>
      </c>
      <c r="DU195" s="113">
        <v>0</v>
      </c>
      <c r="DV195" s="113">
        <v>0</v>
      </c>
      <c r="DW195" s="113">
        <v>0</v>
      </c>
      <c r="DX195" s="113">
        <v>0</v>
      </c>
      <c r="DY195" s="113">
        <v>0</v>
      </c>
      <c r="DZ195" s="113">
        <v>0</v>
      </c>
      <c r="EA195" s="113">
        <v>0</v>
      </c>
      <c r="EB195" s="113">
        <v>0</v>
      </c>
      <c r="EC195" s="113">
        <v>0</v>
      </c>
      <c r="ED195" s="113">
        <v>0</v>
      </c>
      <c r="EE195" s="113">
        <v>0</v>
      </c>
      <c r="EF195" s="113">
        <v>0</v>
      </c>
      <c r="EG195" s="113">
        <v>0</v>
      </c>
      <c r="EH195" s="113">
        <v>0</v>
      </c>
      <c r="EI195" s="113">
        <v>0</v>
      </c>
      <c r="EJ195" s="113">
        <v>0</v>
      </c>
      <c r="EK195" s="113">
        <v>0</v>
      </c>
      <c r="EL195" s="113">
        <v>0</v>
      </c>
      <c r="EM195" s="113">
        <v>0</v>
      </c>
      <c r="EN195" s="113">
        <v>0</v>
      </c>
      <c r="EO195" s="113">
        <v>0</v>
      </c>
      <c r="EP195" s="113">
        <v>0</v>
      </c>
      <c r="EQ195" s="113">
        <v>0</v>
      </c>
      <c r="ER195" s="113">
        <v>0</v>
      </c>
      <c r="ES195" s="113">
        <v>0</v>
      </c>
      <c r="ET195" s="113">
        <v>0</v>
      </c>
      <c r="EU195" s="113">
        <v>0</v>
      </c>
      <c r="EV195" s="113">
        <v>0</v>
      </c>
      <c r="EW195" s="113">
        <v>0</v>
      </c>
      <c r="EX195" s="113">
        <v>0</v>
      </c>
      <c r="EY195" s="113">
        <v>0</v>
      </c>
      <c r="EZ195" s="113">
        <v>0</v>
      </c>
      <c r="FA195" s="113">
        <v>0</v>
      </c>
      <c r="FB195" s="113">
        <v>0</v>
      </c>
      <c r="FC195" s="113">
        <v>0</v>
      </c>
      <c r="FD195" s="113">
        <v>0</v>
      </c>
      <c r="FE195" s="113">
        <v>0</v>
      </c>
      <c r="FF195" s="113">
        <v>0</v>
      </c>
      <c r="FG195" s="113">
        <v>0</v>
      </c>
      <c r="FH195" s="113">
        <v>0</v>
      </c>
      <c r="FI195" s="113">
        <v>0</v>
      </c>
      <c r="FJ195" s="113">
        <v>0</v>
      </c>
      <c r="FK195" s="113">
        <v>0</v>
      </c>
      <c r="FL195" s="113">
        <v>0</v>
      </c>
      <c r="FM195" s="113">
        <v>0</v>
      </c>
      <c r="FN195" s="113">
        <v>0</v>
      </c>
      <c r="FO195" s="113">
        <v>0</v>
      </c>
      <c r="FP195" s="113">
        <v>0</v>
      </c>
      <c r="FQ195" s="113">
        <v>0</v>
      </c>
      <c r="FR195" s="113">
        <v>0</v>
      </c>
      <c r="FS195" s="113">
        <v>0</v>
      </c>
      <c r="FT195" s="113">
        <v>0</v>
      </c>
      <c r="FU195" s="113">
        <v>0</v>
      </c>
      <c r="FV195" s="113">
        <v>0</v>
      </c>
      <c r="FW195" s="113">
        <v>0</v>
      </c>
      <c r="FX195" s="32">
        <v>0</v>
      </c>
      <c r="FY195" s="30">
        <v>0</v>
      </c>
      <c r="FZ195" s="30">
        <v>0</v>
      </c>
    </row>
    <row r="196" spans="1:182" x14ac:dyDescent="0.2">
      <c r="A196" s="28">
        <v>37530</v>
      </c>
      <c r="B196" s="28"/>
      <c r="C196" s="29">
        <v>240090</v>
      </c>
      <c r="D196" s="29">
        <v>97316</v>
      </c>
      <c r="E196" s="29">
        <f t="shared" si="4"/>
        <v>337406</v>
      </c>
      <c r="F196" s="30">
        <v>4063514</v>
      </c>
      <c r="G196" s="30">
        <v>80999</v>
      </c>
      <c r="H196" s="30">
        <f t="shared" si="5"/>
        <v>4144513</v>
      </c>
      <c r="I196" s="42" t="s">
        <v>75</v>
      </c>
      <c r="J196" s="42" t="s">
        <v>75</v>
      </c>
      <c r="K196" s="32">
        <v>5151161</v>
      </c>
      <c r="L196" s="31" t="s">
        <v>75</v>
      </c>
      <c r="M196" s="31" t="s">
        <v>75</v>
      </c>
      <c r="N196" s="30">
        <v>8678006</v>
      </c>
      <c r="O196" s="31" t="s">
        <v>75</v>
      </c>
      <c r="P196" s="31" t="s">
        <v>75</v>
      </c>
      <c r="Q196" s="30">
        <v>13845542</v>
      </c>
      <c r="R196" s="31" t="s">
        <v>75</v>
      </c>
      <c r="S196" s="31" t="s">
        <v>75</v>
      </c>
      <c r="T196" s="32">
        <v>62284</v>
      </c>
      <c r="U196" s="31" t="s">
        <v>75</v>
      </c>
      <c r="V196" s="31" t="s">
        <v>75</v>
      </c>
      <c r="W196" s="31" t="s">
        <v>75</v>
      </c>
      <c r="X196" s="31" t="s">
        <v>75</v>
      </c>
      <c r="Y196" s="31" t="s">
        <v>75</v>
      </c>
      <c r="Z196" s="30">
        <v>62105</v>
      </c>
      <c r="AA196" s="31" t="s">
        <v>75</v>
      </c>
      <c r="AB196" s="31" t="s">
        <v>75</v>
      </c>
      <c r="AC196" s="30">
        <v>99242</v>
      </c>
      <c r="AD196" s="31" t="s">
        <v>75</v>
      </c>
      <c r="AE196" s="31" t="s">
        <v>75</v>
      </c>
      <c r="AF196" s="30">
        <v>9929</v>
      </c>
      <c r="AG196" s="42" t="s">
        <v>75</v>
      </c>
      <c r="AH196" s="42" t="s">
        <v>75</v>
      </c>
      <c r="AI196" s="32">
        <v>35557</v>
      </c>
      <c r="AJ196" s="31" t="s">
        <v>75</v>
      </c>
      <c r="AK196" s="31" t="s">
        <v>75</v>
      </c>
      <c r="AL196" s="31" t="s">
        <v>75</v>
      </c>
      <c r="AM196" s="31"/>
      <c r="AN196" s="31"/>
      <c r="AO196" s="31"/>
      <c r="AP196" s="31"/>
      <c r="AQ196" s="31"/>
      <c r="AR196" s="31"/>
      <c r="AS196" s="31" t="s">
        <v>75</v>
      </c>
      <c r="AT196" s="31" t="s">
        <v>75</v>
      </c>
      <c r="AU196" s="31" t="s">
        <v>75</v>
      </c>
      <c r="AV196" s="31" t="s">
        <v>75</v>
      </c>
      <c r="AW196" s="31" t="s">
        <v>75</v>
      </c>
      <c r="AX196" s="31" t="s">
        <v>75</v>
      </c>
      <c r="AY196" s="31" t="s">
        <v>75</v>
      </c>
      <c r="AZ196" s="31" t="s">
        <v>75</v>
      </c>
      <c r="BA196" s="29">
        <v>12733095</v>
      </c>
      <c r="BB196" s="31" t="s">
        <v>75</v>
      </c>
      <c r="BC196" s="31" t="s">
        <v>75</v>
      </c>
      <c r="BD196" s="29">
        <v>1700358</v>
      </c>
      <c r="BE196" s="113">
        <v>0</v>
      </c>
      <c r="BF196" s="113">
        <v>0</v>
      </c>
      <c r="BG196" s="113">
        <v>0</v>
      </c>
      <c r="BH196" s="113">
        <v>0</v>
      </c>
      <c r="BI196" s="113">
        <v>0</v>
      </c>
      <c r="BJ196" s="113">
        <v>0</v>
      </c>
      <c r="BK196" s="113">
        <v>0</v>
      </c>
      <c r="BL196" s="113">
        <v>0</v>
      </c>
      <c r="BM196" s="113">
        <v>0</v>
      </c>
      <c r="BN196" s="113">
        <v>0</v>
      </c>
      <c r="BO196" s="113">
        <v>0</v>
      </c>
      <c r="BP196" s="113">
        <v>0</v>
      </c>
      <c r="BQ196" s="113">
        <v>0</v>
      </c>
      <c r="BR196" s="113">
        <v>0</v>
      </c>
      <c r="BS196" s="113">
        <v>0</v>
      </c>
      <c r="BT196" s="113">
        <v>0</v>
      </c>
      <c r="BU196" s="113">
        <v>0</v>
      </c>
      <c r="BV196" s="113">
        <v>0</v>
      </c>
      <c r="BW196" s="113"/>
      <c r="BX196" s="113"/>
      <c r="BY196" s="113"/>
      <c r="BZ196" s="113">
        <v>0</v>
      </c>
      <c r="CA196" s="113">
        <v>0</v>
      </c>
      <c r="CB196" s="113">
        <v>0</v>
      </c>
      <c r="CC196" s="113"/>
      <c r="CD196" s="113"/>
      <c r="CE196" s="113"/>
      <c r="CF196" s="113">
        <v>0</v>
      </c>
      <c r="CG196" s="113">
        <v>0</v>
      </c>
      <c r="CH196" s="113">
        <v>0</v>
      </c>
      <c r="CI196" s="113">
        <v>0</v>
      </c>
      <c r="CJ196" s="113">
        <v>0</v>
      </c>
      <c r="CK196" s="113">
        <v>0</v>
      </c>
      <c r="CL196" s="113">
        <v>0</v>
      </c>
      <c r="CM196" s="113">
        <v>0</v>
      </c>
      <c r="CN196" s="113">
        <v>0</v>
      </c>
      <c r="CO196" s="113">
        <v>0</v>
      </c>
      <c r="CP196" s="113">
        <v>0</v>
      </c>
      <c r="CQ196" s="113">
        <v>0</v>
      </c>
      <c r="CR196" s="113">
        <v>0</v>
      </c>
      <c r="CS196" s="113">
        <v>0</v>
      </c>
      <c r="CT196" s="113">
        <v>0</v>
      </c>
      <c r="CU196" s="113">
        <v>0</v>
      </c>
      <c r="CV196" s="113">
        <v>0</v>
      </c>
      <c r="CW196" s="113">
        <v>0</v>
      </c>
      <c r="CX196" s="113">
        <v>0</v>
      </c>
      <c r="CY196" s="113">
        <v>0</v>
      </c>
      <c r="CZ196" s="113">
        <v>0</v>
      </c>
      <c r="DA196" s="113">
        <v>0</v>
      </c>
      <c r="DB196" s="113">
        <v>0</v>
      </c>
      <c r="DC196" s="113">
        <v>0</v>
      </c>
      <c r="DD196" s="113">
        <v>0</v>
      </c>
      <c r="DE196" s="113">
        <v>0</v>
      </c>
      <c r="DF196" s="113">
        <v>0</v>
      </c>
      <c r="DG196" s="113">
        <v>0</v>
      </c>
      <c r="DH196" s="113">
        <v>0</v>
      </c>
      <c r="DI196" s="113">
        <v>0</v>
      </c>
      <c r="DJ196" s="113">
        <v>0</v>
      </c>
      <c r="DK196" s="113">
        <v>0</v>
      </c>
      <c r="DL196" s="113">
        <v>0</v>
      </c>
      <c r="DM196" s="113">
        <v>0</v>
      </c>
      <c r="DN196" s="113">
        <v>0</v>
      </c>
      <c r="DO196" s="113">
        <v>0</v>
      </c>
      <c r="DP196" s="113">
        <v>0</v>
      </c>
      <c r="DQ196" s="113">
        <v>0</v>
      </c>
      <c r="DR196" s="113">
        <v>0</v>
      </c>
      <c r="DS196" s="113">
        <v>0</v>
      </c>
      <c r="DT196" s="113">
        <v>0</v>
      </c>
      <c r="DU196" s="113">
        <v>0</v>
      </c>
      <c r="DV196" s="113">
        <v>0</v>
      </c>
      <c r="DW196" s="113">
        <v>0</v>
      </c>
      <c r="DX196" s="113">
        <v>0</v>
      </c>
      <c r="DY196" s="113">
        <v>0</v>
      </c>
      <c r="DZ196" s="113">
        <v>0</v>
      </c>
      <c r="EA196" s="113">
        <v>0</v>
      </c>
      <c r="EB196" s="113">
        <v>0</v>
      </c>
      <c r="EC196" s="113">
        <v>0</v>
      </c>
      <c r="ED196" s="113">
        <v>0</v>
      </c>
      <c r="EE196" s="113">
        <v>0</v>
      </c>
      <c r="EF196" s="113">
        <v>0</v>
      </c>
      <c r="EG196" s="113">
        <v>0</v>
      </c>
      <c r="EH196" s="113">
        <v>0</v>
      </c>
      <c r="EI196" s="113">
        <v>0</v>
      </c>
      <c r="EJ196" s="113">
        <v>0</v>
      </c>
      <c r="EK196" s="113">
        <v>0</v>
      </c>
      <c r="EL196" s="113">
        <v>0</v>
      </c>
      <c r="EM196" s="113">
        <v>0</v>
      </c>
      <c r="EN196" s="113">
        <v>0</v>
      </c>
      <c r="EO196" s="113">
        <v>0</v>
      </c>
      <c r="EP196" s="113">
        <v>0</v>
      </c>
      <c r="EQ196" s="113">
        <v>0</v>
      </c>
      <c r="ER196" s="113">
        <v>0</v>
      </c>
      <c r="ES196" s="113">
        <v>0</v>
      </c>
      <c r="ET196" s="113">
        <v>0</v>
      </c>
      <c r="EU196" s="113">
        <v>0</v>
      </c>
      <c r="EV196" s="113">
        <v>0</v>
      </c>
      <c r="EW196" s="113">
        <v>0</v>
      </c>
      <c r="EX196" s="113">
        <v>0</v>
      </c>
      <c r="EY196" s="113">
        <v>0</v>
      </c>
      <c r="EZ196" s="113">
        <v>0</v>
      </c>
      <c r="FA196" s="113">
        <v>0</v>
      </c>
      <c r="FB196" s="113">
        <v>0</v>
      </c>
      <c r="FC196" s="113">
        <v>0</v>
      </c>
      <c r="FD196" s="113">
        <v>0</v>
      </c>
      <c r="FE196" s="113">
        <v>0</v>
      </c>
      <c r="FF196" s="113">
        <v>0</v>
      </c>
      <c r="FG196" s="113">
        <v>0</v>
      </c>
      <c r="FH196" s="113">
        <v>0</v>
      </c>
      <c r="FI196" s="113">
        <v>0</v>
      </c>
      <c r="FJ196" s="113">
        <v>0</v>
      </c>
      <c r="FK196" s="113">
        <v>0</v>
      </c>
      <c r="FL196" s="113">
        <v>0</v>
      </c>
      <c r="FM196" s="113">
        <v>0</v>
      </c>
      <c r="FN196" s="113">
        <v>0</v>
      </c>
      <c r="FO196" s="113">
        <v>0</v>
      </c>
      <c r="FP196" s="113">
        <v>0</v>
      </c>
      <c r="FQ196" s="113">
        <v>0</v>
      </c>
      <c r="FR196" s="113">
        <v>0</v>
      </c>
      <c r="FS196" s="113">
        <v>0</v>
      </c>
      <c r="FT196" s="113">
        <v>0</v>
      </c>
      <c r="FU196" s="113">
        <v>0</v>
      </c>
      <c r="FV196" s="113">
        <v>0</v>
      </c>
      <c r="FW196" s="113">
        <v>0</v>
      </c>
      <c r="FX196" s="32">
        <v>0</v>
      </c>
      <c r="FY196" s="30">
        <v>0</v>
      </c>
      <c r="FZ196" s="30">
        <v>0</v>
      </c>
    </row>
    <row r="197" spans="1:182" x14ac:dyDescent="0.2">
      <c r="A197" s="28">
        <v>37561</v>
      </c>
      <c r="B197" s="28"/>
      <c r="C197" s="29">
        <v>309809</v>
      </c>
      <c r="D197" s="29">
        <v>78059</v>
      </c>
      <c r="E197" s="29">
        <f t="shared" si="4"/>
        <v>387868</v>
      </c>
      <c r="F197" s="30">
        <v>5676762</v>
      </c>
      <c r="G197" s="30">
        <v>106264</v>
      </c>
      <c r="H197" s="30">
        <f t="shared" si="5"/>
        <v>5783026</v>
      </c>
      <c r="I197" s="42" t="s">
        <v>75</v>
      </c>
      <c r="J197" s="42" t="s">
        <v>75</v>
      </c>
      <c r="K197" s="32">
        <v>5911678</v>
      </c>
      <c r="L197" s="31" t="s">
        <v>75</v>
      </c>
      <c r="M197" s="31" t="s">
        <v>75</v>
      </c>
      <c r="N197" s="30">
        <v>8554752</v>
      </c>
      <c r="O197" s="31" t="s">
        <v>75</v>
      </c>
      <c r="P197" s="31" t="s">
        <v>75</v>
      </c>
      <c r="Q197" s="30">
        <v>7871866</v>
      </c>
      <c r="R197" s="31" t="s">
        <v>75</v>
      </c>
      <c r="S197" s="31" t="s">
        <v>75</v>
      </c>
      <c r="T197" s="32">
        <v>57114</v>
      </c>
      <c r="U197" s="31" t="s">
        <v>75</v>
      </c>
      <c r="V197" s="31" t="s">
        <v>75</v>
      </c>
      <c r="W197" s="31" t="s">
        <v>75</v>
      </c>
      <c r="X197" s="31" t="s">
        <v>75</v>
      </c>
      <c r="Y197" s="31" t="s">
        <v>75</v>
      </c>
      <c r="Z197" s="30">
        <v>72283</v>
      </c>
      <c r="AA197" s="31" t="s">
        <v>75</v>
      </c>
      <c r="AB197" s="31" t="s">
        <v>75</v>
      </c>
      <c r="AC197" s="30">
        <v>223724</v>
      </c>
      <c r="AD197" s="31" t="s">
        <v>75</v>
      </c>
      <c r="AE197" s="31" t="s">
        <v>75</v>
      </c>
      <c r="AF197" s="30">
        <v>34985</v>
      </c>
      <c r="AG197" s="42" t="s">
        <v>75</v>
      </c>
      <c r="AH197" s="42" t="s">
        <v>75</v>
      </c>
      <c r="AI197" s="32">
        <v>116619</v>
      </c>
      <c r="AJ197" s="31" t="s">
        <v>75</v>
      </c>
      <c r="AK197" s="31" t="s">
        <v>75</v>
      </c>
      <c r="AL197" s="31" t="s">
        <v>75</v>
      </c>
      <c r="AM197" s="31"/>
      <c r="AN197" s="31"/>
      <c r="AO197" s="31"/>
      <c r="AP197" s="31"/>
      <c r="AQ197" s="31"/>
      <c r="AR197" s="31"/>
      <c r="AS197" s="31" t="s">
        <v>75</v>
      </c>
      <c r="AT197" s="31" t="s">
        <v>75</v>
      </c>
      <c r="AU197" s="31" t="s">
        <v>75</v>
      </c>
      <c r="AV197" s="31" t="s">
        <v>75</v>
      </c>
      <c r="AW197" s="31" t="s">
        <v>75</v>
      </c>
      <c r="AX197" s="31" t="s">
        <v>75</v>
      </c>
      <c r="AY197" s="31" t="s">
        <v>75</v>
      </c>
      <c r="AZ197" s="31" t="s">
        <v>75</v>
      </c>
      <c r="BA197" s="29">
        <v>12166535</v>
      </c>
      <c r="BB197" s="31" t="s">
        <v>75</v>
      </c>
      <c r="BC197" s="31" t="s">
        <v>75</v>
      </c>
      <c r="BD197" s="29">
        <v>1692642</v>
      </c>
      <c r="BE197" s="113">
        <v>0</v>
      </c>
      <c r="BF197" s="113">
        <v>0</v>
      </c>
      <c r="BG197" s="113">
        <v>0</v>
      </c>
      <c r="BH197" s="113">
        <v>0</v>
      </c>
      <c r="BI197" s="113">
        <v>0</v>
      </c>
      <c r="BJ197" s="113">
        <v>0</v>
      </c>
      <c r="BK197" s="113">
        <v>0</v>
      </c>
      <c r="BL197" s="113">
        <v>0</v>
      </c>
      <c r="BM197" s="113">
        <v>0</v>
      </c>
      <c r="BN197" s="113">
        <v>0</v>
      </c>
      <c r="BO197" s="113">
        <v>0</v>
      </c>
      <c r="BP197" s="113">
        <v>0</v>
      </c>
      <c r="BQ197" s="113">
        <v>0</v>
      </c>
      <c r="BR197" s="113">
        <v>0</v>
      </c>
      <c r="BS197" s="113">
        <v>0</v>
      </c>
      <c r="BT197" s="113">
        <v>0</v>
      </c>
      <c r="BU197" s="113">
        <v>0</v>
      </c>
      <c r="BV197" s="113">
        <v>0</v>
      </c>
      <c r="BW197" s="113"/>
      <c r="BX197" s="113"/>
      <c r="BY197" s="113"/>
      <c r="BZ197" s="113">
        <v>0</v>
      </c>
      <c r="CA197" s="113">
        <v>0</v>
      </c>
      <c r="CB197" s="113">
        <v>0</v>
      </c>
      <c r="CC197" s="113"/>
      <c r="CD197" s="113"/>
      <c r="CE197" s="113"/>
      <c r="CF197" s="113">
        <v>0</v>
      </c>
      <c r="CG197" s="113">
        <v>0</v>
      </c>
      <c r="CH197" s="113">
        <v>0</v>
      </c>
      <c r="CI197" s="113">
        <v>0</v>
      </c>
      <c r="CJ197" s="113">
        <v>0</v>
      </c>
      <c r="CK197" s="113">
        <v>0</v>
      </c>
      <c r="CL197" s="113">
        <v>0</v>
      </c>
      <c r="CM197" s="113">
        <v>0</v>
      </c>
      <c r="CN197" s="113">
        <v>0</v>
      </c>
      <c r="CO197" s="113">
        <v>0</v>
      </c>
      <c r="CP197" s="113">
        <v>0</v>
      </c>
      <c r="CQ197" s="113">
        <v>0</v>
      </c>
      <c r="CR197" s="113">
        <v>0</v>
      </c>
      <c r="CS197" s="113">
        <v>0</v>
      </c>
      <c r="CT197" s="113">
        <v>0</v>
      </c>
      <c r="CU197" s="113">
        <v>0</v>
      </c>
      <c r="CV197" s="113">
        <v>0</v>
      </c>
      <c r="CW197" s="113">
        <v>0</v>
      </c>
      <c r="CX197" s="113">
        <v>0</v>
      </c>
      <c r="CY197" s="113">
        <v>0</v>
      </c>
      <c r="CZ197" s="113">
        <v>0</v>
      </c>
      <c r="DA197" s="113">
        <v>0</v>
      </c>
      <c r="DB197" s="113">
        <v>0</v>
      </c>
      <c r="DC197" s="113">
        <v>0</v>
      </c>
      <c r="DD197" s="113">
        <v>0</v>
      </c>
      <c r="DE197" s="113">
        <v>0</v>
      </c>
      <c r="DF197" s="113">
        <v>0</v>
      </c>
      <c r="DG197" s="113">
        <v>0</v>
      </c>
      <c r="DH197" s="113">
        <v>0</v>
      </c>
      <c r="DI197" s="113">
        <v>0</v>
      </c>
      <c r="DJ197" s="113">
        <v>0</v>
      </c>
      <c r="DK197" s="113">
        <v>0</v>
      </c>
      <c r="DL197" s="113">
        <v>0</v>
      </c>
      <c r="DM197" s="113">
        <v>0</v>
      </c>
      <c r="DN197" s="113">
        <v>0</v>
      </c>
      <c r="DO197" s="113">
        <v>0</v>
      </c>
      <c r="DP197" s="113">
        <v>0</v>
      </c>
      <c r="DQ197" s="113">
        <v>0</v>
      </c>
      <c r="DR197" s="113">
        <v>0</v>
      </c>
      <c r="DS197" s="113">
        <v>0</v>
      </c>
      <c r="DT197" s="113">
        <v>0</v>
      </c>
      <c r="DU197" s="113">
        <v>0</v>
      </c>
      <c r="DV197" s="113">
        <v>0</v>
      </c>
      <c r="DW197" s="113">
        <v>0</v>
      </c>
      <c r="DX197" s="113">
        <v>0</v>
      </c>
      <c r="DY197" s="113">
        <v>0</v>
      </c>
      <c r="DZ197" s="113">
        <v>0</v>
      </c>
      <c r="EA197" s="113">
        <v>0</v>
      </c>
      <c r="EB197" s="113">
        <v>0</v>
      </c>
      <c r="EC197" s="113">
        <v>0</v>
      </c>
      <c r="ED197" s="113">
        <v>0</v>
      </c>
      <c r="EE197" s="113">
        <v>0</v>
      </c>
      <c r="EF197" s="113">
        <v>0</v>
      </c>
      <c r="EG197" s="113">
        <v>0</v>
      </c>
      <c r="EH197" s="113">
        <v>0</v>
      </c>
      <c r="EI197" s="113">
        <v>0</v>
      </c>
      <c r="EJ197" s="113">
        <v>0</v>
      </c>
      <c r="EK197" s="113">
        <v>0</v>
      </c>
      <c r="EL197" s="113">
        <v>0</v>
      </c>
      <c r="EM197" s="113">
        <v>0</v>
      </c>
      <c r="EN197" s="113">
        <v>0</v>
      </c>
      <c r="EO197" s="113">
        <v>0</v>
      </c>
      <c r="EP197" s="113">
        <v>0</v>
      </c>
      <c r="EQ197" s="113">
        <v>0</v>
      </c>
      <c r="ER197" s="113">
        <v>0</v>
      </c>
      <c r="ES197" s="113">
        <v>0</v>
      </c>
      <c r="ET197" s="113">
        <v>0</v>
      </c>
      <c r="EU197" s="113">
        <v>0</v>
      </c>
      <c r="EV197" s="113">
        <v>0</v>
      </c>
      <c r="EW197" s="113">
        <v>0</v>
      </c>
      <c r="EX197" s="113">
        <v>0</v>
      </c>
      <c r="EY197" s="113">
        <v>0</v>
      </c>
      <c r="EZ197" s="113">
        <v>0</v>
      </c>
      <c r="FA197" s="113">
        <v>0</v>
      </c>
      <c r="FB197" s="113">
        <v>0</v>
      </c>
      <c r="FC197" s="113">
        <v>0</v>
      </c>
      <c r="FD197" s="113">
        <v>0</v>
      </c>
      <c r="FE197" s="113">
        <v>0</v>
      </c>
      <c r="FF197" s="113">
        <v>0</v>
      </c>
      <c r="FG197" s="113">
        <v>0</v>
      </c>
      <c r="FH197" s="113">
        <v>0</v>
      </c>
      <c r="FI197" s="113">
        <v>0</v>
      </c>
      <c r="FJ197" s="113">
        <v>0</v>
      </c>
      <c r="FK197" s="113">
        <v>0</v>
      </c>
      <c r="FL197" s="113">
        <v>0</v>
      </c>
      <c r="FM197" s="113">
        <v>0</v>
      </c>
      <c r="FN197" s="113">
        <v>0</v>
      </c>
      <c r="FO197" s="113">
        <v>0</v>
      </c>
      <c r="FP197" s="113">
        <v>0</v>
      </c>
      <c r="FQ197" s="113">
        <v>0</v>
      </c>
      <c r="FR197" s="113">
        <v>0</v>
      </c>
      <c r="FS197" s="113">
        <v>0</v>
      </c>
      <c r="FT197" s="113">
        <v>0</v>
      </c>
      <c r="FU197" s="113">
        <v>0</v>
      </c>
      <c r="FV197" s="113">
        <v>0</v>
      </c>
      <c r="FW197" s="113">
        <v>0</v>
      </c>
      <c r="FX197" s="32">
        <v>0</v>
      </c>
      <c r="FY197" s="30">
        <v>0</v>
      </c>
      <c r="FZ197" s="30">
        <v>0</v>
      </c>
    </row>
    <row r="198" spans="1:182" x14ac:dyDescent="0.2">
      <c r="A198" s="28">
        <v>37591</v>
      </c>
      <c r="B198" s="28"/>
      <c r="C198" s="29">
        <v>516407</v>
      </c>
      <c r="D198" s="29">
        <v>269117</v>
      </c>
      <c r="E198" s="29">
        <f t="shared" si="4"/>
        <v>785524</v>
      </c>
      <c r="F198" s="30">
        <v>10793256</v>
      </c>
      <c r="G198" s="30">
        <v>159940</v>
      </c>
      <c r="H198" s="30">
        <f t="shared" si="5"/>
        <v>10953196</v>
      </c>
      <c r="I198" s="42" t="s">
        <v>75</v>
      </c>
      <c r="J198" s="42" t="s">
        <v>75</v>
      </c>
      <c r="K198" s="32">
        <v>7706496</v>
      </c>
      <c r="L198" s="31" t="s">
        <v>75</v>
      </c>
      <c r="M198" s="31" t="s">
        <v>75</v>
      </c>
      <c r="N198" s="30">
        <v>12404841</v>
      </c>
      <c r="O198" s="31" t="s">
        <v>75</v>
      </c>
      <c r="P198" s="31" t="s">
        <v>75</v>
      </c>
      <c r="Q198" s="30">
        <v>16166794</v>
      </c>
      <c r="R198" s="31" t="s">
        <v>75</v>
      </c>
      <c r="S198" s="31" t="s">
        <v>75</v>
      </c>
      <c r="T198" s="32">
        <v>48957</v>
      </c>
      <c r="U198" s="31" t="s">
        <v>75</v>
      </c>
      <c r="V198" s="31" t="s">
        <v>75</v>
      </c>
      <c r="W198" s="31" t="s">
        <v>75</v>
      </c>
      <c r="X198" s="31" t="s">
        <v>75</v>
      </c>
      <c r="Y198" s="31" t="s">
        <v>75</v>
      </c>
      <c r="Z198" s="30">
        <v>133303</v>
      </c>
      <c r="AA198" s="31" t="s">
        <v>75</v>
      </c>
      <c r="AB198" s="31" t="s">
        <v>75</v>
      </c>
      <c r="AC198" s="30">
        <v>82515</v>
      </c>
      <c r="AD198" s="31" t="s">
        <v>75</v>
      </c>
      <c r="AE198" s="31" t="s">
        <v>75</v>
      </c>
      <c r="AF198" s="30">
        <v>46176</v>
      </c>
      <c r="AG198" s="42" t="s">
        <v>75</v>
      </c>
      <c r="AH198" s="42" t="s">
        <v>75</v>
      </c>
      <c r="AI198" s="32">
        <v>89609</v>
      </c>
      <c r="AJ198" s="31" t="s">
        <v>75</v>
      </c>
      <c r="AK198" s="31" t="s">
        <v>75</v>
      </c>
      <c r="AL198" s="31" t="s">
        <v>75</v>
      </c>
      <c r="AM198" s="31"/>
      <c r="AN198" s="31"/>
      <c r="AO198" s="31"/>
      <c r="AP198" s="31"/>
      <c r="AQ198" s="31"/>
      <c r="AR198" s="31"/>
      <c r="AS198" s="31" t="s">
        <v>75</v>
      </c>
      <c r="AT198" s="31" t="s">
        <v>75</v>
      </c>
      <c r="AU198" s="31" t="s">
        <v>75</v>
      </c>
      <c r="AV198" s="31" t="s">
        <v>75</v>
      </c>
      <c r="AW198" s="31" t="s">
        <v>75</v>
      </c>
      <c r="AX198" s="31" t="s">
        <v>75</v>
      </c>
      <c r="AY198" s="31" t="s">
        <v>75</v>
      </c>
      <c r="AZ198" s="31" t="s">
        <v>75</v>
      </c>
      <c r="BA198" s="29">
        <v>15246239</v>
      </c>
      <c r="BB198" s="31" t="s">
        <v>75</v>
      </c>
      <c r="BC198" s="31" t="s">
        <v>75</v>
      </c>
      <c r="BD198" s="29">
        <v>1878142</v>
      </c>
      <c r="BE198" s="113">
        <v>0</v>
      </c>
      <c r="BF198" s="113">
        <v>0</v>
      </c>
      <c r="BG198" s="113">
        <v>0</v>
      </c>
      <c r="BH198" s="113">
        <v>0</v>
      </c>
      <c r="BI198" s="113">
        <v>0</v>
      </c>
      <c r="BJ198" s="113">
        <v>0</v>
      </c>
      <c r="BK198" s="113">
        <v>0</v>
      </c>
      <c r="BL198" s="113">
        <v>0</v>
      </c>
      <c r="BM198" s="113">
        <v>0</v>
      </c>
      <c r="BN198" s="113">
        <v>0</v>
      </c>
      <c r="BO198" s="113">
        <v>0</v>
      </c>
      <c r="BP198" s="113">
        <v>0</v>
      </c>
      <c r="BQ198" s="113">
        <v>0</v>
      </c>
      <c r="BR198" s="113">
        <v>0</v>
      </c>
      <c r="BS198" s="113">
        <v>0</v>
      </c>
      <c r="BT198" s="113">
        <v>0</v>
      </c>
      <c r="BU198" s="113">
        <v>0</v>
      </c>
      <c r="BV198" s="113">
        <v>0</v>
      </c>
      <c r="BW198" s="113"/>
      <c r="BX198" s="113"/>
      <c r="BY198" s="113"/>
      <c r="BZ198" s="113">
        <v>0</v>
      </c>
      <c r="CA198" s="113">
        <v>0</v>
      </c>
      <c r="CB198" s="113">
        <v>0</v>
      </c>
      <c r="CC198" s="113"/>
      <c r="CD198" s="113"/>
      <c r="CE198" s="113"/>
      <c r="CF198" s="113">
        <v>0</v>
      </c>
      <c r="CG198" s="113">
        <v>0</v>
      </c>
      <c r="CH198" s="113">
        <v>0</v>
      </c>
      <c r="CI198" s="113">
        <v>0</v>
      </c>
      <c r="CJ198" s="113">
        <v>0</v>
      </c>
      <c r="CK198" s="113">
        <v>0</v>
      </c>
      <c r="CL198" s="113">
        <v>0</v>
      </c>
      <c r="CM198" s="113">
        <v>0</v>
      </c>
      <c r="CN198" s="113">
        <v>0</v>
      </c>
      <c r="CO198" s="113">
        <v>0</v>
      </c>
      <c r="CP198" s="113">
        <v>0</v>
      </c>
      <c r="CQ198" s="113">
        <v>0</v>
      </c>
      <c r="CR198" s="113">
        <v>0</v>
      </c>
      <c r="CS198" s="113">
        <v>0</v>
      </c>
      <c r="CT198" s="113">
        <v>0</v>
      </c>
      <c r="CU198" s="113">
        <v>0</v>
      </c>
      <c r="CV198" s="113">
        <v>0</v>
      </c>
      <c r="CW198" s="113">
        <v>0</v>
      </c>
      <c r="CX198" s="113">
        <v>0</v>
      </c>
      <c r="CY198" s="113">
        <v>0</v>
      </c>
      <c r="CZ198" s="113">
        <v>0</v>
      </c>
      <c r="DA198" s="113">
        <v>0</v>
      </c>
      <c r="DB198" s="113">
        <v>0</v>
      </c>
      <c r="DC198" s="113">
        <v>0</v>
      </c>
      <c r="DD198" s="113">
        <v>0</v>
      </c>
      <c r="DE198" s="113">
        <v>0</v>
      </c>
      <c r="DF198" s="113">
        <v>0</v>
      </c>
      <c r="DG198" s="113">
        <v>0</v>
      </c>
      <c r="DH198" s="113">
        <v>0</v>
      </c>
      <c r="DI198" s="113">
        <v>0</v>
      </c>
      <c r="DJ198" s="113">
        <v>0</v>
      </c>
      <c r="DK198" s="113">
        <v>0</v>
      </c>
      <c r="DL198" s="113">
        <v>0</v>
      </c>
      <c r="DM198" s="113">
        <v>0</v>
      </c>
      <c r="DN198" s="113">
        <v>0</v>
      </c>
      <c r="DO198" s="113">
        <v>0</v>
      </c>
      <c r="DP198" s="113">
        <v>0</v>
      </c>
      <c r="DQ198" s="113">
        <v>0</v>
      </c>
      <c r="DR198" s="113">
        <v>0</v>
      </c>
      <c r="DS198" s="113">
        <v>0</v>
      </c>
      <c r="DT198" s="113">
        <v>0</v>
      </c>
      <c r="DU198" s="113">
        <v>0</v>
      </c>
      <c r="DV198" s="113">
        <v>0</v>
      </c>
      <c r="DW198" s="113">
        <v>0</v>
      </c>
      <c r="DX198" s="113">
        <v>0</v>
      </c>
      <c r="DY198" s="113">
        <v>0</v>
      </c>
      <c r="DZ198" s="113">
        <v>0</v>
      </c>
      <c r="EA198" s="113">
        <v>0</v>
      </c>
      <c r="EB198" s="113">
        <v>0</v>
      </c>
      <c r="EC198" s="113">
        <v>0</v>
      </c>
      <c r="ED198" s="113">
        <v>0</v>
      </c>
      <c r="EE198" s="113">
        <v>0</v>
      </c>
      <c r="EF198" s="113">
        <v>0</v>
      </c>
      <c r="EG198" s="113">
        <v>0</v>
      </c>
      <c r="EH198" s="113">
        <v>0</v>
      </c>
      <c r="EI198" s="113">
        <v>0</v>
      </c>
      <c r="EJ198" s="113">
        <v>0</v>
      </c>
      <c r="EK198" s="113">
        <v>0</v>
      </c>
      <c r="EL198" s="113">
        <v>0</v>
      </c>
      <c r="EM198" s="113">
        <v>0</v>
      </c>
      <c r="EN198" s="113">
        <v>0</v>
      </c>
      <c r="EO198" s="113">
        <v>0</v>
      </c>
      <c r="EP198" s="113">
        <v>0</v>
      </c>
      <c r="EQ198" s="113">
        <v>0</v>
      </c>
      <c r="ER198" s="113">
        <v>0</v>
      </c>
      <c r="ES198" s="113">
        <v>0</v>
      </c>
      <c r="ET198" s="113">
        <v>0</v>
      </c>
      <c r="EU198" s="113">
        <v>0</v>
      </c>
      <c r="EV198" s="113">
        <v>0</v>
      </c>
      <c r="EW198" s="113">
        <v>0</v>
      </c>
      <c r="EX198" s="113">
        <v>0</v>
      </c>
      <c r="EY198" s="113">
        <v>0</v>
      </c>
      <c r="EZ198" s="113">
        <v>0</v>
      </c>
      <c r="FA198" s="113">
        <v>0</v>
      </c>
      <c r="FB198" s="113">
        <v>0</v>
      </c>
      <c r="FC198" s="113">
        <v>0</v>
      </c>
      <c r="FD198" s="113">
        <v>0</v>
      </c>
      <c r="FE198" s="113">
        <v>0</v>
      </c>
      <c r="FF198" s="113">
        <v>0</v>
      </c>
      <c r="FG198" s="113">
        <v>0</v>
      </c>
      <c r="FH198" s="113">
        <v>0</v>
      </c>
      <c r="FI198" s="113">
        <v>0</v>
      </c>
      <c r="FJ198" s="113">
        <v>0</v>
      </c>
      <c r="FK198" s="113">
        <v>0</v>
      </c>
      <c r="FL198" s="113">
        <v>0</v>
      </c>
      <c r="FM198" s="113">
        <v>0</v>
      </c>
      <c r="FN198" s="113">
        <v>0</v>
      </c>
      <c r="FO198" s="113">
        <v>0</v>
      </c>
      <c r="FP198" s="113">
        <v>0</v>
      </c>
      <c r="FQ198" s="113">
        <v>0</v>
      </c>
      <c r="FR198" s="113">
        <v>0</v>
      </c>
      <c r="FS198" s="113">
        <v>0</v>
      </c>
      <c r="FT198" s="113">
        <v>0</v>
      </c>
      <c r="FU198" s="113">
        <v>0</v>
      </c>
      <c r="FV198" s="113">
        <v>0</v>
      </c>
      <c r="FW198" s="113">
        <v>0</v>
      </c>
      <c r="FX198" s="32">
        <v>0</v>
      </c>
      <c r="FY198" s="30">
        <v>0</v>
      </c>
      <c r="FZ198" s="30">
        <v>0</v>
      </c>
    </row>
    <row r="199" spans="1:182" x14ac:dyDescent="0.2">
      <c r="A199" s="28">
        <v>37622</v>
      </c>
      <c r="B199" s="28"/>
      <c r="C199" s="29">
        <v>56882</v>
      </c>
      <c r="D199" s="29">
        <v>19930</v>
      </c>
      <c r="E199" s="29">
        <f t="shared" si="4"/>
        <v>76812</v>
      </c>
      <c r="F199" s="30">
        <v>2587101</v>
      </c>
      <c r="G199" s="30">
        <v>154384</v>
      </c>
      <c r="H199" s="30">
        <f t="shared" si="5"/>
        <v>2741485</v>
      </c>
      <c r="I199" s="42" t="s">
        <v>75</v>
      </c>
      <c r="J199" s="42" t="s">
        <v>75</v>
      </c>
      <c r="K199" s="32">
        <v>6562509</v>
      </c>
      <c r="L199" s="31" t="s">
        <v>75</v>
      </c>
      <c r="M199" s="31" t="s">
        <v>75</v>
      </c>
      <c r="N199" s="30">
        <v>8555003</v>
      </c>
      <c r="O199" s="31" t="s">
        <v>75</v>
      </c>
      <c r="P199" s="31" t="s">
        <v>75</v>
      </c>
      <c r="Q199" s="30">
        <v>19220237</v>
      </c>
      <c r="R199" s="31" t="s">
        <v>75</v>
      </c>
      <c r="S199" s="31" t="s">
        <v>75</v>
      </c>
      <c r="T199" s="32">
        <v>63613</v>
      </c>
      <c r="U199" s="31" t="s">
        <v>75</v>
      </c>
      <c r="V199" s="31" t="s">
        <v>75</v>
      </c>
      <c r="W199" s="30">
        <v>0</v>
      </c>
      <c r="X199" s="31" t="s">
        <v>75</v>
      </c>
      <c r="Y199" s="31" t="s">
        <v>75</v>
      </c>
      <c r="Z199" s="30">
        <v>22313</v>
      </c>
      <c r="AA199" s="31" t="s">
        <v>75</v>
      </c>
      <c r="AB199" s="31" t="s">
        <v>75</v>
      </c>
      <c r="AC199" s="30">
        <v>68974</v>
      </c>
      <c r="AD199" s="31" t="s">
        <v>75</v>
      </c>
      <c r="AE199" s="31" t="s">
        <v>75</v>
      </c>
      <c r="AF199" s="30">
        <v>6276</v>
      </c>
      <c r="AG199" s="42" t="s">
        <v>75</v>
      </c>
      <c r="AH199" s="42" t="s">
        <v>75</v>
      </c>
      <c r="AI199" s="32">
        <v>45870</v>
      </c>
      <c r="AJ199" s="31" t="s">
        <v>75</v>
      </c>
      <c r="AK199" s="31" t="s">
        <v>75</v>
      </c>
      <c r="AL199" s="31" t="s">
        <v>75</v>
      </c>
      <c r="AM199" s="31"/>
      <c r="AN199" s="31"/>
      <c r="AO199" s="31"/>
      <c r="AP199" s="31"/>
      <c r="AQ199" s="31"/>
      <c r="AR199" s="31"/>
      <c r="AS199" s="31" t="s">
        <v>75</v>
      </c>
      <c r="AT199" s="31" t="s">
        <v>75</v>
      </c>
      <c r="AU199" s="31" t="s">
        <v>75</v>
      </c>
      <c r="AV199" s="31" t="s">
        <v>75</v>
      </c>
      <c r="AW199" s="31" t="s">
        <v>75</v>
      </c>
      <c r="AX199" s="31" t="s">
        <v>75</v>
      </c>
      <c r="AY199" s="31" t="s">
        <v>75</v>
      </c>
      <c r="AZ199" s="31" t="s">
        <v>75</v>
      </c>
      <c r="BA199" s="29">
        <v>13371276</v>
      </c>
      <c r="BB199" s="31" t="s">
        <v>75</v>
      </c>
      <c r="BC199" s="31" t="s">
        <v>75</v>
      </c>
      <c r="BD199" s="29">
        <v>1331696</v>
      </c>
      <c r="BE199" s="113">
        <v>0</v>
      </c>
      <c r="BF199" s="113">
        <v>0</v>
      </c>
      <c r="BG199" s="113">
        <v>0</v>
      </c>
      <c r="BH199" s="113">
        <v>0</v>
      </c>
      <c r="BI199" s="113">
        <v>0</v>
      </c>
      <c r="BJ199" s="113">
        <v>0</v>
      </c>
      <c r="BK199" s="113">
        <v>0</v>
      </c>
      <c r="BL199" s="113">
        <v>0</v>
      </c>
      <c r="BM199" s="113">
        <v>0</v>
      </c>
      <c r="BN199" s="113">
        <v>0</v>
      </c>
      <c r="BO199" s="113">
        <v>0</v>
      </c>
      <c r="BP199" s="113">
        <v>0</v>
      </c>
      <c r="BQ199" s="113">
        <v>0</v>
      </c>
      <c r="BR199" s="113">
        <v>0</v>
      </c>
      <c r="BS199" s="113">
        <v>0</v>
      </c>
      <c r="BT199" s="113">
        <v>0</v>
      </c>
      <c r="BU199" s="113">
        <v>0</v>
      </c>
      <c r="BV199" s="113">
        <v>0</v>
      </c>
      <c r="BW199" s="113"/>
      <c r="BX199" s="113"/>
      <c r="BY199" s="113"/>
      <c r="BZ199" s="113">
        <v>0</v>
      </c>
      <c r="CA199" s="113">
        <v>0</v>
      </c>
      <c r="CB199" s="113">
        <v>0</v>
      </c>
      <c r="CC199" s="113"/>
      <c r="CD199" s="113"/>
      <c r="CE199" s="113"/>
      <c r="CF199" s="113">
        <v>0</v>
      </c>
      <c r="CG199" s="113">
        <v>0</v>
      </c>
      <c r="CH199" s="113">
        <v>0</v>
      </c>
      <c r="CI199" s="113">
        <v>0</v>
      </c>
      <c r="CJ199" s="113">
        <v>0</v>
      </c>
      <c r="CK199" s="113">
        <v>0</v>
      </c>
      <c r="CL199" s="113">
        <v>0</v>
      </c>
      <c r="CM199" s="113">
        <v>0</v>
      </c>
      <c r="CN199" s="113">
        <v>0</v>
      </c>
      <c r="CO199" s="113">
        <v>0</v>
      </c>
      <c r="CP199" s="113">
        <v>0</v>
      </c>
      <c r="CQ199" s="113">
        <v>0</v>
      </c>
      <c r="CR199" s="113">
        <v>0</v>
      </c>
      <c r="CS199" s="113">
        <v>0</v>
      </c>
      <c r="CT199" s="113">
        <v>0</v>
      </c>
      <c r="CU199" s="113">
        <v>0</v>
      </c>
      <c r="CV199" s="113">
        <v>0</v>
      </c>
      <c r="CW199" s="113">
        <v>0</v>
      </c>
      <c r="CX199" s="113">
        <v>0</v>
      </c>
      <c r="CY199" s="113">
        <v>0</v>
      </c>
      <c r="CZ199" s="113">
        <v>0</v>
      </c>
      <c r="DA199" s="113">
        <v>0</v>
      </c>
      <c r="DB199" s="113">
        <v>0</v>
      </c>
      <c r="DC199" s="113">
        <v>0</v>
      </c>
      <c r="DD199" s="113">
        <v>0</v>
      </c>
      <c r="DE199" s="113">
        <v>0</v>
      </c>
      <c r="DF199" s="113">
        <v>0</v>
      </c>
      <c r="DG199" s="113">
        <v>0</v>
      </c>
      <c r="DH199" s="113">
        <v>0</v>
      </c>
      <c r="DI199" s="113">
        <v>0</v>
      </c>
      <c r="DJ199" s="113">
        <v>0</v>
      </c>
      <c r="DK199" s="113">
        <v>0</v>
      </c>
      <c r="DL199" s="113">
        <v>0</v>
      </c>
      <c r="DM199" s="113">
        <v>0</v>
      </c>
      <c r="DN199" s="113">
        <v>0</v>
      </c>
      <c r="DO199" s="113">
        <v>0</v>
      </c>
      <c r="DP199" s="113">
        <v>0</v>
      </c>
      <c r="DQ199" s="113">
        <v>0</v>
      </c>
      <c r="DR199" s="113">
        <v>0</v>
      </c>
      <c r="DS199" s="113">
        <v>0</v>
      </c>
      <c r="DT199" s="113">
        <v>0</v>
      </c>
      <c r="DU199" s="113">
        <v>0</v>
      </c>
      <c r="DV199" s="113">
        <v>0</v>
      </c>
      <c r="DW199" s="113">
        <v>0</v>
      </c>
      <c r="DX199" s="113">
        <v>0</v>
      </c>
      <c r="DY199" s="113">
        <v>0</v>
      </c>
      <c r="DZ199" s="113">
        <v>0</v>
      </c>
      <c r="EA199" s="113">
        <v>0</v>
      </c>
      <c r="EB199" s="113">
        <v>0</v>
      </c>
      <c r="EC199" s="113">
        <v>0</v>
      </c>
      <c r="ED199" s="113">
        <v>0</v>
      </c>
      <c r="EE199" s="113">
        <v>0</v>
      </c>
      <c r="EF199" s="113">
        <v>0</v>
      </c>
      <c r="EG199" s="113">
        <v>0</v>
      </c>
      <c r="EH199" s="113">
        <v>0</v>
      </c>
      <c r="EI199" s="113">
        <v>0</v>
      </c>
      <c r="EJ199" s="113">
        <v>0</v>
      </c>
      <c r="EK199" s="113">
        <v>0</v>
      </c>
      <c r="EL199" s="113">
        <v>0</v>
      </c>
      <c r="EM199" s="113">
        <v>0</v>
      </c>
      <c r="EN199" s="113">
        <v>0</v>
      </c>
      <c r="EO199" s="113">
        <v>0</v>
      </c>
      <c r="EP199" s="113">
        <v>0</v>
      </c>
      <c r="EQ199" s="113">
        <v>0</v>
      </c>
      <c r="ER199" s="113">
        <v>0</v>
      </c>
      <c r="ES199" s="113">
        <v>0</v>
      </c>
      <c r="ET199" s="113">
        <v>0</v>
      </c>
      <c r="EU199" s="113">
        <v>0</v>
      </c>
      <c r="EV199" s="113">
        <v>0</v>
      </c>
      <c r="EW199" s="113">
        <v>0</v>
      </c>
      <c r="EX199" s="113">
        <v>0</v>
      </c>
      <c r="EY199" s="113">
        <v>0</v>
      </c>
      <c r="EZ199" s="113">
        <v>0</v>
      </c>
      <c r="FA199" s="113">
        <v>0</v>
      </c>
      <c r="FB199" s="113">
        <v>0</v>
      </c>
      <c r="FC199" s="113">
        <v>0</v>
      </c>
      <c r="FD199" s="113">
        <v>0</v>
      </c>
      <c r="FE199" s="113">
        <v>0</v>
      </c>
      <c r="FF199" s="113">
        <v>0</v>
      </c>
      <c r="FG199" s="113">
        <v>0</v>
      </c>
      <c r="FH199" s="113">
        <v>0</v>
      </c>
      <c r="FI199" s="113">
        <v>0</v>
      </c>
      <c r="FJ199" s="113">
        <v>0</v>
      </c>
      <c r="FK199" s="113">
        <v>0</v>
      </c>
      <c r="FL199" s="113">
        <v>0</v>
      </c>
      <c r="FM199" s="113">
        <v>0</v>
      </c>
      <c r="FN199" s="113">
        <v>0</v>
      </c>
      <c r="FO199" s="113">
        <v>0</v>
      </c>
      <c r="FP199" s="113">
        <v>0</v>
      </c>
      <c r="FQ199" s="113">
        <v>0</v>
      </c>
      <c r="FR199" s="113">
        <v>0</v>
      </c>
      <c r="FS199" s="113">
        <v>0</v>
      </c>
      <c r="FT199" s="113">
        <v>0</v>
      </c>
      <c r="FU199" s="113">
        <v>0</v>
      </c>
      <c r="FV199" s="113">
        <v>0</v>
      </c>
      <c r="FW199" s="113">
        <v>0</v>
      </c>
      <c r="FX199" s="32">
        <v>0</v>
      </c>
      <c r="FY199" s="30">
        <v>0</v>
      </c>
      <c r="FZ199" s="30">
        <v>0</v>
      </c>
    </row>
    <row r="200" spans="1:182" x14ac:dyDescent="0.2">
      <c r="A200" s="28">
        <v>37653</v>
      </c>
      <c r="B200" s="28"/>
      <c r="C200" s="29">
        <v>166187</v>
      </c>
      <c r="D200" s="29">
        <v>57243</v>
      </c>
      <c r="E200" s="29">
        <f t="shared" ref="E200:E263" si="6">+C200+D200</f>
        <v>223430</v>
      </c>
      <c r="F200" s="30">
        <v>3251057</v>
      </c>
      <c r="G200" s="30">
        <v>99736</v>
      </c>
      <c r="H200" s="30">
        <f t="shared" ref="H200:H263" si="7">+G200+F200</f>
        <v>3350793</v>
      </c>
      <c r="I200" s="42" t="s">
        <v>75</v>
      </c>
      <c r="J200" s="42" t="s">
        <v>75</v>
      </c>
      <c r="K200" s="32">
        <v>5995225</v>
      </c>
      <c r="L200" s="31" t="s">
        <v>75</v>
      </c>
      <c r="M200" s="31" t="s">
        <v>75</v>
      </c>
      <c r="N200" s="30">
        <v>7951452</v>
      </c>
      <c r="O200" s="31" t="s">
        <v>75</v>
      </c>
      <c r="P200" s="31" t="s">
        <v>75</v>
      </c>
      <c r="Q200" s="30">
        <v>18097350</v>
      </c>
      <c r="R200" s="31" t="s">
        <v>75</v>
      </c>
      <c r="S200" s="31" t="s">
        <v>75</v>
      </c>
      <c r="T200" s="32">
        <v>63311</v>
      </c>
      <c r="U200" s="31" t="s">
        <v>75</v>
      </c>
      <c r="V200" s="31" t="s">
        <v>75</v>
      </c>
      <c r="W200" s="30">
        <v>0</v>
      </c>
      <c r="X200" s="31" t="s">
        <v>75</v>
      </c>
      <c r="Y200" s="31" t="s">
        <v>75</v>
      </c>
      <c r="Z200" s="30">
        <v>22721</v>
      </c>
      <c r="AA200" s="31" t="s">
        <v>75</v>
      </c>
      <c r="AB200" s="31" t="s">
        <v>75</v>
      </c>
      <c r="AC200" s="30">
        <v>109935</v>
      </c>
      <c r="AD200" s="31" t="s">
        <v>75</v>
      </c>
      <c r="AE200" s="31" t="s">
        <v>75</v>
      </c>
      <c r="AF200" s="30">
        <v>3630</v>
      </c>
      <c r="AG200" s="42" t="s">
        <v>75</v>
      </c>
      <c r="AH200" s="42" t="s">
        <v>75</v>
      </c>
      <c r="AI200" s="32">
        <v>15891</v>
      </c>
      <c r="AJ200" s="31" t="s">
        <v>75</v>
      </c>
      <c r="AK200" s="31" t="s">
        <v>75</v>
      </c>
      <c r="AL200" s="31" t="s">
        <v>75</v>
      </c>
      <c r="AM200" s="31"/>
      <c r="AN200" s="31"/>
      <c r="AO200" s="31"/>
      <c r="AP200" s="31"/>
      <c r="AQ200" s="31"/>
      <c r="AR200" s="31"/>
      <c r="AS200" s="31" t="s">
        <v>75</v>
      </c>
      <c r="AT200" s="31" t="s">
        <v>75</v>
      </c>
      <c r="AU200" s="31" t="s">
        <v>75</v>
      </c>
      <c r="AV200" s="31" t="s">
        <v>75</v>
      </c>
      <c r="AW200" s="31" t="s">
        <v>75</v>
      </c>
      <c r="AX200" s="31" t="s">
        <v>75</v>
      </c>
      <c r="AY200" s="31" t="s">
        <v>75</v>
      </c>
      <c r="AZ200" s="31" t="s">
        <v>75</v>
      </c>
      <c r="BA200" s="29">
        <v>13208773</v>
      </c>
      <c r="BB200" s="31" t="s">
        <v>75</v>
      </c>
      <c r="BC200" s="31" t="s">
        <v>75</v>
      </c>
      <c r="BD200" s="29">
        <v>1543449</v>
      </c>
      <c r="BE200" s="113">
        <v>0</v>
      </c>
      <c r="BF200" s="113">
        <v>0</v>
      </c>
      <c r="BG200" s="113">
        <v>0</v>
      </c>
      <c r="BH200" s="113">
        <v>0</v>
      </c>
      <c r="BI200" s="113">
        <v>0</v>
      </c>
      <c r="BJ200" s="113">
        <v>0</v>
      </c>
      <c r="BK200" s="113">
        <v>0</v>
      </c>
      <c r="BL200" s="113">
        <v>0</v>
      </c>
      <c r="BM200" s="113">
        <v>0</v>
      </c>
      <c r="BN200" s="113">
        <v>0</v>
      </c>
      <c r="BO200" s="113">
        <v>0</v>
      </c>
      <c r="BP200" s="113">
        <v>0</v>
      </c>
      <c r="BQ200" s="113">
        <v>0</v>
      </c>
      <c r="BR200" s="113">
        <v>0</v>
      </c>
      <c r="BS200" s="113">
        <v>0</v>
      </c>
      <c r="BT200" s="113">
        <v>0</v>
      </c>
      <c r="BU200" s="113">
        <v>0</v>
      </c>
      <c r="BV200" s="113">
        <v>0</v>
      </c>
      <c r="BW200" s="113"/>
      <c r="BX200" s="113"/>
      <c r="BY200" s="113"/>
      <c r="BZ200" s="113">
        <v>0</v>
      </c>
      <c r="CA200" s="113">
        <v>0</v>
      </c>
      <c r="CB200" s="113">
        <v>0</v>
      </c>
      <c r="CC200" s="113"/>
      <c r="CD200" s="113"/>
      <c r="CE200" s="113"/>
      <c r="CF200" s="113">
        <v>0</v>
      </c>
      <c r="CG200" s="113">
        <v>0</v>
      </c>
      <c r="CH200" s="113">
        <v>0</v>
      </c>
      <c r="CI200" s="113">
        <v>0</v>
      </c>
      <c r="CJ200" s="113">
        <v>0</v>
      </c>
      <c r="CK200" s="113">
        <v>0</v>
      </c>
      <c r="CL200" s="113">
        <v>0</v>
      </c>
      <c r="CM200" s="113">
        <v>0</v>
      </c>
      <c r="CN200" s="113">
        <v>0</v>
      </c>
      <c r="CO200" s="113">
        <v>0</v>
      </c>
      <c r="CP200" s="113">
        <v>0</v>
      </c>
      <c r="CQ200" s="113">
        <v>0</v>
      </c>
      <c r="CR200" s="113">
        <v>0</v>
      </c>
      <c r="CS200" s="113">
        <v>0</v>
      </c>
      <c r="CT200" s="113">
        <v>0</v>
      </c>
      <c r="CU200" s="113">
        <v>0</v>
      </c>
      <c r="CV200" s="113">
        <v>0</v>
      </c>
      <c r="CW200" s="113">
        <v>0</v>
      </c>
      <c r="CX200" s="113">
        <v>0</v>
      </c>
      <c r="CY200" s="113">
        <v>0</v>
      </c>
      <c r="CZ200" s="113">
        <v>0</v>
      </c>
      <c r="DA200" s="113">
        <v>0</v>
      </c>
      <c r="DB200" s="113">
        <v>0</v>
      </c>
      <c r="DC200" s="113">
        <v>0</v>
      </c>
      <c r="DD200" s="113">
        <v>0</v>
      </c>
      <c r="DE200" s="113">
        <v>0</v>
      </c>
      <c r="DF200" s="113">
        <v>0</v>
      </c>
      <c r="DG200" s="113">
        <v>0</v>
      </c>
      <c r="DH200" s="113">
        <v>0</v>
      </c>
      <c r="DI200" s="113">
        <v>0</v>
      </c>
      <c r="DJ200" s="113">
        <v>0</v>
      </c>
      <c r="DK200" s="113">
        <v>0</v>
      </c>
      <c r="DL200" s="113">
        <v>0</v>
      </c>
      <c r="DM200" s="113">
        <v>0</v>
      </c>
      <c r="DN200" s="113">
        <v>0</v>
      </c>
      <c r="DO200" s="113">
        <v>0</v>
      </c>
      <c r="DP200" s="113">
        <v>0</v>
      </c>
      <c r="DQ200" s="113">
        <v>0</v>
      </c>
      <c r="DR200" s="113">
        <v>0</v>
      </c>
      <c r="DS200" s="113">
        <v>0</v>
      </c>
      <c r="DT200" s="113">
        <v>0</v>
      </c>
      <c r="DU200" s="113">
        <v>0</v>
      </c>
      <c r="DV200" s="113">
        <v>0</v>
      </c>
      <c r="DW200" s="113">
        <v>0</v>
      </c>
      <c r="DX200" s="113">
        <v>0</v>
      </c>
      <c r="DY200" s="113">
        <v>0</v>
      </c>
      <c r="DZ200" s="113">
        <v>0</v>
      </c>
      <c r="EA200" s="113">
        <v>0</v>
      </c>
      <c r="EB200" s="113">
        <v>0</v>
      </c>
      <c r="EC200" s="113">
        <v>0</v>
      </c>
      <c r="ED200" s="113">
        <v>0</v>
      </c>
      <c r="EE200" s="113">
        <v>0</v>
      </c>
      <c r="EF200" s="113">
        <v>0</v>
      </c>
      <c r="EG200" s="113">
        <v>0</v>
      </c>
      <c r="EH200" s="113">
        <v>0</v>
      </c>
      <c r="EI200" s="113">
        <v>0</v>
      </c>
      <c r="EJ200" s="113">
        <v>0</v>
      </c>
      <c r="EK200" s="113">
        <v>0</v>
      </c>
      <c r="EL200" s="113">
        <v>0</v>
      </c>
      <c r="EM200" s="113">
        <v>0</v>
      </c>
      <c r="EN200" s="113">
        <v>0</v>
      </c>
      <c r="EO200" s="113">
        <v>0</v>
      </c>
      <c r="EP200" s="113">
        <v>0</v>
      </c>
      <c r="EQ200" s="113">
        <v>0</v>
      </c>
      <c r="ER200" s="113">
        <v>0</v>
      </c>
      <c r="ES200" s="113">
        <v>0</v>
      </c>
      <c r="ET200" s="113">
        <v>0</v>
      </c>
      <c r="EU200" s="113">
        <v>0</v>
      </c>
      <c r="EV200" s="113">
        <v>0</v>
      </c>
      <c r="EW200" s="113">
        <v>0</v>
      </c>
      <c r="EX200" s="113">
        <v>0</v>
      </c>
      <c r="EY200" s="113">
        <v>0</v>
      </c>
      <c r="EZ200" s="113">
        <v>0</v>
      </c>
      <c r="FA200" s="113">
        <v>0</v>
      </c>
      <c r="FB200" s="113">
        <v>0</v>
      </c>
      <c r="FC200" s="113">
        <v>0</v>
      </c>
      <c r="FD200" s="113">
        <v>0</v>
      </c>
      <c r="FE200" s="113">
        <v>0</v>
      </c>
      <c r="FF200" s="113">
        <v>0</v>
      </c>
      <c r="FG200" s="113">
        <v>0</v>
      </c>
      <c r="FH200" s="113">
        <v>0</v>
      </c>
      <c r="FI200" s="113">
        <v>0</v>
      </c>
      <c r="FJ200" s="113">
        <v>0</v>
      </c>
      <c r="FK200" s="113">
        <v>0</v>
      </c>
      <c r="FL200" s="113">
        <v>0</v>
      </c>
      <c r="FM200" s="113">
        <v>0</v>
      </c>
      <c r="FN200" s="113">
        <v>0</v>
      </c>
      <c r="FO200" s="113">
        <v>0</v>
      </c>
      <c r="FP200" s="113">
        <v>0</v>
      </c>
      <c r="FQ200" s="113">
        <v>0</v>
      </c>
      <c r="FR200" s="113">
        <v>0</v>
      </c>
      <c r="FS200" s="113">
        <v>0</v>
      </c>
      <c r="FT200" s="113">
        <v>0</v>
      </c>
      <c r="FU200" s="113">
        <v>0</v>
      </c>
      <c r="FV200" s="113">
        <v>0</v>
      </c>
      <c r="FW200" s="113">
        <v>0</v>
      </c>
      <c r="FX200" s="32">
        <v>0</v>
      </c>
      <c r="FY200" s="30">
        <v>0</v>
      </c>
      <c r="FZ200" s="30">
        <v>0</v>
      </c>
    </row>
    <row r="201" spans="1:182" x14ac:dyDescent="0.2">
      <c r="A201" s="28">
        <v>37681</v>
      </c>
      <c r="B201" s="28"/>
      <c r="C201" s="29">
        <v>222944</v>
      </c>
      <c r="D201" s="29">
        <v>88285</v>
      </c>
      <c r="E201" s="29">
        <f t="shared" si="6"/>
        <v>311229</v>
      </c>
      <c r="F201" s="30">
        <v>3097619</v>
      </c>
      <c r="G201" s="30">
        <v>78263</v>
      </c>
      <c r="H201" s="30">
        <f t="shared" si="7"/>
        <v>3175882</v>
      </c>
      <c r="I201" s="42" t="s">
        <v>75</v>
      </c>
      <c r="J201" s="42" t="s">
        <v>75</v>
      </c>
      <c r="K201" s="32">
        <v>6447458</v>
      </c>
      <c r="L201" s="31" t="s">
        <v>75</v>
      </c>
      <c r="M201" s="31" t="s">
        <v>75</v>
      </c>
      <c r="N201" s="30">
        <v>7815027</v>
      </c>
      <c r="O201" s="31" t="s">
        <v>75</v>
      </c>
      <c r="P201" s="31" t="s">
        <v>75</v>
      </c>
      <c r="Q201" s="30">
        <v>12943716</v>
      </c>
      <c r="R201" s="31" t="s">
        <v>75</v>
      </c>
      <c r="S201" s="31" t="s">
        <v>75</v>
      </c>
      <c r="T201" s="32">
        <v>80380</v>
      </c>
      <c r="U201" s="31" t="s">
        <v>75</v>
      </c>
      <c r="V201" s="31" t="s">
        <v>75</v>
      </c>
      <c r="W201" s="30">
        <v>19004</v>
      </c>
      <c r="X201" s="31" t="s">
        <v>75</v>
      </c>
      <c r="Y201" s="31" t="s">
        <v>75</v>
      </c>
      <c r="Z201" s="30">
        <v>47354</v>
      </c>
      <c r="AA201" s="31" t="s">
        <v>75</v>
      </c>
      <c r="AB201" s="31" t="s">
        <v>75</v>
      </c>
      <c r="AC201" s="30">
        <v>83753</v>
      </c>
      <c r="AD201" s="31" t="s">
        <v>75</v>
      </c>
      <c r="AE201" s="31" t="s">
        <v>75</v>
      </c>
      <c r="AF201" s="30">
        <v>5879</v>
      </c>
      <c r="AG201" s="42" t="s">
        <v>75</v>
      </c>
      <c r="AH201" s="42" t="s">
        <v>75</v>
      </c>
      <c r="AI201" s="32">
        <v>11800</v>
      </c>
      <c r="AJ201" s="31" t="s">
        <v>75</v>
      </c>
      <c r="AK201" s="31" t="s">
        <v>75</v>
      </c>
      <c r="AL201" s="31" t="s">
        <v>75</v>
      </c>
      <c r="AM201" s="31"/>
      <c r="AN201" s="31"/>
      <c r="AO201" s="31"/>
      <c r="AP201" s="31"/>
      <c r="AQ201" s="31"/>
      <c r="AR201" s="31"/>
      <c r="AS201" s="31" t="s">
        <v>75</v>
      </c>
      <c r="AT201" s="31" t="s">
        <v>75</v>
      </c>
      <c r="AU201" s="31" t="s">
        <v>75</v>
      </c>
      <c r="AV201" s="31" t="s">
        <v>75</v>
      </c>
      <c r="AW201" s="31" t="s">
        <v>75</v>
      </c>
      <c r="AX201" s="31" t="s">
        <v>75</v>
      </c>
      <c r="AY201" s="31" t="s">
        <v>75</v>
      </c>
      <c r="AZ201" s="31" t="s">
        <v>75</v>
      </c>
      <c r="BA201" s="29">
        <v>11111317</v>
      </c>
      <c r="BB201" s="31" t="s">
        <v>75</v>
      </c>
      <c r="BC201" s="31" t="s">
        <v>75</v>
      </c>
      <c r="BD201" s="29">
        <v>1474478</v>
      </c>
      <c r="BE201" s="113">
        <v>0</v>
      </c>
      <c r="BF201" s="113">
        <v>0</v>
      </c>
      <c r="BG201" s="113">
        <v>0</v>
      </c>
      <c r="BH201" s="113">
        <v>0</v>
      </c>
      <c r="BI201" s="113">
        <v>0</v>
      </c>
      <c r="BJ201" s="113">
        <v>0</v>
      </c>
      <c r="BK201" s="113">
        <v>0</v>
      </c>
      <c r="BL201" s="113">
        <v>0</v>
      </c>
      <c r="BM201" s="113">
        <v>0</v>
      </c>
      <c r="BN201" s="113">
        <v>0</v>
      </c>
      <c r="BO201" s="113">
        <v>0</v>
      </c>
      <c r="BP201" s="113">
        <v>0</v>
      </c>
      <c r="BQ201" s="113">
        <v>0</v>
      </c>
      <c r="BR201" s="113">
        <v>0</v>
      </c>
      <c r="BS201" s="113">
        <v>0</v>
      </c>
      <c r="BT201" s="113">
        <v>0</v>
      </c>
      <c r="BU201" s="113">
        <v>0</v>
      </c>
      <c r="BV201" s="113">
        <v>0</v>
      </c>
      <c r="BW201" s="113"/>
      <c r="BX201" s="113"/>
      <c r="BY201" s="113"/>
      <c r="BZ201" s="113">
        <v>0</v>
      </c>
      <c r="CA201" s="113">
        <v>0</v>
      </c>
      <c r="CB201" s="113">
        <v>0</v>
      </c>
      <c r="CC201" s="113"/>
      <c r="CD201" s="113"/>
      <c r="CE201" s="113"/>
      <c r="CF201" s="113">
        <v>0</v>
      </c>
      <c r="CG201" s="113">
        <v>0</v>
      </c>
      <c r="CH201" s="113">
        <v>0</v>
      </c>
      <c r="CI201" s="113">
        <v>0</v>
      </c>
      <c r="CJ201" s="113">
        <v>0</v>
      </c>
      <c r="CK201" s="113">
        <v>0</v>
      </c>
      <c r="CL201" s="113">
        <v>0</v>
      </c>
      <c r="CM201" s="113">
        <v>0</v>
      </c>
      <c r="CN201" s="113">
        <v>0</v>
      </c>
      <c r="CO201" s="113">
        <v>0</v>
      </c>
      <c r="CP201" s="113">
        <v>0</v>
      </c>
      <c r="CQ201" s="113">
        <v>0</v>
      </c>
      <c r="CR201" s="113">
        <v>0</v>
      </c>
      <c r="CS201" s="113">
        <v>0</v>
      </c>
      <c r="CT201" s="113">
        <v>0</v>
      </c>
      <c r="CU201" s="113">
        <v>0</v>
      </c>
      <c r="CV201" s="113">
        <v>0</v>
      </c>
      <c r="CW201" s="113">
        <v>0</v>
      </c>
      <c r="CX201" s="113">
        <v>0</v>
      </c>
      <c r="CY201" s="113">
        <v>0</v>
      </c>
      <c r="CZ201" s="113">
        <v>0</v>
      </c>
      <c r="DA201" s="113">
        <v>0</v>
      </c>
      <c r="DB201" s="113">
        <v>0</v>
      </c>
      <c r="DC201" s="113">
        <v>0</v>
      </c>
      <c r="DD201" s="113">
        <v>0</v>
      </c>
      <c r="DE201" s="113">
        <v>0</v>
      </c>
      <c r="DF201" s="113">
        <v>0</v>
      </c>
      <c r="DG201" s="113">
        <v>0</v>
      </c>
      <c r="DH201" s="113">
        <v>0</v>
      </c>
      <c r="DI201" s="113">
        <v>0</v>
      </c>
      <c r="DJ201" s="113">
        <v>0</v>
      </c>
      <c r="DK201" s="113">
        <v>0</v>
      </c>
      <c r="DL201" s="113">
        <v>0</v>
      </c>
      <c r="DM201" s="113">
        <v>0</v>
      </c>
      <c r="DN201" s="113">
        <v>0</v>
      </c>
      <c r="DO201" s="113">
        <v>0</v>
      </c>
      <c r="DP201" s="113">
        <v>0</v>
      </c>
      <c r="DQ201" s="113">
        <v>0</v>
      </c>
      <c r="DR201" s="113">
        <v>0</v>
      </c>
      <c r="DS201" s="113">
        <v>0</v>
      </c>
      <c r="DT201" s="113">
        <v>0</v>
      </c>
      <c r="DU201" s="113">
        <v>0</v>
      </c>
      <c r="DV201" s="113">
        <v>0</v>
      </c>
      <c r="DW201" s="113">
        <v>0</v>
      </c>
      <c r="DX201" s="113">
        <v>0</v>
      </c>
      <c r="DY201" s="113">
        <v>0</v>
      </c>
      <c r="DZ201" s="113">
        <v>0</v>
      </c>
      <c r="EA201" s="113">
        <v>0</v>
      </c>
      <c r="EB201" s="113">
        <v>0</v>
      </c>
      <c r="EC201" s="113">
        <v>0</v>
      </c>
      <c r="ED201" s="113">
        <v>0</v>
      </c>
      <c r="EE201" s="113">
        <v>0</v>
      </c>
      <c r="EF201" s="113">
        <v>0</v>
      </c>
      <c r="EG201" s="113">
        <v>0</v>
      </c>
      <c r="EH201" s="113">
        <v>0</v>
      </c>
      <c r="EI201" s="113">
        <v>0</v>
      </c>
      <c r="EJ201" s="113">
        <v>0</v>
      </c>
      <c r="EK201" s="113">
        <v>0</v>
      </c>
      <c r="EL201" s="113">
        <v>0</v>
      </c>
      <c r="EM201" s="113">
        <v>0</v>
      </c>
      <c r="EN201" s="113">
        <v>0</v>
      </c>
      <c r="EO201" s="113">
        <v>0</v>
      </c>
      <c r="EP201" s="113">
        <v>0</v>
      </c>
      <c r="EQ201" s="113">
        <v>0</v>
      </c>
      <c r="ER201" s="113">
        <v>0</v>
      </c>
      <c r="ES201" s="113">
        <v>0</v>
      </c>
      <c r="ET201" s="113">
        <v>0</v>
      </c>
      <c r="EU201" s="113">
        <v>0</v>
      </c>
      <c r="EV201" s="113">
        <v>0</v>
      </c>
      <c r="EW201" s="113">
        <v>0</v>
      </c>
      <c r="EX201" s="113">
        <v>0</v>
      </c>
      <c r="EY201" s="113">
        <v>0</v>
      </c>
      <c r="EZ201" s="113">
        <v>0</v>
      </c>
      <c r="FA201" s="113">
        <v>0</v>
      </c>
      <c r="FB201" s="113">
        <v>0</v>
      </c>
      <c r="FC201" s="113">
        <v>0</v>
      </c>
      <c r="FD201" s="113">
        <v>0</v>
      </c>
      <c r="FE201" s="113">
        <v>0</v>
      </c>
      <c r="FF201" s="113">
        <v>0</v>
      </c>
      <c r="FG201" s="113">
        <v>0</v>
      </c>
      <c r="FH201" s="113">
        <v>0</v>
      </c>
      <c r="FI201" s="113">
        <v>0</v>
      </c>
      <c r="FJ201" s="113">
        <v>0</v>
      </c>
      <c r="FK201" s="113">
        <v>0</v>
      </c>
      <c r="FL201" s="113">
        <v>0</v>
      </c>
      <c r="FM201" s="113">
        <v>0</v>
      </c>
      <c r="FN201" s="113">
        <v>0</v>
      </c>
      <c r="FO201" s="113">
        <v>0</v>
      </c>
      <c r="FP201" s="113">
        <v>0</v>
      </c>
      <c r="FQ201" s="113">
        <v>0</v>
      </c>
      <c r="FR201" s="113">
        <v>0</v>
      </c>
      <c r="FS201" s="113">
        <v>0</v>
      </c>
      <c r="FT201" s="113">
        <v>0</v>
      </c>
      <c r="FU201" s="113">
        <v>0</v>
      </c>
      <c r="FV201" s="113">
        <v>0</v>
      </c>
      <c r="FW201" s="113">
        <v>0</v>
      </c>
      <c r="FX201" s="32">
        <v>0</v>
      </c>
      <c r="FY201" s="30">
        <v>0</v>
      </c>
      <c r="FZ201" s="30">
        <v>0</v>
      </c>
    </row>
    <row r="202" spans="1:182" x14ac:dyDescent="0.2">
      <c r="A202" s="28">
        <v>37712</v>
      </c>
      <c r="B202" s="28"/>
      <c r="C202" s="29">
        <v>218108</v>
      </c>
      <c r="D202" s="29">
        <v>117492</v>
      </c>
      <c r="E202" s="29">
        <f t="shared" si="6"/>
        <v>335600</v>
      </c>
      <c r="F202" s="30">
        <v>2714865</v>
      </c>
      <c r="G202" s="30">
        <v>85506</v>
      </c>
      <c r="H202" s="30">
        <f t="shared" si="7"/>
        <v>2800371</v>
      </c>
      <c r="I202" s="42" t="s">
        <v>75</v>
      </c>
      <c r="J202" s="42" t="s">
        <v>75</v>
      </c>
      <c r="K202" s="32">
        <v>5166617</v>
      </c>
      <c r="L202" s="31" t="s">
        <v>75</v>
      </c>
      <c r="M202" s="31" t="s">
        <v>75</v>
      </c>
      <c r="N202" s="30">
        <v>8111109</v>
      </c>
      <c r="O202" s="31" t="s">
        <v>75</v>
      </c>
      <c r="P202" s="31" t="s">
        <v>75</v>
      </c>
      <c r="Q202" s="30">
        <v>13907555</v>
      </c>
      <c r="R202" s="31" t="s">
        <v>75</v>
      </c>
      <c r="S202" s="31" t="s">
        <v>75</v>
      </c>
      <c r="T202" s="32">
        <v>89839</v>
      </c>
      <c r="U202" s="31" t="s">
        <v>75</v>
      </c>
      <c r="V202" s="31" t="s">
        <v>75</v>
      </c>
      <c r="W202" s="30">
        <v>18980</v>
      </c>
      <c r="X202" s="31" t="s">
        <v>75</v>
      </c>
      <c r="Y202" s="31" t="s">
        <v>75</v>
      </c>
      <c r="Z202" s="30">
        <v>29690</v>
      </c>
      <c r="AA202" s="31" t="s">
        <v>75</v>
      </c>
      <c r="AB202" s="31" t="s">
        <v>75</v>
      </c>
      <c r="AC202" s="30">
        <v>38780</v>
      </c>
      <c r="AD202" s="31" t="s">
        <v>75</v>
      </c>
      <c r="AE202" s="31" t="s">
        <v>75</v>
      </c>
      <c r="AF202" s="30">
        <v>5379</v>
      </c>
      <c r="AG202" s="42" t="s">
        <v>75</v>
      </c>
      <c r="AH202" s="42" t="s">
        <v>75</v>
      </c>
      <c r="AI202" s="32">
        <v>18396</v>
      </c>
      <c r="AJ202" s="31" t="s">
        <v>75</v>
      </c>
      <c r="AK202" s="31" t="s">
        <v>75</v>
      </c>
      <c r="AL202" s="31" t="s">
        <v>75</v>
      </c>
      <c r="AM202" s="31"/>
      <c r="AN202" s="31"/>
      <c r="AO202" s="31"/>
      <c r="AP202" s="31"/>
      <c r="AQ202" s="31"/>
      <c r="AR202" s="31"/>
      <c r="AS202" s="31" t="s">
        <v>75</v>
      </c>
      <c r="AT202" s="31" t="s">
        <v>75</v>
      </c>
      <c r="AU202" s="31" t="s">
        <v>75</v>
      </c>
      <c r="AV202" s="31" t="s">
        <v>75</v>
      </c>
      <c r="AW202" s="31" t="s">
        <v>75</v>
      </c>
      <c r="AX202" s="31" t="s">
        <v>75</v>
      </c>
      <c r="AY202" s="31" t="s">
        <v>75</v>
      </c>
      <c r="AZ202" s="31" t="s">
        <v>75</v>
      </c>
      <c r="BA202" s="29">
        <v>14092604</v>
      </c>
      <c r="BB202" s="31" t="s">
        <v>75</v>
      </c>
      <c r="BC202" s="31" t="s">
        <v>75</v>
      </c>
      <c r="BD202" s="29">
        <v>1693190</v>
      </c>
      <c r="BE202" s="113">
        <v>0</v>
      </c>
      <c r="BF202" s="113">
        <v>0</v>
      </c>
      <c r="BG202" s="113">
        <v>0</v>
      </c>
      <c r="BH202" s="113">
        <v>0</v>
      </c>
      <c r="BI202" s="113">
        <v>0</v>
      </c>
      <c r="BJ202" s="113">
        <v>0</v>
      </c>
      <c r="BK202" s="113">
        <v>0</v>
      </c>
      <c r="BL202" s="113">
        <v>0</v>
      </c>
      <c r="BM202" s="113">
        <v>0</v>
      </c>
      <c r="BN202" s="113">
        <v>0</v>
      </c>
      <c r="BO202" s="113">
        <v>0</v>
      </c>
      <c r="BP202" s="113">
        <v>0</v>
      </c>
      <c r="BQ202" s="113">
        <v>0</v>
      </c>
      <c r="BR202" s="113">
        <v>0</v>
      </c>
      <c r="BS202" s="113">
        <v>0</v>
      </c>
      <c r="BT202" s="113">
        <v>0</v>
      </c>
      <c r="BU202" s="113">
        <v>0</v>
      </c>
      <c r="BV202" s="113">
        <v>0</v>
      </c>
      <c r="BW202" s="113"/>
      <c r="BX202" s="113"/>
      <c r="BY202" s="113"/>
      <c r="BZ202" s="113">
        <v>0</v>
      </c>
      <c r="CA202" s="113">
        <v>0</v>
      </c>
      <c r="CB202" s="113">
        <v>0</v>
      </c>
      <c r="CC202" s="113"/>
      <c r="CD202" s="113"/>
      <c r="CE202" s="113"/>
      <c r="CF202" s="113">
        <v>0</v>
      </c>
      <c r="CG202" s="113">
        <v>0</v>
      </c>
      <c r="CH202" s="113">
        <v>0</v>
      </c>
      <c r="CI202" s="113">
        <v>0</v>
      </c>
      <c r="CJ202" s="113">
        <v>0</v>
      </c>
      <c r="CK202" s="113">
        <v>0</v>
      </c>
      <c r="CL202" s="113">
        <v>0</v>
      </c>
      <c r="CM202" s="113">
        <v>0</v>
      </c>
      <c r="CN202" s="113">
        <v>0</v>
      </c>
      <c r="CO202" s="113">
        <v>0</v>
      </c>
      <c r="CP202" s="113">
        <v>0</v>
      </c>
      <c r="CQ202" s="113">
        <v>0</v>
      </c>
      <c r="CR202" s="113">
        <v>0</v>
      </c>
      <c r="CS202" s="113">
        <v>0</v>
      </c>
      <c r="CT202" s="113">
        <v>0</v>
      </c>
      <c r="CU202" s="113">
        <v>0</v>
      </c>
      <c r="CV202" s="113">
        <v>0</v>
      </c>
      <c r="CW202" s="113">
        <v>0</v>
      </c>
      <c r="CX202" s="113">
        <v>0</v>
      </c>
      <c r="CY202" s="113">
        <v>0</v>
      </c>
      <c r="CZ202" s="113">
        <v>0</v>
      </c>
      <c r="DA202" s="113">
        <v>0</v>
      </c>
      <c r="DB202" s="113">
        <v>0</v>
      </c>
      <c r="DC202" s="113">
        <v>0</v>
      </c>
      <c r="DD202" s="113">
        <v>0</v>
      </c>
      <c r="DE202" s="113">
        <v>0</v>
      </c>
      <c r="DF202" s="113">
        <v>0</v>
      </c>
      <c r="DG202" s="113">
        <v>0</v>
      </c>
      <c r="DH202" s="113">
        <v>0</v>
      </c>
      <c r="DI202" s="113">
        <v>0</v>
      </c>
      <c r="DJ202" s="113">
        <v>0</v>
      </c>
      <c r="DK202" s="113">
        <v>0</v>
      </c>
      <c r="DL202" s="113">
        <v>0</v>
      </c>
      <c r="DM202" s="113">
        <v>0</v>
      </c>
      <c r="DN202" s="113">
        <v>0</v>
      </c>
      <c r="DO202" s="113">
        <v>0</v>
      </c>
      <c r="DP202" s="113">
        <v>0</v>
      </c>
      <c r="DQ202" s="113">
        <v>0</v>
      </c>
      <c r="DR202" s="113">
        <v>0</v>
      </c>
      <c r="DS202" s="113">
        <v>0</v>
      </c>
      <c r="DT202" s="113">
        <v>0</v>
      </c>
      <c r="DU202" s="113">
        <v>0</v>
      </c>
      <c r="DV202" s="113">
        <v>0</v>
      </c>
      <c r="DW202" s="113">
        <v>0</v>
      </c>
      <c r="DX202" s="113">
        <v>0</v>
      </c>
      <c r="DY202" s="113">
        <v>0</v>
      </c>
      <c r="DZ202" s="113">
        <v>0</v>
      </c>
      <c r="EA202" s="113">
        <v>0</v>
      </c>
      <c r="EB202" s="113">
        <v>0</v>
      </c>
      <c r="EC202" s="113">
        <v>0</v>
      </c>
      <c r="ED202" s="113">
        <v>0</v>
      </c>
      <c r="EE202" s="113">
        <v>0</v>
      </c>
      <c r="EF202" s="113">
        <v>0</v>
      </c>
      <c r="EG202" s="113">
        <v>0</v>
      </c>
      <c r="EH202" s="113">
        <v>0</v>
      </c>
      <c r="EI202" s="113">
        <v>0</v>
      </c>
      <c r="EJ202" s="113">
        <v>0</v>
      </c>
      <c r="EK202" s="113">
        <v>0</v>
      </c>
      <c r="EL202" s="113">
        <v>0</v>
      </c>
      <c r="EM202" s="113">
        <v>0</v>
      </c>
      <c r="EN202" s="113">
        <v>0</v>
      </c>
      <c r="EO202" s="113">
        <v>0</v>
      </c>
      <c r="EP202" s="113">
        <v>0</v>
      </c>
      <c r="EQ202" s="113">
        <v>0</v>
      </c>
      <c r="ER202" s="113">
        <v>0</v>
      </c>
      <c r="ES202" s="113">
        <v>0</v>
      </c>
      <c r="ET202" s="113">
        <v>0</v>
      </c>
      <c r="EU202" s="113">
        <v>0</v>
      </c>
      <c r="EV202" s="113">
        <v>0</v>
      </c>
      <c r="EW202" s="113">
        <v>0</v>
      </c>
      <c r="EX202" s="113">
        <v>0</v>
      </c>
      <c r="EY202" s="113">
        <v>0</v>
      </c>
      <c r="EZ202" s="113">
        <v>0</v>
      </c>
      <c r="FA202" s="113">
        <v>0</v>
      </c>
      <c r="FB202" s="113">
        <v>0</v>
      </c>
      <c r="FC202" s="113">
        <v>0</v>
      </c>
      <c r="FD202" s="113">
        <v>0</v>
      </c>
      <c r="FE202" s="113">
        <v>0</v>
      </c>
      <c r="FF202" s="113">
        <v>0</v>
      </c>
      <c r="FG202" s="113">
        <v>0</v>
      </c>
      <c r="FH202" s="113">
        <v>0</v>
      </c>
      <c r="FI202" s="113">
        <v>0</v>
      </c>
      <c r="FJ202" s="113">
        <v>0</v>
      </c>
      <c r="FK202" s="113">
        <v>0</v>
      </c>
      <c r="FL202" s="113">
        <v>0</v>
      </c>
      <c r="FM202" s="113">
        <v>0</v>
      </c>
      <c r="FN202" s="113">
        <v>0</v>
      </c>
      <c r="FO202" s="113">
        <v>0</v>
      </c>
      <c r="FP202" s="113">
        <v>0</v>
      </c>
      <c r="FQ202" s="113">
        <v>0</v>
      </c>
      <c r="FR202" s="113">
        <v>0</v>
      </c>
      <c r="FS202" s="113">
        <v>0</v>
      </c>
      <c r="FT202" s="113">
        <v>0</v>
      </c>
      <c r="FU202" s="113">
        <v>0</v>
      </c>
      <c r="FV202" s="113">
        <v>0</v>
      </c>
      <c r="FW202" s="113">
        <v>0</v>
      </c>
      <c r="FX202" s="32">
        <v>0</v>
      </c>
      <c r="FY202" s="30">
        <v>0</v>
      </c>
      <c r="FZ202" s="30">
        <v>0</v>
      </c>
    </row>
    <row r="203" spans="1:182" x14ac:dyDescent="0.2">
      <c r="A203" s="28">
        <v>37742</v>
      </c>
      <c r="B203" s="28"/>
      <c r="C203" s="29">
        <v>239518</v>
      </c>
      <c r="D203" s="29">
        <v>143745</v>
      </c>
      <c r="E203" s="29">
        <f t="shared" si="6"/>
        <v>383263</v>
      </c>
      <c r="F203" s="30">
        <v>1976236</v>
      </c>
      <c r="G203" s="30">
        <v>48869</v>
      </c>
      <c r="H203" s="30">
        <f t="shared" si="7"/>
        <v>2025105</v>
      </c>
      <c r="I203" s="42" t="s">
        <v>75</v>
      </c>
      <c r="J203" s="42" t="s">
        <v>75</v>
      </c>
      <c r="K203" s="32">
        <v>3959929</v>
      </c>
      <c r="L203" s="31" t="s">
        <v>75</v>
      </c>
      <c r="M203" s="31" t="s">
        <v>75</v>
      </c>
      <c r="N203" s="30">
        <v>6539861</v>
      </c>
      <c r="O203" s="31" t="s">
        <v>75</v>
      </c>
      <c r="P203" s="31" t="s">
        <v>75</v>
      </c>
      <c r="Q203" s="30">
        <v>10523338</v>
      </c>
      <c r="R203" s="31" t="s">
        <v>75</v>
      </c>
      <c r="S203" s="31" t="s">
        <v>75</v>
      </c>
      <c r="T203" s="32">
        <v>81395</v>
      </c>
      <c r="U203" s="31" t="s">
        <v>75</v>
      </c>
      <c r="V203" s="31" t="s">
        <v>75</v>
      </c>
      <c r="W203" s="30">
        <v>15554</v>
      </c>
      <c r="X203" s="31" t="s">
        <v>75</v>
      </c>
      <c r="Y203" s="31" t="s">
        <v>75</v>
      </c>
      <c r="Z203" s="30">
        <v>27243</v>
      </c>
      <c r="AA203" s="31" t="s">
        <v>75</v>
      </c>
      <c r="AB203" s="31" t="s">
        <v>75</v>
      </c>
      <c r="AC203" s="30">
        <v>119328</v>
      </c>
      <c r="AD203" s="31" t="s">
        <v>75</v>
      </c>
      <c r="AE203" s="31" t="s">
        <v>75</v>
      </c>
      <c r="AF203" s="30">
        <v>4796</v>
      </c>
      <c r="AG203" s="42" t="s">
        <v>75</v>
      </c>
      <c r="AH203" s="42" t="s">
        <v>75</v>
      </c>
      <c r="AI203" s="32">
        <v>19163</v>
      </c>
      <c r="AJ203" s="31" t="s">
        <v>75</v>
      </c>
      <c r="AK203" s="31" t="s">
        <v>75</v>
      </c>
      <c r="AL203" s="31" t="s">
        <v>75</v>
      </c>
      <c r="AM203" s="31"/>
      <c r="AN203" s="31"/>
      <c r="AO203" s="31"/>
      <c r="AP203" s="31"/>
      <c r="AQ203" s="31"/>
      <c r="AR203" s="31"/>
      <c r="AS203" s="31" t="s">
        <v>75</v>
      </c>
      <c r="AT203" s="31" t="s">
        <v>75</v>
      </c>
      <c r="AU203" s="31" t="s">
        <v>75</v>
      </c>
      <c r="AV203" s="31" t="s">
        <v>75</v>
      </c>
      <c r="AW203" s="31" t="s">
        <v>75</v>
      </c>
      <c r="AX203" s="31" t="s">
        <v>75</v>
      </c>
      <c r="AY203" s="31" t="s">
        <v>75</v>
      </c>
      <c r="AZ203" s="31" t="s">
        <v>75</v>
      </c>
      <c r="BA203" s="29">
        <v>10018704</v>
      </c>
      <c r="BB203" s="31" t="s">
        <v>75</v>
      </c>
      <c r="BC203" s="31" t="s">
        <v>75</v>
      </c>
      <c r="BD203" s="29">
        <v>1320638</v>
      </c>
      <c r="BE203" s="113">
        <v>0</v>
      </c>
      <c r="BF203" s="113">
        <v>0</v>
      </c>
      <c r="BG203" s="113">
        <v>0</v>
      </c>
      <c r="BH203" s="113">
        <v>0</v>
      </c>
      <c r="BI203" s="113">
        <v>0</v>
      </c>
      <c r="BJ203" s="113">
        <v>0</v>
      </c>
      <c r="BK203" s="113">
        <v>0</v>
      </c>
      <c r="BL203" s="113">
        <v>0</v>
      </c>
      <c r="BM203" s="113">
        <v>0</v>
      </c>
      <c r="BN203" s="113">
        <v>0</v>
      </c>
      <c r="BO203" s="113">
        <v>0</v>
      </c>
      <c r="BP203" s="113">
        <v>0</v>
      </c>
      <c r="BQ203" s="113">
        <v>0</v>
      </c>
      <c r="BR203" s="113">
        <v>0</v>
      </c>
      <c r="BS203" s="113">
        <v>0</v>
      </c>
      <c r="BT203" s="113">
        <v>0</v>
      </c>
      <c r="BU203" s="113">
        <v>0</v>
      </c>
      <c r="BV203" s="113">
        <v>0</v>
      </c>
      <c r="BW203" s="113"/>
      <c r="BX203" s="113"/>
      <c r="BY203" s="113"/>
      <c r="BZ203" s="113">
        <v>0</v>
      </c>
      <c r="CA203" s="113">
        <v>0</v>
      </c>
      <c r="CB203" s="113">
        <v>0</v>
      </c>
      <c r="CC203" s="113"/>
      <c r="CD203" s="113"/>
      <c r="CE203" s="113"/>
      <c r="CF203" s="113">
        <v>0</v>
      </c>
      <c r="CG203" s="113">
        <v>0</v>
      </c>
      <c r="CH203" s="113">
        <v>0</v>
      </c>
      <c r="CI203" s="113">
        <v>0</v>
      </c>
      <c r="CJ203" s="113">
        <v>0</v>
      </c>
      <c r="CK203" s="113">
        <v>0</v>
      </c>
      <c r="CL203" s="113">
        <v>0</v>
      </c>
      <c r="CM203" s="113">
        <v>0</v>
      </c>
      <c r="CN203" s="113">
        <v>0</v>
      </c>
      <c r="CO203" s="113">
        <v>0</v>
      </c>
      <c r="CP203" s="113">
        <v>0</v>
      </c>
      <c r="CQ203" s="113">
        <v>0</v>
      </c>
      <c r="CR203" s="113">
        <v>0</v>
      </c>
      <c r="CS203" s="113">
        <v>0</v>
      </c>
      <c r="CT203" s="113">
        <v>0</v>
      </c>
      <c r="CU203" s="113">
        <v>0</v>
      </c>
      <c r="CV203" s="113">
        <v>0</v>
      </c>
      <c r="CW203" s="113">
        <v>0</v>
      </c>
      <c r="CX203" s="113">
        <v>0</v>
      </c>
      <c r="CY203" s="113">
        <v>0</v>
      </c>
      <c r="CZ203" s="113">
        <v>0</v>
      </c>
      <c r="DA203" s="113">
        <v>0</v>
      </c>
      <c r="DB203" s="113">
        <v>0</v>
      </c>
      <c r="DC203" s="113">
        <v>0</v>
      </c>
      <c r="DD203" s="113">
        <v>0</v>
      </c>
      <c r="DE203" s="113">
        <v>0</v>
      </c>
      <c r="DF203" s="113">
        <v>0</v>
      </c>
      <c r="DG203" s="113">
        <v>0</v>
      </c>
      <c r="DH203" s="113">
        <v>0</v>
      </c>
      <c r="DI203" s="113">
        <v>0</v>
      </c>
      <c r="DJ203" s="113">
        <v>0</v>
      </c>
      <c r="DK203" s="113">
        <v>0</v>
      </c>
      <c r="DL203" s="113">
        <v>0</v>
      </c>
      <c r="DM203" s="113">
        <v>0</v>
      </c>
      <c r="DN203" s="113">
        <v>0</v>
      </c>
      <c r="DO203" s="113">
        <v>0</v>
      </c>
      <c r="DP203" s="113">
        <v>0</v>
      </c>
      <c r="DQ203" s="113">
        <v>0</v>
      </c>
      <c r="DR203" s="113">
        <v>0</v>
      </c>
      <c r="DS203" s="113">
        <v>0</v>
      </c>
      <c r="DT203" s="113">
        <v>0</v>
      </c>
      <c r="DU203" s="113">
        <v>0</v>
      </c>
      <c r="DV203" s="113">
        <v>0</v>
      </c>
      <c r="DW203" s="113">
        <v>0</v>
      </c>
      <c r="DX203" s="113">
        <v>0</v>
      </c>
      <c r="DY203" s="113">
        <v>0</v>
      </c>
      <c r="DZ203" s="113">
        <v>0</v>
      </c>
      <c r="EA203" s="113">
        <v>0</v>
      </c>
      <c r="EB203" s="113">
        <v>0</v>
      </c>
      <c r="EC203" s="113">
        <v>0</v>
      </c>
      <c r="ED203" s="113">
        <v>0</v>
      </c>
      <c r="EE203" s="113">
        <v>0</v>
      </c>
      <c r="EF203" s="113">
        <v>0</v>
      </c>
      <c r="EG203" s="113">
        <v>0</v>
      </c>
      <c r="EH203" s="113">
        <v>0</v>
      </c>
      <c r="EI203" s="113">
        <v>0</v>
      </c>
      <c r="EJ203" s="113">
        <v>0</v>
      </c>
      <c r="EK203" s="113">
        <v>0</v>
      </c>
      <c r="EL203" s="113">
        <v>0</v>
      </c>
      <c r="EM203" s="113">
        <v>0</v>
      </c>
      <c r="EN203" s="113">
        <v>0</v>
      </c>
      <c r="EO203" s="113">
        <v>0</v>
      </c>
      <c r="EP203" s="113">
        <v>0</v>
      </c>
      <c r="EQ203" s="113">
        <v>0</v>
      </c>
      <c r="ER203" s="113">
        <v>0</v>
      </c>
      <c r="ES203" s="113">
        <v>0</v>
      </c>
      <c r="ET203" s="113">
        <v>0</v>
      </c>
      <c r="EU203" s="113">
        <v>0</v>
      </c>
      <c r="EV203" s="113">
        <v>0</v>
      </c>
      <c r="EW203" s="113">
        <v>0</v>
      </c>
      <c r="EX203" s="113">
        <v>0</v>
      </c>
      <c r="EY203" s="113">
        <v>0</v>
      </c>
      <c r="EZ203" s="113">
        <v>0</v>
      </c>
      <c r="FA203" s="113">
        <v>0</v>
      </c>
      <c r="FB203" s="113">
        <v>0</v>
      </c>
      <c r="FC203" s="113">
        <v>0</v>
      </c>
      <c r="FD203" s="113">
        <v>0</v>
      </c>
      <c r="FE203" s="113">
        <v>0</v>
      </c>
      <c r="FF203" s="113">
        <v>0</v>
      </c>
      <c r="FG203" s="113">
        <v>0</v>
      </c>
      <c r="FH203" s="113">
        <v>0</v>
      </c>
      <c r="FI203" s="113">
        <v>0</v>
      </c>
      <c r="FJ203" s="113">
        <v>0</v>
      </c>
      <c r="FK203" s="113">
        <v>0</v>
      </c>
      <c r="FL203" s="113">
        <v>0</v>
      </c>
      <c r="FM203" s="113">
        <v>0</v>
      </c>
      <c r="FN203" s="113">
        <v>0</v>
      </c>
      <c r="FO203" s="113">
        <v>0</v>
      </c>
      <c r="FP203" s="113">
        <v>0</v>
      </c>
      <c r="FQ203" s="113">
        <v>0</v>
      </c>
      <c r="FR203" s="113">
        <v>0</v>
      </c>
      <c r="FS203" s="113">
        <v>0</v>
      </c>
      <c r="FT203" s="113">
        <v>0</v>
      </c>
      <c r="FU203" s="113">
        <v>0</v>
      </c>
      <c r="FV203" s="113">
        <v>0</v>
      </c>
      <c r="FW203" s="113">
        <v>0</v>
      </c>
      <c r="FX203" s="32">
        <v>0</v>
      </c>
      <c r="FY203" s="30">
        <v>0</v>
      </c>
      <c r="FZ203" s="30">
        <v>0</v>
      </c>
    </row>
    <row r="204" spans="1:182" x14ac:dyDescent="0.2">
      <c r="A204" s="28">
        <v>37773</v>
      </c>
      <c r="B204" s="28"/>
      <c r="C204" s="29">
        <v>239184</v>
      </c>
      <c r="D204" s="29">
        <v>161388</v>
      </c>
      <c r="E204" s="29">
        <f t="shared" si="6"/>
        <v>400572</v>
      </c>
      <c r="F204" s="30">
        <v>1712958</v>
      </c>
      <c r="G204" s="30">
        <v>40380</v>
      </c>
      <c r="H204" s="30">
        <f t="shared" si="7"/>
        <v>1753338</v>
      </c>
      <c r="I204" s="42" t="s">
        <v>75</v>
      </c>
      <c r="J204" s="42" t="s">
        <v>75</v>
      </c>
      <c r="K204" s="32">
        <v>2794508</v>
      </c>
      <c r="L204" s="31" t="s">
        <v>75</v>
      </c>
      <c r="M204" s="31" t="s">
        <v>75</v>
      </c>
      <c r="N204" s="30">
        <v>6137165</v>
      </c>
      <c r="O204" s="31" t="s">
        <v>75</v>
      </c>
      <c r="P204" s="31" t="s">
        <v>75</v>
      </c>
      <c r="Q204" s="30">
        <v>9589784</v>
      </c>
      <c r="R204" s="31" t="s">
        <v>75</v>
      </c>
      <c r="S204" s="31" t="s">
        <v>75</v>
      </c>
      <c r="T204" s="32">
        <v>85952</v>
      </c>
      <c r="U204" s="31" t="s">
        <v>75</v>
      </c>
      <c r="V204" s="31" t="s">
        <v>75</v>
      </c>
      <c r="W204" s="30">
        <v>13556</v>
      </c>
      <c r="X204" s="31" t="s">
        <v>75</v>
      </c>
      <c r="Y204" s="31" t="s">
        <v>75</v>
      </c>
      <c r="Z204" s="30">
        <v>44867</v>
      </c>
      <c r="AA204" s="31" t="s">
        <v>75</v>
      </c>
      <c r="AB204" s="31" t="s">
        <v>75</v>
      </c>
      <c r="AC204" s="30">
        <v>153509</v>
      </c>
      <c r="AD204" s="31" t="s">
        <v>75</v>
      </c>
      <c r="AE204" s="31" t="s">
        <v>75</v>
      </c>
      <c r="AF204" s="30">
        <v>5135</v>
      </c>
      <c r="AG204" s="42" t="s">
        <v>75</v>
      </c>
      <c r="AH204" s="42" t="s">
        <v>75</v>
      </c>
      <c r="AI204" s="32">
        <v>23603</v>
      </c>
      <c r="AJ204" s="31" t="s">
        <v>75</v>
      </c>
      <c r="AK204" s="31" t="s">
        <v>75</v>
      </c>
      <c r="AL204" s="31" t="s">
        <v>75</v>
      </c>
      <c r="AM204" s="31"/>
      <c r="AN204" s="31"/>
      <c r="AO204" s="31"/>
      <c r="AP204" s="31"/>
      <c r="AQ204" s="31"/>
      <c r="AR204" s="31"/>
      <c r="AS204" s="31" t="s">
        <v>75</v>
      </c>
      <c r="AT204" s="31" t="s">
        <v>75</v>
      </c>
      <c r="AU204" s="31" t="s">
        <v>75</v>
      </c>
      <c r="AV204" s="31" t="s">
        <v>75</v>
      </c>
      <c r="AW204" s="31" t="s">
        <v>75</v>
      </c>
      <c r="AX204" s="31" t="s">
        <v>75</v>
      </c>
      <c r="AY204" s="31" t="s">
        <v>75</v>
      </c>
      <c r="AZ204" s="31" t="s">
        <v>75</v>
      </c>
      <c r="BA204" s="29">
        <v>10624313</v>
      </c>
      <c r="BB204" s="31" t="s">
        <v>75</v>
      </c>
      <c r="BC204" s="31" t="s">
        <v>75</v>
      </c>
      <c r="BD204" s="29">
        <v>1398222</v>
      </c>
      <c r="BE204" s="113">
        <v>0</v>
      </c>
      <c r="BF204" s="113">
        <v>0</v>
      </c>
      <c r="BG204" s="113">
        <v>0</v>
      </c>
      <c r="BH204" s="113">
        <v>0</v>
      </c>
      <c r="BI204" s="113">
        <v>0</v>
      </c>
      <c r="BJ204" s="113">
        <v>0</v>
      </c>
      <c r="BK204" s="113">
        <v>0</v>
      </c>
      <c r="BL204" s="113">
        <v>0</v>
      </c>
      <c r="BM204" s="113">
        <v>0</v>
      </c>
      <c r="BN204" s="113">
        <v>0</v>
      </c>
      <c r="BO204" s="113">
        <v>0</v>
      </c>
      <c r="BP204" s="113">
        <v>0</v>
      </c>
      <c r="BQ204" s="113">
        <v>0</v>
      </c>
      <c r="BR204" s="113">
        <v>0</v>
      </c>
      <c r="BS204" s="113">
        <v>0</v>
      </c>
      <c r="BT204" s="113">
        <v>0</v>
      </c>
      <c r="BU204" s="113">
        <v>0</v>
      </c>
      <c r="BV204" s="113">
        <v>0</v>
      </c>
      <c r="BW204" s="113"/>
      <c r="BX204" s="113"/>
      <c r="BY204" s="113"/>
      <c r="BZ204" s="113">
        <v>0</v>
      </c>
      <c r="CA204" s="113">
        <v>0</v>
      </c>
      <c r="CB204" s="113">
        <v>0</v>
      </c>
      <c r="CC204" s="113"/>
      <c r="CD204" s="113"/>
      <c r="CE204" s="113"/>
      <c r="CF204" s="113">
        <v>0</v>
      </c>
      <c r="CG204" s="113">
        <v>0</v>
      </c>
      <c r="CH204" s="113">
        <v>0</v>
      </c>
      <c r="CI204" s="113">
        <v>0</v>
      </c>
      <c r="CJ204" s="113">
        <v>0</v>
      </c>
      <c r="CK204" s="113">
        <v>0</v>
      </c>
      <c r="CL204" s="113">
        <v>0</v>
      </c>
      <c r="CM204" s="113">
        <v>0</v>
      </c>
      <c r="CN204" s="113">
        <v>0</v>
      </c>
      <c r="CO204" s="113">
        <v>0</v>
      </c>
      <c r="CP204" s="113">
        <v>0</v>
      </c>
      <c r="CQ204" s="113">
        <v>0</v>
      </c>
      <c r="CR204" s="113">
        <v>0</v>
      </c>
      <c r="CS204" s="113">
        <v>0</v>
      </c>
      <c r="CT204" s="113">
        <v>0</v>
      </c>
      <c r="CU204" s="113">
        <v>0</v>
      </c>
      <c r="CV204" s="113">
        <v>0</v>
      </c>
      <c r="CW204" s="113">
        <v>0</v>
      </c>
      <c r="CX204" s="113">
        <v>0</v>
      </c>
      <c r="CY204" s="113">
        <v>0</v>
      </c>
      <c r="CZ204" s="113">
        <v>0</v>
      </c>
      <c r="DA204" s="113">
        <v>0</v>
      </c>
      <c r="DB204" s="113">
        <v>0</v>
      </c>
      <c r="DC204" s="113">
        <v>0</v>
      </c>
      <c r="DD204" s="113">
        <v>0</v>
      </c>
      <c r="DE204" s="113">
        <v>0</v>
      </c>
      <c r="DF204" s="113">
        <v>0</v>
      </c>
      <c r="DG204" s="113">
        <v>0</v>
      </c>
      <c r="DH204" s="113">
        <v>0</v>
      </c>
      <c r="DI204" s="113">
        <v>0</v>
      </c>
      <c r="DJ204" s="113">
        <v>0</v>
      </c>
      <c r="DK204" s="113">
        <v>0</v>
      </c>
      <c r="DL204" s="113">
        <v>0</v>
      </c>
      <c r="DM204" s="113">
        <v>0</v>
      </c>
      <c r="DN204" s="113">
        <v>0</v>
      </c>
      <c r="DO204" s="113">
        <v>0</v>
      </c>
      <c r="DP204" s="113">
        <v>0</v>
      </c>
      <c r="DQ204" s="113">
        <v>0</v>
      </c>
      <c r="DR204" s="113">
        <v>0</v>
      </c>
      <c r="DS204" s="113">
        <v>0</v>
      </c>
      <c r="DT204" s="113">
        <v>0</v>
      </c>
      <c r="DU204" s="113">
        <v>0</v>
      </c>
      <c r="DV204" s="113">
        <v>0</v>
      </c>
      <c r="DW204" s="113">
        <v>0</v>
      </c>
      <c r="DX204" s="113">
        <v>0</v>
      </c>
      <c r="DY204" s="113">
        <v>0</v>
      </c>
      <c r="DZ204" s="113">
        <v>0</v>
      </c>
      <c r="EA204" s="113">
        <v>0</v>
      </c>
      <c r="EB204" s="113">
        <v>0</v>
      </c>
      <c r="EC204" s="113">
        <v>0</v>
      </c>
      <c r="ED204" s="113">
        <v>0</v>
      </c>
      <c r="EE204" s="113">
        <v>0</v>
      </c>
      <c r="EF204" s="113">
        <v>0</v>
      </c>
      <c r="EG204" s="113">
        <v>0</v>
      </c>
      <c r="EH204" s="113">
        <v>0</v>
      </c>
      <c r="EI204" s="113">
        <v>0</v>
      </c>
      <c r="EJ204" s="113">
        <v>0</v>
      </c>
      <c r="EK204" s="113">
        <v>0</v>
      </c>
      <c r="EL204" s="113">
        <v>0</v>
      </c>
      <c r="EM204" s="113">
        <v>0</v>
      </c>
      <c r="EN204" s="113">
        <v>0</v>
      </c>
      <c r="EO204" s="113">
        <v>0</v>
      </c>
      <c r="EP204" s="113">
        <v>0</v>
      </c>
      <c r="EQ204" s="113">
        <v>0</v>
      </c>
      <c r="ER204" s="113">
        <v>0</v>
      </c>
      <c r="ES204" s="113">
        <v>0</v>
      </c>
      <c r="ET204" s="113">
        <v>0</v>
      </c>
      <c r="EU204" s="113">
        <v>0</v>
      </c>
      <c r="EV204" s="113">
        <v>0</v>
      </c>
      <c r="EW204" s="113">
        <v>0</v>
      </c>
      <c r="EX204" s="113">
        <v>0</v>
      </c>
      <c r="EY204" s="113">
        <v>0</v>
      </c>
      <c r="EZ204" s="113">
        <v>0</v>
      </c>
      <c r="FA204" s="113">
        <v>0</v>
      </c>
      <c r="FB204" s="113">
        <v>0</v>
      </c>
      <c r="FC204" s="113">
        <v>0</v>
      </c>
      <c r="FD204" s="113">
        <v>0</v>
      </c>
      <c r="FE204" s="113">
        <v>0</v>
      </c>
      <c r="FF204" s="113">
        <v>0</v>
      </c>
      <c r="FG204" s="113">
        <v>0</v>
      </c>
      <c r="FH204" s="113">
        <v>0</v>
      </c>
      <c r="FI204" s="113">
        <v>0</v>
      </c>
      <c r="FJ204" s="113">
        <v>0</v>
      </c>
      <c r="FK204" s="113">
        <v>0</v>
      </c>
      <c r="FL204" s="113">
        <v>0</v>
      </c>
      <c r="FM204" s="113">
        <v>0</v>
      </c>
      <c r="FN204" s="113">
        <v>0</v>
      </c>
      <c r="FO204" s="113">
        <v>0</v>
      </c>
      <c r="FP204" s="113">
        <v>0</v>
      </c>
      <c r="FQ204" s="113">
        <v>0</v>
      </c>
      <c r="FR204" s="113">
        <v>0</v>
      </c>
      <c r="FS204" s="113">
        <v>0</v>
      </c>
      <c r="FT204" s="113">
        <v>0</v>
      </c>
      <c r="FU204" s="113">
        <v>0</v>
      </c>
      <c r="FV204" s="113">
        <v>0</v>
      </c>
      <c r="FW204" s="113">
        <v>0</v>
      </c>
      <c r="FX204" s="32">
        <v>0</v>
      </c>
      <c r="FY204" s="30">
        <v>0</v>
      </c>
      <c r="FZ204" s="30">
        <v>0</v>
      </c>
    </row>
    <row r="205" spans="1:182" x14ac:dyDescent="0.2">
      <c r="A205" s="28">
        <v>37803</v>
      </c>
      <c r="B205" s="28"/>
      <c r="C205" s="29">
        <v>215587</v>
      </c>
      <c r="D205" s="29">
        <v>43451</v>
      </c>
      <c r="E205" s="29">
        <f t="shared" si="6"/>
        <v>259038</v>
      </c>
      <c r="F205" s="30">
        <v>2286298</v>
      </c>
      <c r="G205" s="30">
        <v>34869</v>
      </c>
      <c r="H205" s="30">
        <f t="shared" si="7"/>
        <v>2321167</v>
      </c>
      <c r="I205" s="42" t="s">
        <v>75</v>
      </c>
      <c r="J205" s="42" t="s">
        <v>75</v>
      </c>
      <c r="K205" s="32">
        <v>3507927</v>
      </c>
      <c r="L205" s="31" t="s">
        <v>75</v>
      </c>
      <c r="M205" s="31" t="s">
        <v>75</v>
      </c>
      <c r="N205" s="30">
        <v>7459442</v>
      </c>
      <c r="O205" s="31" t="s">
        <v>75</v>
      </c>
      <c r="P205" s="31" t="s">
        <v>75</v>
      </c>
      <c r="Q205" s="30">
        <v>10255857</v>
      </c>
      <c r="R205" s="31" t="s">
        <v>75</v>
      </c>
      <c r="S205" s="31" t="s">
        <v>75</v>
      </c>
      <c r="T205" s="32">
        <v>97899</v>
      </c>
      <c r="U205" s="31" t="s">
        <v>75</v>
      </c>
      <c r="V205" s="31" t="s">
        <v>75</v>
      </c>
      <c r="W205" s="30">
        <v>16984</v>
      </c>
      <c r="X205" s="31" t="s">
        <v>75</v>
      </c>
      <c r="Y205" s="31" t="s">
        <v>75</v>
      </c>
      <c r="Z205" s="30">
        <v>52987</v>
      </c>
      <c r="AA205" s="31" t="s">
        <v>75</v>
      </c>
      <c r="AB205" s="31" t="s">
        <v>75</v>
      </c>
      <c r="AC205" s="30">
        <v>159914</v>
      </c>
      <c r="AD205" s="31" t="s">
        <v>75</v>
      </c>
      <c r="AE205" s="31" t="s">
        <v>75</v>
      </c>
      <c r="AF205" s="30">
        <v>3391</v>
      </c>
      <c r="AG205" s="42" t="s">
        <v>75</v>
      </c>
      <c r="AH205" s="42" t="s">
        <v>75</v>
      </c>
      <c r="AI205" s="32">
        <v>15232</v>
      </c>
      <c r="AJ205" s="31" t="s">
        <v>75</v>
      </c>
      <c r="AK205" s="31" t="s">
        <v>75</v>
      </c>
      <c r="AL205" s="31" t="s">
        <v>75</v>
      </c>
      <c r="AM205" s="31"/>
      <c r="AN205" s="31"/>
      <c r="AO205" s="31"/>
      <c r="AP205" s="31"/>
      <c r="AQ205" s="31"/>
      <c r="AR205" s="31"/>
      <c r="AS205" s="31" t="s">
        <v>75</v>
      </c>
      <c r="AT205" s="31" t="s">
        <v>75</v>
      </c>
      <c r="AU205" s="31" t="s">
        <v>75</v>
      </c>
      <c r="AV205" s="31" t="s">
        <v>75</v>
      </c>
      <c r="AW205" s="31" t="s">
        <v>75</v>
      </c>
      <c r="AX205" s="31" t="s">
        <v>75</v>
      </c>
      <c r="AY205" s="31" t="s">
        <v>75</v>
      </c>
      <c r="AZ205" s="31" t="s">
        <v>75</v>
      </c>
      <c r="BA205" s="29">
        <v>11787899</v>
      </c>
      <c r="BB205" s="31" t="s">
        <v>75</v>
      </c>
      <c r="BC205" s="31" t="s">
        <v>75</v>
      </c>
      <c r="BD205" s="29">
        <v>1802930</v>
      </c>
      <c r="BE205" s="113">
        <v>0</v>
      </c>
      <c r="BF205" s="113">
        <v>0</v>
      </c>
      <c r="BG205" s="113">
        <v>0</v>
      </c>
      <c r="BH205" s="113">
        <v>0</v>
      </c>
      <c r="BI205" s="113">
        <v>0</v>
      </c>
      <c r="BJ205" s="113">
        <v>0</v>
      </c>
      <c r="BK205" s="113">
        <v>0</v>
      </c>
      <c r="BL205" s="113">
        <v>0</v>
      </c>
      <c r="BM205" s="113">
        <v>0</v>
      </c>
      <c r="BN205" s="113">
        <v>0</v>
      </c>
      <c r="BO205" s="113">
        <v>0</v>
      </c>
      <c r="BP205" s="113">
        <v>0</v>
      </c>
      <c r="BQ205" s="113">
        <v>0</v>
      </c>
      <c r="BR205" s="113">
        <v>0</v>
      </c>
      <c r="BS205" s="113">
        <v>0</v>
      </c>
      <c r="BT205" s="113">
        <v>0</v>
      </c>
      <c r="BU205" s="113">
        <v>0</v>
      </c>
      <c r="BV205" s="113">
        <v>0</v>
      </c>
      <c r="BW205" s="113"/>
      <c r="BX205" s="113"/>
      <c r="BY205" s="113"/>
      <c r="BZ205" s="113">
        <v>0</v>
      </c>
      <c r="CA205" s="113">
        <v>0</v>
      </c>
      <c r="CB205" s="113">
        <v>0</v>
      </c>
      <c r="CC205" s="113"/>
      <c r="CD205" s="113"/>
      <c r="CE205" s="113"/>
      <c r="CF205" s="113">
        <v>0</v>
      </c>
      <c r="CG205" s="113">
        <v>0</v>
      </c>
      <c r="CH205" s="113">
        <v>0</v>
      </c>
      <c r="CI205" s="113">
        <v>0</v>
      </c>
      <c r="CJ205" s="113">
        <v>0</v>
      </c>
      <c r="CK205" s="113">
        <v>0</v>
      </c>
      <c r="CL205" s="113">
        <v>0</v>
      </c>
      <c r="CM205" s="113">
        <v>0</v>
      </c>
      <c r="CN205" s="113">
        <v>0</v>
      </c>
      <c r="CO205" s="113">
        <v>0</v>
      </c>
      <c r="CP205" s="113">
        <v>0</v>
      </c>
      <c r="CQ205" s="113">
        <v>0</v>
      </c>
      <c r="CR205" s="113">
        <v>0</v>
      </c>
      <c r="CS205" s="113">
        <v>0</v>
      </c>
      <c r="CT205" s="113">
        <v>0</v>
      </c>
      <c r="CU205" s="113">
        <v>0</v>
      </c>
      <c r="CV205" s="113">
        <v>0</v>
      </c>
      <c r="CW205" s="113">
        <v>0</v>
      </c>
      <c r="CX205" s="113">
        <v>0</v>
      </c>
      <c r="CY205" s="113">
        <v>0</v>
      </c>
      <c r="CZ205" s="113">
        <v>0</v>
      </c>
      <c r="DA205" s="113">
        <v>0</v>
      </c>
      <c r="DB205" s="113">
        <v>0</v>
      </c>
      <c r="DC205" s="113">
        <v>0</v>
      </c>
      <c r="DD205" s="113">
        <v>0</v>
      </c>
      <c r="DE205" s="113">
        <v>0</v>
      </c>
      <c r="DF205" s="113">
        <v>0</v>
      </c>
      <c r="DG205" s="113">
        <v>0</v>
      </c>
      <c r="DH205" s="113">
        <v>0</v>
      </c>
      <c r="DI205" s="113">
        <v>0</v>
      </c>
      <c r="DJ205" s="113">
        <v>0</v>
      </c>
      <c r="DK205" s="113">
        <v>0</v>
      </c>
      <c r="DL205" s="113">
        <v>0</v>
      </c>
      <c r="DM205" s="113">
        <v>0</v>
      </c>
      <c r="DN205" s="113">
        <v>0</v>
      </c>
      <c r="DO205" s="113">
        <v>0</v>
      </c>
      <c r="DP205" s="113">
        <v>0</v>
      </c>
      <c r="DQ205" s="113">
        <v>0</v>
      </c>
      <c r="DR205" s="113">
        <v>0</v>
      </c>
      <c r="DS205" s="113">
        <v>0</v>
      </c>
      <c r="DT205" s="113">
        <v>0</v>
      </c>
      <c r="DU205" s="113">
        <v>0</v>
      </c>
      <c r="DV205" s="113">
        <v>0</v>
      </c>
      <c r="DW205" s="113">
        <v>0</v>
      </c>
      <c r="DX205" s="113">
        <v>0</v>
      </c>
      <c r="DY205" s="113">
        <v>0</v>
      </c>
      <c r="DZ205" s="113">
        <v>0</v>
      </c>
      <c r="EA205" s="113">
        <v>0</v>
      </c>
      <c r="EB205" s="113">
        <v>0</v>
      </c>
      <c r="EC205" s="113">
        <v>0</v>
      </c>
      <c r="ED205" s="113">
        <v>0</v>
      </c>
      <c r="EE205" s="113">
        <v>0</v>
      </c>
      <c r="EF205" s="113">
        <v>0</v>
      </c>
      <c r="EG205" s="113">
        <v>0</v>
      </c>
      <c r="EH205" s="113">
        <v>0</v>
      </c>
      <c r="EI205" s="113">
        <v>0</v>
      </c>
      <c r="EJ205" s="113">
        <v>0</v>
      </c>
      <c r="EK205" s="113">
        <v>0</v>
      </c>
      <c r="EL205" s="113">
        <v>0</v>
      </c>
      <c r="EM205" s="113">
        <v>0</v>
      </c>
      <c r="EN205" s="113">
        <v>0</v>
      </c>
      <c r="EO205" s="113">
        <v>0</v>
      </c>
      <c r="EP205" s="113">
        <v>0</v>
      </c>
      <c r="EQ205" s="113">
        <v>0</v>
      </c>
      <c r="ER205" s="113">
        <v>0</v>
      </c>
      <c r="ES205" s="113">
        <v>0</v>
      </c>
      <c r="ET205" s="113">
        <v>0</v>
      </c>
      <c r="EU205" s="113">
        <v>0</v>
      </c>
      <c r="EV205" s="113">
        <v>0</v>
      </c>
      <c r="EW205" s="113">
        <v>0</v>
      </c>
      <c r="EX205" s="113">
        <v>0</v>
      </c>
      <c r="EY205" s="113">
        <v>0</v>
      </c>
      <c r="EZ205" s="113">
        <v>0</v>
      </c>
      <c r="FA205" s="113">
        <v>0</v>
      </c>
      <c r="FB205" s="113">
        <v>0</v>
      </c>
      <c r="FC205" s="113">
        <v>0</v>
      </c>
      <c r="FD205" s="113">
        <v>0</v>
      </c>
      <c r="FE205" s="113">
        <v>0</v>
      </c>
      <c r="FF205" s="113">
        <v>0</v>
      </c>
      <c r="FG205" s="113">
        <v>0</v>
      </c>
      <c r="FH205" s="113">
        <v>0</v>
      </c>
      <c r="FI205" s="113">
        <v>0</v>
      </c>
      <c r="FJ205" s="113">
        <v>0</v>
      </c>
      <c r="FK205" s="113">
        <v>0</v>
      </c>
      <c r="FL205" s="113">
        <v>0</v>
      </c>
      <c r="FM205" s="113">
        <v>0</v>
      </c>
      <c r="FN205" s="113">
        <v>0</v>
      </c>
      <c r="FO205" s="113">
        <v>0</v>
      </c>
      <c r="FP205" s="113">
        <v>0</v>
      </c>
      <c r="FQ205" s="113">
        <v>0</v>
      </c>
      <c r="FR205" s="113">
        <v>0</v>
      </c>
      <c r="FS205" s="113">
        <v>0</v>
      </c>
      <c r="FT205" s="113">
        <v>0</v>
      </c>
      <c r="FU205" s="113">
        <v>0</v>
      </c>
      <c r="FV205" s="113">
        <v>0</v>
      </c>
      <c r="FW205" s="113">
        <v>0</v>
      </c>
      <c r="FX205" s="32">
        <v>0</v>
      </c>
      <c r="FY205" s="30">
        <v>0</v>
      </c>
      <c r="FZ205" s="30">
        <v>0</v>
      </c>
    </row>
    <row r="206" spans="1:182" x14ac:dyDescent="0.2">
      <c r="A206" s="28">
        <v>37834</v>
      </c>
      <c r="B206" s="28"/>
      <c r="C206" s="29">
        <v>120190</v>
      </c>
      <c r="D206" s="29">
        <v>111762</v>
      </c>
      <c r="E206" s="29">
        <f t="shared" si="6"/>
        <v>231952</v>
      </c>
      <c r="F206" s="30">
        <v>2259398</v>
      </c>
      <c r="G206" s="30">
        <v>23577</v>
      </c>
      <c r="H206" s="30">
        <f t="shared" si="7"/>
        <v>2282975</v>
      </c>
      <c r="I206" s="42" t="s">
        <v>75</v>
      </c>
      <c r="J206" s="42" t="s">
        <v>75</v>
      </c>
      <c r="K206" s="32">
        <v>3421987</v>
      </c>
      <c r="L206" s="31" t="s">
        <v>75</v>
      </c>
      <c r="M206" s="31" t="s">
        <v>75</v>
      </c>
      <c r="N206" s="30">
        <v>7543441</v>
      </c>
      <c r="O206" s="31" t="s">
        <v>75</v>
      </c>
      <c r="P206" s="31" t="s">
        <v>75</v>
      </c>
      <c r="Q206" s="30">
        <v>11272879</v>
      </c>
      <c r="R206" s="31" t="s">
        <v>75</v>
      </c>
      <c r="S206" s="31" t="s">
        <v>75</v>
      </c>
      <c r="T206" s="32">
        <v>90877</v>
      </c>
      <c r="U206" s="31" t="s">
        <v>75</v>
      </c>
      <c r="V206" s="31" t="s">
        <v>75</v>
      </c>
      <c r="W206" s="30">
        <v>14612</v>
      </c>
      <c r="X206" s="31" t="s">
        <v>75</v>
      </c>
      <c r="Y206" s="31" t="s">
        <v>75</v>
      </c>
      <c r="Z206" s="30">
        <v>51270</v>
      </c>
      <c r="AA206" s="31" t="s">
        <v>75</v>
      </c>
      <c r="AB206" s="31" t="s">
        <v>75</v>
      </c>
      <c r="AC206" s="30">
        <v>89507</v>
      </c>
      <c r="AD206" s="31" t="s">
        <v>75</v>
      </c>
      <c r="AE206" s="31" t="s">
        <v>75</v>
      </c>
      <c r="AF206" s="30">
        <v>4979</v>
      </c>
      <c r="AG206" s="42" t="s">
        <v>75</v>
      </c>
      <c r="AH206" s="42" t="s">
        <v>75</v>
      </c>
      <c r="AI206" s="32">
        <v>15147</v>
      </c>
      <c r="AJ206" s="31" t="s">
        <v>75</v>
      </c>
      <c r="AK206" s="31" t="s">
        <v>75</v>
      </c>
      <c r="AL206" s="31" t="s">
        <v>75</v>
      </c>
      <c r="AM206" s="31"/>
      <c r="AN206" s="31"/>
      <c r="AO206" s="31"/>
      <c r="AP206" s="31"/>
      <c r="AQ206" s="31"/>
      <c r="AR206" s="31"/>
      <c r="AS206" s="31" t="s">
        <v>75</v>
      </c>
      <c r="AT206" s="31" t="s">
        <v>75</v>
      </c>
      <c r="AU206" s="31" t="s">
        <v>75</v>
      </c>
      <c r="AV206" s="31" t="s">
        <v>75</v>
      </c>
      <c r="AW206" s="31" t="s">
        <v>75</v>
      </c>
      <c r="AX206" s="31" t="s">
        <v>75</v>
      </c>
      <c r="AY206" s="31" t="s">
        <v>75</v>
      </c>
      <c r="AZ206" s="31" t="s">
        <v>75</v>
      </c>
      <c r="BA206" s="29">
        <v>10972972</v>
      </c>
      <c r="BB206" s="31" t="s">
        <v>75</v>
      </c>
      <c r="BC206" s="31" t="s">
        <v>75</v>
      </c>
      <c r="BD206" s="29">
        <v>1505856</v>
      </c>
      <c r="BE206" s="113">
        <v>0</v>
      </c>
      <c r="BF206" s="113">
        <v>0</v>
      </c>
      <c r="BG206" s="113">
        <v>0</v>
      </c>
      <c r="BH206" s="113">
        <v>0</v>
      </c>
      <c r="BI206" s="113">
        <v>0</v>
      </c>
      <c r="BJ206" s="113">
        <v>0</v>
      </c>
      <c r="BK206" s="113">
        <v>0</v>
      </c>
      <c r="BL206" s="113">
        <v>0</v>
      </c>
      <c r="BM206" s="113">
        <v>0</v>
      </c>
      <c r="BN206" s="113">
        <v>0</v>
      </c>
      <c r="BO206" s="113">
        <v>0</v>
      </c>
      <c r="BP206" s="113">
        <v>0</v>
      </c>
      <c r="BQ206" s="113">
        <v>0</v>
      </c>
      <c r="BR206" s="113">
        <v>0</v>
      </c>
      <c r="BS206" s="113">
        <v>0</v>
      </c>
      <c r="BT206" s="113">
        <v>0</v>
      </c>
      <c r="BU206" s="113">
        <v>0</v>
      </c>
      <c r="BV206" s="113">
        <v>0</v>
      </c>
      <c r="BW206" s="113"/>
      <c r="BX206" s="113"/>
      <c r="BY206" s="113"/>
      <c r="BZ206" s="113">
        <v>0</v>
      </c>
      <c r="CA206" s="113">
        <v>0</v>
      </c>
      <c r="CB206" s="113">
        <v>0</v>
      </c>
      <c r="CC206" s="113"/>
      <c r="CD206" s="113"/>
      <c r="CE206" s="113"/>
      <c r="CF206" s="113">
        <v>0</v>
      </c>
      <c r="CG206" s="113">
        <v>0</v>
      </c>
      <c r="CH206" s="113">
        <v>0</v>
      </c>
      <c r="CI206" s="113">
        <v>0</v>
      </c>
      <c r="CJ206" s="113">
        <v>0</v>
      </c>
      <c r="CK206" s="113">
        <v>0</v>
      </c>
      <c r="CL206" s="113">
        <v>0</v>
      </c>
      <c r="CM206" s="113">
        <v>0</v>
      </c>
      <c r="CN206" s="113">
        <v>0</v>
      </c>
      <c r="CO206" s="113">
        <v>0</v>
      </c>
      <c r="CP206" s="113">
        <v>0</v>
      </c>
      <c r="CQ206" s="113">
        <v>0</v>
      </c>
      <c r="CR206" s="113">
        <v>0</v>
      </c>
      <c r="CS206" s="113">
        <v>0</v>
      </c>
      <c r="CT206" s="113">
        <v>0</v>
      </c>
      <c r="CU206" s="113">
        <v>0</v>
      </c>
      <c r="CV206" s="113">
        <v>0</v>
      </c>
      <c r="CW206" s="113">
        <v>0</v>
      </c>
      <c r="CX206" s="113">
        <v>0</v>
      </c>
      <c r="CY206" s="113">
        <v>0</v>
      </c>
      <c r="CZ206" s="113">
        <v>0</v>
      </c>
      <c r="DA206" s="113">
        <v>0</v>
      </c>
      <c r="DB206" s="113">
        <v>0</v>
      </c>
      <c r="DC206" s="113">
        <v>0</v>
      </c>
      <c r="DD206" s="113">
        <v>0</v>
      </c>
      <c r="DE206" s="113">
        <v>0</v>
      </c>
      <c r="DF206" s="113">
        <v>0</v>
      </c>
      <c r="DG206" s="113">
        <v>0</v>
      </c>
      <c r="DH206" s="113">
        <v>0</v>
      </c>
      <c r="DI206" s="113">
        <v>0</v>
      </c>
      <c r="DJ206" s="113">
        <v>0</v>
      </c>
      <c r="DK206" s="113">
        <v>0</v>
      </c>
      <c r="DL206" s="113">
        <v>0</v>
      </c>
      <c r="DM206" s="113">
        <v>0</v>
      </c>
      <c r="DN206" s="113">
        <v>0</v>
      </c>
      <c r="DO206" s="113">
        <v>0</v>
      </c>
      <c r="DP206" s="113">
        <v>0</v>
      </c>
      <c r="DQ206" s="113">
        <v>0</v>
      </c>
      <c r="DR206" s="113">
        <v>0</v>
      </c>
      <c r="DS206" s="113">
        <v>0</v>
      </c>
      <c r="DT206" s="113">
        <v>0</v>
      </c>
      <c r="DU206" s="113">
        <v>0</v>
      </c>
      <c r="DV206" s="113">
        <v>0</v>
      </c>
      <c r="DW206" s="113">
        <v>0</v>
      </c>
      <c r="DX206" s="113">
        <v>0</v>
      </c>
      <c r="DY206" s="113">
        <v>0</v>
      </c>
      <c r="DZ206" s="113">
        <v>0</v>
      </c>
      <c r="EA206" s="113">
        <v>0</v>
      </c>
      <c r="EB206" s="113">
        <v>0</v>
      </c>
      <c r="EC206" s="113">
        <v>0</v>
      </c>
      <c r="ED206" s="113">
        <v>0</v>
      </c>
      <c r="EE206" s="113">
        <v>0</v>
      </c>
      <c r="EF206" s="113">
        <v>0</v>
      </c>
      <c r="EG206" s="113">
        <v>0</v>
      </c>
      <c r="EH206" s="113">
        <v>0</v>
      </c>
      <c r="EI206" s="113">
        <v>0</v>
      </c>
      <c r="EJ206" s="113">
        <v>0</v>
      </c>
      <c r="EK206" s="113">
        <v>0</v>
      </c>
      <c r="EL206" s="113">
        <v>0</v>
      </c>
      <c r="EM206" s="113">
        <v>0</v>
      </c>
      <c r="EN206" s="113">
        <v>0</v>
      </c>
      <c r="EO206" s="113">
        <v>0</v>
      </c>
      <c r="EP206" s="113">
        <v>0</v>
      </c>
      <c r="EQ206" s="113">
        <v>0</v>
      </c>
      <c r="ER206" s="113">
        <v>0</v>
      </c>
      <c r="ES206" s="113">
        <v>0</v>
      </c>
      <c r="ET206" s="113">
        <v>0</v>
      </c>
      <c r="EU206" s="113">
        <v>0</v>
      </c>
      <c r="EV206" s="113">
        <v>0</v>
      </c>
      <c r="EW206" s="113">
        <v>0</v>
      </c>
      <c r="EX206" s="113">
        <v>0</v>
      </c>
      <c r="EY206" s="113">
        <v>0</v>
      </c>
      <c r="EZ206" s="113">
        <v>0</v>
      </c>
      <c r="FA206" s="113">
        <v>0</v>
      </c>
      <c r="FB206" s="113">
        <v>0</v>
      </c>
      <c r="FC206" s="113">
        <v>0</v>
      </c>
      <c r="FD206" s="113">
        <v>0</v>
      </c>
      <c r="FE206" s="113">
        <v>0</v>
      </c>
      <c r="FF206" s="113">
        <v>0</v>
      </c>
      <c r="FG206" s="113">
        <v>0</v>
      </c>
      <c r="FH206" s="113">
        <v>0</v>
      </c>
      <c r="FI206" s="113">
        <v>0</v>
      </c>
      <c r="FJ206" s="113">
        <v>0</v>
      </c>
      <c r="FK206" s="113">
        <v>0</v>
      </c>
      <c r="FL206" s="113">
        <v>0</v>
      </c>
      <c r="FM206" s="113">
        <v>0</v>
      </c>
      <c r="FN206" s="113">
        <v>0</v>
      </c>
      <c r="FO206" s="113">
        <v>0</v>
      </c>
      <c r="FP206" s="113">
        <v>0</v>
      </c>
      <c r="FQ206" s="113">
        <v>0</v>
      </c>
      <c r="FR206" s="113">
        <v>0</v>
      </c>
      <c r="FS206" s="113">
        <v>0</v>
      </c>
      <c r="FT206" s="113">
        <v>0</v>
      </c>
      <c r="FU206" s="113">
        <v>0</v>
      </c>
      <c r="FV206" s="113">
        <v>0</v>
      </c>
      <c r="FW206" s="113">
        <v>0</v>
      </c>
      <c r="FX206" s="32">
        <v>0</v>
      </c>
      <c r="FY206" s="30">
        <v>0</v>
      </c>
      <c r="FZ206" s="30">
        <v>0</v>
      </c>
    </row>
    <row r="207" spans="1:182" x14ac:dyDescent="0.2">
      <c r="A207" s="28">
        <v>37865</v>
      </c>
      <c r="B207" s="28"/>
      <c r="C207" s="29">
        <v>196748</v>
      </c>
      <c r="D207" s="29">
        <v>116739</v>
      </c>
      <c r="E207" s="29">
        <f t="shared" si="6"/>
        <v>313487</v>
      </c>
      <c r="F207" s="30">
        <v>2501986</v>
      </c>
      <c r="G207" s="30">
        <v>68603</v>
      </c>
      <c r="H207" s="30">
        <f t="shared" si="7"/>
        <v>2570589</v>
      </c>
      <c r="I207" s="42" t="s">
        <v>75</v>
      </c>
      <c r="J207" s="42" t="s">
        <v>75</v>
      </c>
      <c r="K207" s="32">
        <v>3811361</v>
      </c>
      <c r="L207" s="31" t="s">
        <v>75</v>
      </c>
      <c r="M207" s="31" t="s">
        <v>75</v>
      </c>
      <c r="N207" s="30">
        <v>8357140</v>
      </c>
      <c r="O207" s="31" t="s">
        <v>75</v>
      </c>
      <c r="P207" s="31" t="s">
        <v>75</v>
      </c>
      <c r="Q207" s="30">
        <v>12740188</v>
      </c>
      <c r="R207" s="31" t="s">
        <v>75</v>
      </c>
      <c r="S207" s="31" t="s">
        <v>75</v>
      </c>
      <c r="T207" s="32">
        <v>84661</v>
      </c>
      <c r="U207" s="31" t="s">
        <v>75</v>
      </c>
      <c r="V207" s="31" t="s">
        <v>75</v>
      </c>
      <c r="W207" s="30">
        <v>12345</v>
      </c>
      <c r="X207" s="31" t="s">
        <v>75</v>
      </c>
      <c r="Y207" s="31" t="s">
        <v>75</v>
      </c>
      <c r="Z207" s="30">
        <v>83839</v>
      </c>
      <c r="AA207" s="31" t="s">
        <v>75</v>
      </c>
      <c r="AB207" s="31" t="s">
        <v>75</v>
      </c>
      <c r="AC207" s="30">
        <v>151766</v>
      </c>
      <c r="AD207" s="31" t="s">
        <v>75</v>
      </c>
      <c r="AE207" s="31" t="s">
        <v>75</v>
      </c>
      <c r="AF207" s="30">
        <v>9368</v>
      </c>
      <c r="AG207" s="42" t="s">
        <v>75</v>
      </c>
      <c r="AH207" s="42" t="s">
        <v>75</v>
      </c>
      <c r="AI207" s="32">
        <v>16629</v>
      </c>
      <c r="AJ207" s="31" t="s">
        <v>75</v>
      </c>
      <c r="AK207" s="31" t="s">
        <v>75</v>
      </c>
      <c r="AL207" s="31" t="s">
        <v>75</v>
      </c>
      <c r="AM207" s="31"/>
      <c r="AN207" s="31"/>
      <c r="AO207" s="31"/>
      <c r="AP207" s="31"/>
      <c r="AQ207" s="31"/>
      <c r="AR207" s="31"/>
      <c r="AS207" s="31" t="s">
        <v>75</v>
      </c>
      <c r="AT207" s="31" t="s">
        <v>75</v>
      </c>
      <c r="AU207" s="31" t="s">
        <v>75</v>
      </c>
      <c r="AV207" s="31" t="s">
        <v>75</v>
      </c>
      <c r="AW207" s="31" t="s">
        <v>75</v>
      </c>
      <c r="AX207" s="31" t="s">
        <v>75</v>
      </c>
      <c r="AY207" s="31" t="s">
        <v>75</v>
      </c>
      <c r="AZ207" s="31" t="s">
        <v>75</v>
      </c>
      <c r="BA207" s="29">
        <v>11568639</v>
      </c>
      <c r="BB207" s="31" t="s">
        <v>75</v>
      </c>
      <c r="BC207" s="31" t="s">
        <v>75</v>
      </c>
      <c r="BD207" s="29">
        <v>1589387</v>
      </c>
      <c r="BE207" s="113">
        <v>0</v>
      </c>
      <c r="BF207" s="113">
        <v>0</v>
      </c>
      <c r="BG207" s="113">
        <v>0</v>
      </c>
      <c r="BH207" s="113">
        <v>0</v>
      </c>
      <c r="BI207" s="113">
        <v>0</v>
      </c>
      <c r="BJ207" s="113">
        <v>0</v>
      </c>
      <c r="BK207" s="113">
        <v>0</v>
      </c>
      <c r="BL207" s="113">
        <v>0</v>
      </c>
      <c r="BM207" s="113">
        <v>0</v>
      </c>
      <c r="BN207" s="113">
        <v>0</v>
      </c>
      <c r="BO207" s="113">
        <v>0</v>
      </c>
      <c r="BP207" s="113">
        <v>0</v>
      </c>
      <c r="BQ207" s="113">
        <v>0</v>
      </c>
      <c r="BR207" s="113">
        <v>0</v>
      </c>
      <c r="BS207" s="113">
        <v>0</v>
      </c>
      <c r="BT207" s="113">
        <v>0</v>
      </c>
      <c r="BU207" s="113">
        <v>0</v>
      </c>
      <c r="BV207" s="113">
        <v>0</v>
      </c>
      <c r="BW207" s="113"/>
      <c r="BX207" s="113"/>
      <c r="BY207" s="113"/>
      <c r="BZ207" s="113">
        <v>0</v>
      </c>
      <c r="CA207" s="113">
        <v>0</v>
      </c>
      <c r="CB207" s="113">
        <v>0</v>
      </c>
      <c r="CC207" s="113"/>
      <c r="CD207" s="113"/>
      <c r="CE207" s="113"/>
      <c r="CF207" s="113">
        <v>0</v>
      </c>
      <c r="CG207" s="113">
        <v>0</v>
      </c>
      <c r="CH207" s="113">
        <v>0</v>
      </c>
      <c r="CI207" s="113">
        <v>0</v>
      </c>
      <c r="CJ207" s="113">
        <v>0</v>
      </c>
      <c r="CK207" s="113">
        <v>0</v>
      </c>
      <c r="CL207" s="113">
        <v>0</v>
      </c>
      <c r="CM207" s="113">
        <v>0</v>
      </c>
      <c r="CN207" s="113">
        <v>0</v>
      </c>
      <c r="CO207" s="113">
        <v>0</v>
      </c>
      <c r="CP207" s="113">
        <v>0</v>
      </c>
      <c r="CQ207" s="113">
        <v>0</v>
      </c>
      <c r="CR207" s="113">
        <v>0</v>
      </c>
      <c r="CS207" s="113">
        <v>0</v>
      </c>
      <c r="CT207" s="113">
        <v>0</v>
      </c>
      <c r="CU207" s="113">
        <v>0</v>
      </c>
      <c r="CV207" s="113">
        <v>0</v>
      </c>
      <c r="CW207" s="113">
        <v>0</v>
      </c>
      <c r="CX207" s="113">
        <v>0</v>
      </c>
      <c r="CY207" s="113">
        <v>0</v>
      </c>
      <c r="CZ207" s="113">
        <v>0</v>
      </c>
      <c r="DA207" s="113">
        <v>0</v>
      </c>
      <c r="DB207" s="113">
        <v>0</v>
      </c>
      <c r="DC207" s="113">
        <v>0</v>
      </c>
      <c r="DD207" s="113">
        <v>0</v>
      </c>
      <c r="DE207" s="113">
        <v>0</v>
      </c>
      <c r="DF207" s="113">
        <v>0</v>
      </c>
      <c r="DG207" s="113">
        <v>0</v>
      </c>
      <c r="DH207" s="113">
        <v>0</v>
      </c>
      <c r="DI207" s="113">
        <v>0</v>
      </c>
      <c r="DJ207" s="113">
        <v>0</v>
      </c>
      <c r="DK207" s="113">
        <v>0</v>
      </c>
      <c r="DL207" s="113">
        <v>0</v>
      </c>
      <c r="DM207" s="113">
        <v>0</v>
      </c>
      <c r="DN207" s="113">
        <v>0</v>
      </c>
      <c r="DO207" s="113">
        <v>0</v>
      </c>
      <c r="DP207" s="113">
        <v>0</v>
      </c>
      <c r="DQ207" s="113">
        <v>0</v>
      </c>
      <c r="DR207" s="113">
        <v>0</v>
      </c>
      <c r="DS207" s="113">
        <v>0</v>
      </c>
      <c r="DT207" s="113">
        <v>0</v>
      </c>
      <c r="DU207" s="113">
        <v>0</v>
      </c>
      <c r="DV207" s="113">
        <v>0</v>
      </c>
      <c r="DW207" s="113">
        <v>0</v>
      </c>
      <c r="DX207" s="113">
        <v>0</v>
      </c>
      <c r="DY207" s="113">
        <v>0</v>
      </c>
      <c r="DZ207" s="113">
        <v>0</v>
      </c>
      <c r="EA207" s="113">
        <v>0</v>
      </c>
      <c r="EB207" s="113">
        <v>0</v>
      </c>
      <c r="EC207" s="113">
        <v>0</v>
      </c>
      <c r="ED207" s="113">
        <v>0</v>
      </c>
      <c r="EE207" s="113">
        <v>0</v>
      </c>
      <c r="EF207" s="113">
        <v>0</v>
      </c>
      <c r="EG207" s="113">
        <v>0</v>
      </c>
      <c r="EH207" s="113">
        <v>0</v>
      </c>
      <c r="EI207" s="113">
        <v>0</v>
      </c>
      <c r="EJ207" s="113">
        <v>0</v>
      </c>
      <c r="EK207" s="113">
        <v>0</v>
      </c>
      <c r="EL207" s="113">
        <v>0</v>
      </c>
      <c r="EM207" s="113">
        <v>0</v>
      </c>
      <c r="EN207" s="113">
        <v>0</v>
      </c>
      <c r="EO207" s="113">
        <v>0</v>
      </c>
      <c r="EP207" s="113">
        <v>0</v>
      </c>
      <c r="EQ207" s="113">
        <v>0</v>
      </c>
      <c r="ER207" s="113">
        <v>0</v>
      </c>
      <c r="ES207" s="113">
        <v>0</v>
      </c>
      <c r="ET207" s="113">
        <v>0</v>
      </c>
      <c r="EU207" s="113">
        <v>0</v>
      </c>
      <c r="EV207" s="113">
        <v>0</v>
      </c>
      <c r="EW207" s="113">
        <v>0</v>
      </c>
      <c r="EX207" s="113">
        <v>0</v>
      </c>
      <c r="EY207" s="113">
        <v>0</v>
      </c>
      <c r="EZ207" s="113">
        <v>0</v>
      </c>
      <c r="FA207" s="113">
        <v>0</v>
      </c>
      <c r="FB207" s="113">
        <v>0</v>
      </c>
      <c r="FC207" s="113">
        <v>0</v>
      </c>
      <c r="FD207" s="113">
        <v>0</v>
      </c>
      <c r="FE207" s="113">
        <v>0</v>
      </c>
      <c r="FF207" s="113">
        <v>0</v>
      </c>
      <c r="FG207" s="113">
        <v>0</v>
      </c>
      <c r="FH207" s="113">
        <v>0</v>
      </c>
      <c r="FI207" s="113">
        <v>0</v>
      </c>
      <c r="FJ207" s="113">
        <v>0</v>
      </c>
      <c r="FK207" s="113">
        <v>0</v>
      </c>
      <c r="FL207" s="113">
        <v>0</v>
      </c>
      <c r="FM207" s="113">
        <v>0</v>
      </c>
      <c r="FN207" s="113">
        <v>0</v>
      </c>
      <c r="FO207" s="113">
        <v>0</v>
      </c>
      <c r="FP207" s="113">
        <v>0</v>
      </c>
      <c r="FQ207" s="113">
        <v>0</v>
      </c>
      <c r="FR207" s="113">
        <v>0</v>
      </c>
      <c r="FS207" s="113">
        <v>0</v>
      </c>
      <c r="FT207" s="113">
        <v>0</v>
      </c>
      <c r="FU207" s="113">
        <v>0</v>
      </c>
      <c r="FV207" s="113">
        <v>0</v>
      </c>
      <c r="FW207" s="113">
        <v>0</v>
      </c>
      <c r="FX207" s="32">
        <v>0</v>
      </c>
      <c r="FY207" s="30">
        <v>0</v>
      </c>
      <c r="FZ207" s="30">
        <v>0</v>
      </c>
    </row>
    <row r="208" spans="1:182" x14ac:dyDescent="0.2">
      <c r="A208" s="28">
        <v>37895</v>
      </c>
      <c r="B208" s="28"/>
      <c r="C208" s="29">
        <v>199781</v>
      </c>
      <c r="D208" s="29">
        <v>133983</v>
      </c>
      <c r="E208" s="29">
        <f t="shared" si="6"/>
        <v>333764</v>
      </c>
      <c r="F208" s="30">
        <v>4312082</v>
      </c>
      <c r="G208" s="30">
        <v>45049</v>
      </c>
      <c r="H208" s="30">
        <f t="shared" si="7"/>
        <v>4357131</v>
      </c>
      <c r="I208" s="42" t="s">
        <v>75</v>
      </c>
      <c r="J208" s="42" t="s">
        <v>75</v>
      </c>
      <c r="K208" s="32">
        <v>4913620</v>
      </c>
      <c r="L208" s="31" t="s">
        <v>75</v>
      </c>
      <c r="M208" s="31" t="s">
        <v>75</v>
      </c>
      <c r="N208" s="30">
        <v>9990097</v>
      </c>
      <c r="O208" s="31" t="s">
        <v>75</v>
      </c>
      <c r="P208" s="31" t="s">
        <v>75</v>
      </c>
      <c r="Q208" s="30">
        <v>15479792</v>
      </c>
      <c r="R208" s="31" t="s">
        <v>75</v>
      </c>
      <c r="S208" s="31" t="s">
        <v>75</v>
      </c>
      <c r="T208" s="32">
        <v>90158</v>
      </c>
      <c r="U208" s="31" t="s">
        <v>75</v>
      </c>
      <c r="V208" s="31" t="s">
        <v>75</v>
      </c>
      <c r="W208" s="30">
        <v>29566</v>
      </c>
      <c r="X208" s="31" t="s">
        <v>75</v>
      </c>
      <c r="Y208" s="31" t="s">
        <v>75</v>
      </c>
      <c r="Z208" s="30">
        <v>82950</v>
      </c>
      <c r="AA208" s="31" t="s">
        <v>75</v>
      </c>
      <c r="AB208" s="31" t="s">
        <v>75</v>
      </c>
      <c r="AC208" s="30">
        <v>61277</v>
      </c>
      <c r="AD208" s="31" t="s">
        <v>75</v>
      </c>
      <c r="AE208" s="31" t="s">
        <v>75</v>
      </c>
      <c r="AF208" s="30">
        <v>8810</v>
      </c>
      <c r="AG208" s="42" t="s">
        <v>75</v>
      </c>
      <c r="AH208" s="42" t="s">
        <v>75</v>
      </c>
      <c r="AI208" s="32">
        <v>23651</v>
      </c>
      <c r="AJ208" s="31" t="s">
        <v>75</v>
      </c>
      <c r="AK208" s="31" t="s">
        <v>75</v>
      </c>
      <c r="AL208" s="31" t="s">
        <v>75</v>
      </c>
      <c r="AM208" s="31"/>
      <c r="AN208" s="31"/>
      <c r="AO208" s="31"/>
      <c r="AP208" s="31"/>
      <c r="AQ208" s="31"/>
      <c r="AR208" s="31"/>
      <c r="AS208" s="31" t="s">
        <v>75</v>
      </c>
      <c r="AT208" s="31" t="s">
        <v>75</v>
      </c>
      <c r="AU208" s="31" t="s">
        <v>75</v>
      </c>
      <c r="AV208" s="31" t="s">
        <v>75</v>
      </c>
      <c r="AW208" s="31" t="s">
        <v>75</v>
      </c>
      <c r="AX208" s="31" t="s">
        <v>75</v>
      </c>
      <c r="AY208" s="31" t="s">
        <v>75</v>
      </c>
      <c r="AZ208" s="31" t="s">
        <v>75</v>
      </c>
      <c r="BA208" s="29">
        <v>12826411</v>
      </c>
      <c r="BB208" s="31" t="s">
        <v>75</v>
      </c>
      <c r="BC208" s="31" t="s">
        <v>75</v>
      </c>
      <c r="BD208" s="29">
        <v>2026073</v>
      </c>
      <c r="BE208" s="113">
        <v>0</v>
      </c>
      <c r="BF208" s="113">
        <v>0</v>
      </c>
      <c r="BG208" s="113">
        <v>0</v>
      </c>
      <c r="BH208" s="113">
        <v>0</v>
      </c>
      <c r="BI208" s="113">
        <v>0</v>
      </c>
      <c r="BJ208" s="113">
        <v>0</v>
      </c>
      <c r="BK208" s="113">
        <v>0</v>
      </c>
      <c r="BL208" s="113">
        <v>0</v>
      </c>
      <c r="BM208" s="113">
        <v>0</v>
      </c>
      <c r="BN208" s="113">
        <v>0</v>
      </c>
      <c r="BO208" s="113">
        <v>0</v>
      </c>
      <c r="BP208" s="113">
        <v>0</v>
      </c>
      <c r="BQ208" s="113">
        <v>0</v>
      </c>
      <c r="BR208" s="113">
        <v>0</v>
      </c>
      <c r="BS208" s="113">
        <v>0</v>
      </c>
      <c r="BT208" s="113">
        <v>0</v>
      </c>
      <c r="BU208" s="113">
        <v>0</v>
      </c>
      <c r="BV208" s="113">
        <v>0</v>
      </c>
      <c r="BW208" s="113"/>
      <c r="BX208" s="113"/>
      <c r="BY208" s="113"/>
      <c r="BZ208" s="113">
        <v>0</v>
      </c>
      <c r="CA208" s="113">
        <v>0</v>
      </c>
      <c r="CB208" s="113">
        <v>0</v>
      </c>
      <c r="CC208" s="113"/>
      <c r="CD208" s="113"/>
      <c r="CE208" s="113"/>
      <c r="CF208" s="113">
        <v>0</v>
      </c>
      <c r="CG208" s="113">
        <v>0</v>
      </c>
      <c r="CH208" s="113">
        <v>0</v>
      </c>
      <c r="CI208" s="113">
        <v>0</v>
      </c>
      <c r="CJ208" s="113">
        <v>0</v>
      </c>
      <c r="CK208" s="113">
        <v>0</v>
      </c>
      <c r="CL208" s="113">
        <v>0</v>
      </c>
      <c r="CM208" s="113">
        <v>0</v>
      </c>
      <c r="CN208" s="113">
        <v>0</v>
      </c>
      <c r="CO208" s="113">
        <v>0</v>
      </c>
      <c r="CP208" s="113">
        <v>0</v>
      </c>
      <c r="CQ208" s="113">
        <v>0</v>
      </c>
      <c r="CR208" s="113">
        <v>0</v>
      </c>
      <c r="CS208" s="113">
        <v>0</v>
      </c>
      <c r="CT208" s="113">
        <v>0</v>
      </c>
      <c r="CU208" s="113">
        <v>0</v>
      </c>
      <c r="CV208" s="113">
        <v>0</v>
      </c>
      <c r="CW208" s="113">
        <v>0</v>
      </c>
      <c r="CX208" s="113">
        <v>0</v>
      </c>
      <c r="CY208" s="113">
        <v>0</v>
      </c>
      <c r="CZ208" s="113">
        <v>0</v>
      </c>
      <c r="DA208" s="113">
        <v>0</v>
      </c>
      <c r="DB208" s="113">
        <v>0</v>
      </c>
      <c r="DC208" s="113">
        <v>0</v>
      </c>
      <c r="DD208" s="113">
        <v>0</v>
      </c>
      <c r="DE208" s="113">
        <v>0</v>
      </c>
      <c r="DF208" s="113">
        <v>0</v>
      </c>
      <c r="DG208" s="113">
        <v>0</v>
      </c>
      <c r="DH208" s="113">
        <v>0</v>
      </c>
      <c r="DI208" s="113">
        <v>0</v>
      </c>
      <c r="DJ208" s="113">
        <v>0</v>
      </c>
      <c r="DK208" s="113">
        <v>0</v>
      </c>
      <c r="DL208" s="113">
        <v>0</v>
      </c>
      <c r="DM208" s="113">
        <v>0</v>
      </c>
      <c r="DN208" s="113">
        <v>0</v>
      </c>
      <c r="DO208" s="113">
        <v>0</v>
      </c>
      <c r="DP208" s="113">
        <v>0</v>
      </c>
      <c r="DQ208" s="113">
        <v>0</v>
      </c>
      <c r="DR208" s="113">
        <v>0</v>
      </c>
      <c r="DS208" s="113">
        <v>0</v>
      </c>
      <c r="DT208" s="113">
        <v>0</v>
      </c>
      <c r="DU208" s="113">
        <v>0</v>
      </c>
      <c r="DV208" s="113">
        <v>0</v>
      </c>
      <c r="DW208" s="113">
        <v>0</v>
      </c>
      <c r="DX208" s="113">
        <v>0</v>
      </c>
      <c r="DY208" s="113">
        <v>0</v>
      </c>
      <c r="DZ208" s="113">
        <v>0</v>
      </c>
      <c r="EA208" s="113">
        <v>0</v>
      </c>
      <c r="EB208" s="113">
        <v>0</v>
      </c>
      <c r="EC208" s="113">
        <v>0</v>
      </c>
      <c r="ED208" s="113">
        <v>0</v>
      </c>
      <c r="EE208" s="113">
        <v>0</v>
      </c>
      <c r="EF208" s="113">
        <v>0</v>
      </c>
      <c r="EG208" s="113">
        <v>0</v>
      </c>
      <c r="EH208" s="113">
        <v>0</v>
      </c>
      <c r="EI208" s="113">
        <v>0</v>
      </c>
      <c r="EJ208" s="113">
        <v>0</v>
      </c>
      <c r="EK208" s="113">
        <v>0</v>
      </c>
      <c r="EL208" s="113">
        <v>0</v>
      </c>
      <c r="EM208" s="113">
        <v>0</v>
      </c>
      <c r="EN208" s="113">
        <v>0</v>
      </c>
      <c r="EO208" s="113">
        <v>0</v>
      </c>
      <c r="EP208" s="113">
        <v>0</v>
      </c>
      <c r="EQ208" s="113">
        <v>0</v>
      </c>
      <c r="ER208" s="113">
        <v>0</v>
      </c>
      <c r="ES208" s="113">
        <v>0</v>
      </c>
      <c r="ET208" s="113">
        <v>0</v>
      </c>
      <c r="EU208" s="113">
        <v>0</v>
      </c>
      <c r="EV208" s="113">
        <v>0</v>
      </c>
      <c r="EW208" s="113">
        <v>0</v>
      </c>
      <c r="EX208" s="113">
        <v>0</v>
      </c>
      <c r="EY208" s="113">
        <v>0</v>
      </c>
      <c r="EZ208" s="113">
        <v>0</v>
      </c>
      <c r="FA208" s="113">
        <v>0</v>
      </c>
      <c r="FB208" s="113">
        <v>0</v>
      </c>
      <c r="FC208" s="113">
        <v>0</v>
      </c>
      <c r="FD208" s="113">
        <v>0</v>
      </c>
      <c r="FE208" s="113">
        <v>0</v>
      </c>
      <c r="FF208" s="113">
        <v>0</v>
      </c>
      <c r="FG208" s="113">
        <v>0</v>
      </c>
      <c r="FH208" s="113">
        <v>0</v>
      </c>
      <c r="FI208" s="113">
        <v>0</v>
      </c>
      <c r="FJ208" s="113">
        <v>0</v>
      </c>
      <c r="FK208" s="113">
        <v>0</v>
      </c>
      <c r="FL208" s="113">
        <v>0</v>
      </c>
      <c r="FM208" s="113">
        <v>0</v>
      </c>
      <c r="FN208" s="113">
        <v>0</v>
      </c>
      <c r="FO208" s="113">
        <v>0</v>
      </c>
      <c r="FP208" s="113">
        <v>0</v>
      </c>
      <c r="FQ208" s="113">
        <v>0</v>
      </c>
      <c r="FR208" s="113">
        <v>0</v>
      </c>
      <c r="FS208" s="113">
        <v>0</v>
      </c>
      <c r="FT208" s="113">
        <v>0</v>
      </c>
      <c r="FU208" s="113">
        <v>0</v>
      </c>
      <c r="FV208" s="113">
        <v>0</v>
      </c>
      <c r="FW208" s="113">
        <v>0</v>
      </c>
      <c r="FX208" s="32">
        <v>0</v>
      </c>
      <c r="FY208" s="30">
        <v>0</v>
      </c>
      <c r="FZ208" s="30">
        <v>0</v>
      </c>
    </row>
    <row r="209" spans="1:182" x14ac:dyDescent="0.2">
      <c r="A209" s="28">
        <v>37926</v>
      </c>
      <c r="B209" s="28"/>
      <c r="C209" s="29">
        <v>264480</v>
      </c>
      <c r="D209" s="29">
        <v>145719</v>
      </c>
      <c r="E209" s="29">
        <f t="shared" si="6"/>
        <v>410199</v>
      </c>
      <c r="F209" s="30">
        <v>5365018</v>
      </c>
      <c r="G209" s="30">
        <v>80218</v>
      </c>
      <c r="H209" s="30">
        <f t="shared" si="7"/>
        <v>5445236</v>
      </c>
      <c r="I209" s="42" t="s">
        <v>75</v>
      </c>
      <c r="J209" s="42" t="s">
        <v>75</v>
      </c>
      <c r="K209" s="32">
        <v>5048872</v>
      </c>
      <c r="L209" s="31" t="s">
        <v>75</v>
      </c>
      <c r="M209" s="31" t="s">
        <v>75</v>
      </c>
      <c r="N209" s="30">
        <v>9887568</v>
      </c>
      <c r="O209" s="31" t="s">
        <v>75</v>
      </c>
      <c r="P209" s="31" t="s">
        <v>75</v>
      </c>
      <c r="Q209" s="30">
        <v>16842072</v>
      </c>
      <c r="R209" s="31" t="s">
        <v>75</v>
      </c>
      <c r="S209" s="31" t="s">
        <v>75</v>
      </c>
      <c r="T209" s="32">
        <v>70723</v>
      </c>
      <c r="U209" s="31" t="s">
        <v>75</v>
      </c>
      <c r="V209" s="31" t="s">
        <v>75</v>
      </c>
      <c r="W209" s="30">
        <v>18253</v>
      </c>
      <c r="X209" s="31" t="s">
        <v>75</v>
      </c>
      <c r="Y209" s="31" t="s">
        <v>75</v>
      </c>
      <c r="Z209" s="30">
        <v>96226</v>
      </c>
      <c r="AA209" s="31" t="s">
        <v>75</v>
      </c>
      <c r="AB209" s="31" t="s">
        <v>75</v>
      </c>
      <c r="AC209" s="30">
        <v>135386</v>
      </c>
      <c r="AD209" s="31" t="s">
        <v>75</v>
      </c>
      <c r="AE209" s="31" t="s">
        <v>75</v>
      </c>
      <c r="AF209" s="30">
        <v>38093</v>
      </c>
      <c r="AG209" s="42" t="s">
        <v>75</v>
      </c>
      <c r="AH209" s="42" t="s">
        <v>75</v>
      </c>
      <c r="AI209" s="32">
        <v>33303</v>
      </c>
      <c r="AJ209" s="31" t="s">
        <v>75</v>
      </c>
      <c r="AK209" s="31" t="s">
        <v>75</v>
      </c>
      <c r="AL209" s="31" t="s">
        <v>75</v>
      </c>
      <c r="AM209" s="31"/>
      <c r="AN209" s="31"/>
      <c r="AO209" s="31"/>
      <c r="AP209" s="31"/>
      <c r="AQ209" s="31"/>
      <c r="AR209" s="31"/>
      <c r="AS209" s="31" t="s">
        <v>75</v>
      </c>
      <c r="AT209" s="31" t="s">
        <v>75</v>
      </c>
      <c r="AU209" s="31" t="s">
        <v>75</v>
      </c>
      <c r="AV209" s="31" t="s">
        <v>75</v>
      </c>
      <c r="AW209" s="31" t="s">
        <v>75</v>
      </c>
      <c r="AX209" s="31" t="s">
        <v>75</v>
      </c>
      <c r="AY209" s="31" t="s">
        <v>75</v>
      </c>
      <c r="AZ209" s="31" t="s">
        <v>75</v>
      </c>
      <c r="BA209" s="29">
        <v>11795449</v>
      </c>
      <c r="BB209" s="31" t="s">
        <v>75</v>
      </c>
      <c r="BC209" s="31" t="s">
        <v>75</v>
      </c>
      <c r="BD209" s="29">
        <v>1604359</v>
      </c>
      <c r="BE209" s="113">
        <v>0</v>
      </c>
      <c r="BF209" s="113">
        <v>0</v>
      </c>
      <c r="BG209" s="113">
        <v>0</v>
      </c>
      <c r="BH209" s="113">
        <v>0</v>
      </c>
      <c r="BI209" s="113">
        <v>0</v>
      </c>
      <c r="BJ209" s="113">
        <v>0</v>
      </c>
      <c r="BK209" s="113">
        <v>0</v>
      </c>
      <c r="BL209" s="113">
        <v>0</v>
      </c>
      <c r="BM209" s="113">
        <v>0</v>
      </c>
      <c r="BN209" s="113">
        <v>0</v>
      </c>
      <c r="BO209" s="113">
        <v>0</v>
      </c>
      <c r="BP209" s="113">
        <v>0</v>
      </c>
      <c r="BQ209" s="113">
        <v>0</v>
      </c>
      <c r="BR209" s="113">
        <v>0</v>
      </c>
      <c r="BS209" s="113">
        <v>0</v>
      </c>
      <c r="BT209" s="113">
        <v>0</v>
      </c>
      <c r="BU209" s="113">
        <v>0</v>
      </c>
      <c r="BV209" s="113">
        <v>0</v>
      </c>
      <c r="BW209" s="113"/>
      <c r="BX209" s="113"/>
      <c r="BY209" s="113"/>
      <c r="BZ209" s="113">
        <v>0</v>
      </c>
      <c r="CA209" s="113">
        <v>0</v>
      </c>
      <c r="CB209" s="113">
        <v>0</v>
      </c>
      <c r="CC209" s="113"/>
      <c r="CD209" s="113"/>
      <c r="CE209" s="113"/>
      <c r="CF209" s="113">
        <v>0</v>
      </c>
      <c r="CG209" s="113">
        <v>0</v>
      </c>
      <c r="CH209" s="113">
        <v>0</v>
      </c>
      <c r="CI209" s="113">
        <v>0</v>
      </c>
      <c r="CJ209" s="113">
        <v>0</v>
      </c>
      <c r="CK209" s="113">
        <v>0</v>
      </c>
      <c r="CL209" s="113">
        <v>0</v>
      </c>
      <c r="CM209" s="113">
        <v>0</v>
      </c>
      <c r="CN209" s="113">
        <v>0</v>
      </c>
      <c r="CO209" s="113">
        <v>0</v>
      </c>
      <c r="CP209" s="113">
        <v>0</v>
      </c>
      <c r="CQ209" s="113">
        <v>0</v>
      </c>
      <c r="CR209" s="113">
        <v>0</v>
      </c>
      <c r="CS209" s="113">
        <v>0</v>
      </c>
      <c r="CT209" s="113">
        <v>0</v>
      </c>
      <c r="CU209" s="113">
        <v>0</v>
      </c>
      <c r="CV209" s="113">
        <v>0</v>
      </c>
      <c r="CW209" s="113">
        <v>0</v>
      </c>
      <c r="CX209" s="113">
        <v>0</v>
      </c>
      <c r="CY209" s="113">
        <v>0</v>
      </c>
      <c r="CZ209" s="113">
        <v>0</v>
      </c>
      <c r="DA209" s="113">
        <v>0</v>
      </c>
      <c r="DB209" s="113">
        <v>0</v>
      </c>
      <c r="DC209" s="113">
        <v>0</v>
      </c>
      <c r="DD209" s="113">
        <v>0</v>
      </c>
      <c r="DE209" s="113">
        <v>0</v>
      </c>
      <c r="DF209" s="113">
        <v>0</v>
      </c>
      <c r="DG209" s="113">
        <v>0</v>
      </c>
      <c r="DH209" s="113">
        <v>0</v>
      </c>
      <c r="DI209" s="113">
        <v>0</v>
      </c>
      <c r="DJ209" s="113">
        <v>0</v>
      </c>
      <c r="DK209" s="113">
        <v>0</v>
      </c>
      <c r="DL209" s="113">
        <v>0</v>
      </c>
      <c r="DM209" s="113">
        <v>0</v>
      </c>
      <c r="DN209" s="113">
        <v>0</v>
      </c>
      <c r="DO209" s="113">
        <v>0</v>
      </c>
      <c r="DP209" s="113">
        <v>0</v>
      </c>
      <c r="DQ209" s="113">
        <v>0</v>
      </c>
      <c r="DR209" s="113">
        <v>0</v>
      </c>
      <c r="DS209" s="113">
        <v>0</v>
      </c>
      <c r="DT209" s="113">
        <v>0</v>
      </c>
      <c r="DU209" s="113">
        <v>0</v>
      </c>
      <c r="DV209" s="113">
        <v>0</v>
      </c>
      <c r="DW209" s="113">
        <v>0</v>
      </c>
      <c r="DX209" s="113">
        <v>0</v>
      </c>
      <c r="DY209" s="113">
        <v>0</v>
      </c>
      <c r="DZ209" s="113">
        <v>0</v>
      </c>
      <c r="EA209" s="113">
        <v>0</v>
      </c>
      <c r="EB209" s="113">
        <v>0</v>
      </c>
      <c r="EC209" s="113">
        <v>0</v>
      </c>
      <c r="ED209" s="113">
        <v>0</v>
      </c>
      <c r="EE209" s="113">
        <v>0</v>
      </c>
      <c r="EF209" s="113">
        <v>0</v>
      </c>
      <c r="EG209" s="113">
        <v>0</v>
      </c>
      <c r="EH209" s="113">
        <v>0</v>
      </c>
      <c r="EI209" s="113">
        <v>0</v>
      </c>
      <c r="EJ209" s="113">
        <v>0</v>
      </c>
      <c r="EK209" s="113">
        <v>0</v>
      </c>
      <c r="EL209" s="113">
        <v>0</v>
      </c>
      <c r="EM209" s="113">
        <v>0</v>
      </c>
      <c r="EN209" s="113">
        <v>0</v>
      </c>
      <c r="EO209" s="113">
        <v>0</v>
      </c>
      <c r="EP209" s="113">
        <v>0</v>
      </c>
      <c r="EQ209" s="113">
        <v>0</v>
      </c>
      <c r="ER209" s="113">
        <v>0</v>
      </c>
      <c r="ES209" s="113">
        <v>0</v>
      </c>
      <c r="ET209" s="113">
        <v>0</v>
      </c>
      <c r="EU209" s="113">
        <v>0</v>
      </c>
      <c r="EV209" s="113">
        <v>0</v>
      </c>
      <c r="EW209" s="113">
        <v>0</v>
      </c>
      <c r="EX209" s="113">
        <v>0</v>
      </c>
      <c r="EY209" s="113">
        <v>0</v>
      </c>
      <c r="EZ209" s="113">
        <v>0</v>
      </c>
      <c r="FA209" s="113">
        <v>0</v>
      </c>
      <c r="FB209" s="113">
        <v>0</v>
      </c>
      <c r="FC209" s="113">
        <v>0</v>
      </c>
      <c r="FD209" s="113">
        <v>0</v>
      </c>
      <c r="FE209" s="113">
        <v>0</v>
      </c>
      <c r="FF209" s="113">
        <v>0</v>
      </c>
      <c r="FG209" s="113">
        <v>0</v>
      </c>
      <c r="FH209" s="113">
        <v>0</v>
      </c>
      <c r="FI209" s="113">
        <v>0</v>
      </c>
      <c r="FJ209" s="113">
        <v>0</v>
      </c>
      <c r="FK209" s="113">
        <v>0</v>
      </c>
      <c r="FL209" s="113">
        <v>0</v>
      </c>
      <c r="FM209" s="113">
        <v>0</v>
      </c>
      <c r="FN209" s="113">
        <v>0</v>
      </c>
      <c r="FO209" s="113">
        <v>0</v>
      </c>
      <c r="FP209" s="113">
        <v>0</v>
      </c>
      <c r="FQ209" s="113">
        <v>0</v>
      </c>
      <c r="FR209" s="113">
        <v>0</v>
      </c>
      <c r="FS209" s="113">
        <v>0</v>
      </c>
      <c r="FT209" s="113">
        <v>0</v>
      </c>
      <c r="FU209" s="113">
        <v>0</v>
      </c>
      <c r="FV209" s="113">
        <v>0</v>
      </c>
      <c r="FW209" s="113">
        <v>0</v>
      </c>
      <c r="FX209" s="32">
        <v>0</v>
      </c>
      <c r="FY209" s="30">
        <v>0</v>
      </c>
      <c r="FZ209" s="30">
        <v>0</v>
      </c>
    </row>
    <row r="210" spans="1:182" x14ac:dyDescent="0.2">
      <c r="A210" s="28">
        <v>37956</v>
      </c>
      <c r="B210" s="28"/>
      <c r="C210" s="29">
        <v>380989</v>
      </c>
      <c r="D210" s="29">
        <v>347104</v>
      </c>
      <c r="E210" s="29">
        <f t="shared" si="6"/>
        <v>728093</v>
      </c>
      <c r="F210" s="30">
        <v>10103684</v>
      </c>
      <c r="G210" s="30">
        <v>211501</v>
      </c>
      <c r="H210" s="30">
        <f t="shared" si="7"/>
        <v>10315185</v>
      </c>
      <c r="I210" s="42" t="s">
        <v>75</v>
      </c>
      <c r="J210" s="42" t="s">
        <v>75</v>
      </c>
      <c r="K210" s="32">
        <v>6625527</v>
      </c>
      <c r="L210" s="31" t="s">
        <v>75</v>
      </c>
      <c r="M210" s="31" t="s">
        <v>75</v>
      </c>
      <c r="N210" s="30">
        <v>16607216</v>
      </c>
      <c r="O210" s="31" t="s">
        <v>75</v>
      </c>
      <c r="P210" s="31" t="s">
        <v>75</v>
      </c>
      <c r="Q210" s="30">
        <v>16325653</v>
      </c>
      <c r="R210" s="31" t="s">
        <v>75</v>
      </c>
      <c r="S210" s="31" t="s">
        <v>75</v>
      </c>
      <c r="T210" s="32">
        <v>74514</v>
      </c>
      <c r="U210" s="31" t="s">
        <v>75</v>
      </c>
      <c r="V210" s="31" t="s">
        <v>75</v>
      </c>
      <c r="W210" s="30">
        <v>29287</v>
      </c>
      <c r="X210" s="31" t="s">
        <v>75</v>
      </c>
      <c r="Y210" s="31" t="s">
        <v>75</v>
      </c>
      <c r="Z210" s="30">
        <v>131042</v>
      </c>
      <c r="AA210" s="31" t="s">
        <v>75</v>
      </c>
      <c r="AB210" s="31" t="s">
        <v>75</v>
      </c>
      <c r="AC210" s="30">
        <v>140393</v>
      </c>
      <c r="AD210" s="31" t="s">
        <v>75</v>
      </c>
      <c r="AE210" s="31" t="s">
        <v>75</v>
      </c>
      <c r="AF210" s="30">
        <v>52379</v>
      </c>
      <c r="AG210" s="42" t="s">
        <v>75</v>
      </c>
      <c r="AH210" s="42" t="s">
        <v>75</v>
      </c>
      <c r="AI210" s="32">
        <v>43764</v>
      </c>
      <c r="AJ210" s="31" t="s">
        <v>75</v>
      </c>
      <c r="AK210" s="31" t="s">
        <v>75</v>
      </c>
      <c r="AL210" s="31" t="s">
        <v>75</v>
      </c>
      <c r="AM210" s="31"/>
      <c r="AN210" s="31"/>
      <c r="AO210" s="31"/>
      <c r="AP210" s="31"/>
      <c r="AQ210" s="31"/>
      <c r="AR210" s="31"/>
      <c r="AS210" s="31" t="s">
        <v>75</v>
      </c>
      <c r="AT210" s="31" t="s">
        <v>75</v>
      </c>
      <c r="AU210" s="31" t="s">
        <v>75</v>
      </c>
      <c r="AV210" s="31" t="s">
        <v>75</v>
      </c>
      <c r="AW210" s="31" t="s">
        <v>75</v>
      </c>
      <c r="AX210" s="31" t="s">
        <v>75</v>
      </c>
      <c r="AY210" s="31" t="s">
        <v>75</v>
      </c>
      <c r="AZ210" s="31" t="s">
        <v>75</v>
      </c>
      <c r="BA210" s="29">
        <v>16557988</v>
      </c>
      <c r="BB210" s="31" t="s">
        <v>75</v>
      </c>
      <c r="BC210" s="31" t="s">
        <v>75</v>
      </c>
      <c r="BD210" s="29">
        <v>1916788</v>
      </c>
      <c r="BE210" s="113">
        <v>0</v>
      </c>
      <c r="BF210" s="113">
        <v>0</v>
      </c>
      <c r="BG210" s="113">
        <v>0</v>
      </c>
      <c r="BH210" s="113">
        <v>0</v>
      </c>
      <c r="BI210" s="113">
        <v>0</v>
      </c>
      <c r="BJ210" s="113">
        <v>0</v>
      </c>
      <c r="BK210" s="113">
        <v>0</v>
      </c>
      <c r="BL210" s="113">
        <v>0</v>
      </c>
      <c r="BM210" s="113">
        <v>0</v>
      </c>
      <c r="BN210" s="113">
        <v>0</v>
      </c>
      <c r="BO210" s="113">
        <v>0</v>
      </c>
      <c r="BP210" s="113">
        <v>0</v>
      </c>
      <c r="BQ210" s="113">
        <v>0</v>
      </c>
      <c r="BR210" s="113">
        <v>0</v>
      </c>
      <c r="BS210" s="113">
        <v>0</v>
      </c>
      <c r="BT210" s="113">
        <v>0</v>
      </c>
      <c r="BU210" s="113">
        <v>0</v>
      </c>
      <c r="BV210" s="113">
        <v>0</v>
      </c>
      <c r="BW210" s="113"/>
      <c r="BX210" s="113"/>
      <c r="BY210" s="113"/>
      <c r="BZ210" s="113">
        <v>0</v>
      </c>
      <c r="CA210" s="113">
        <v>0</v>
      </c>
      <c r="CB210" s="113">
        <v>0</v>
      </c>
      <c r="CC210" s="113"/>
      <c r="CD210" s="113"/>
      <c r="CE210" s="113"/>
      <c r="CF210" s="113">
        <v>0</v>
      </c>
      <c r="CG210" s="113">
        <v>0</v>
      </c>
      <c r="CH210" s="113">
        <v>0</v>
      </c>
      <c r="CI210" s="113">
        <v>0</v>
      </c>
      <c r="CJ210" s="113">
        <v>0</v>
      </c>
      <c r="CK210" s="113">
        <v>0</v>
      </c>
      <c r="CL210" s="113">
        <v>0</v>
      </c>
      <c r="CM210" s="113">
        <v>0</v>
      </c>
      <c r="CN210" s="113">
        <v>0</v>
      </c>
      <c r="CO210" s="113">
        <v>0</v>
      </c>
      <c r="CP210" s="113">
        <v>0</v>
      </c>
      <c r="CQ210" s="113">
        <v>0</v>
      </c>
      <c r="CR210" s="113">
        <v>0</v>
      </c>
      <c r="CS210" s="113">
        <v>0</v>
      </c>
      <c r="CT210" s="113">
        <v>0</v>
      </c>
      <c r="CU210" s="113">
        <v>0</v>
      </c>
      <c r="CV210" s="113">
        <v>0</v>
      </c>
      <c r="CW210" s="113">
        <v>0</v>
      </c>
      <c r="CX210" s="113">
        <v>0</v>
      </c>
      <c r="CY210" s="113">
        <v>0</v>
      </c>
      <c r="CZ210" s="113">
        <v>0</v>
      </c>
      <c r="DA210" s="113">
        <v>0</v>
      </c>
      <c r="DB210" s="113">
        <v>0</v>
      </c>
      <c r="DC210" s="113">
        <v>0</v>
      </c>
      <c r="DD210" s="113">
        <v>0</v>
      </c>
      <c r="DE210" s="113">
        <v>0</v>
      </c>
      <c r="DF210" s="113">
        <v>0</v>
      </c>
      <c r="DG210" s="113">
        <v>0</v>
      </c>
      <c r="DH210" s="113">
        <v>0</v>
      </c>
      <c r="DI210" s="113">
        <v>0</v>
      </c>
      <c r="DJ210" s="113">
        <v>0</v>
      </c>
      <c r="DK210" s="113">
        <v>0</v>
      </c>
      <c r="DL210" s="113">
        <v>0</v>
      </c>
      <c r="DM210" s="113">
        <v>0</v>
      </c>
      <c r="DN210" s="113">
        <v>0</v>
      </c>
      <c r="DO210" s="113">
        <v>0</v>
      </c>
      <c r="DP210" s="113">
        <v>0</v>
      </c>
      <c r="DQ210" s="113">
        <v>0</v>
      </c>
      <c r="DR210" s="113">
        <v>0</v>
      </c>
      <c r="DS210" s="113">
        <v>0</v>
      </c>
      <c r="DT210" s="113">
        <v>0</v>
      </c>
      <c r="DU210" s="113">
        <v>0</v>
      </c>
      <c r="DV210" s="113">
        <v>0</v>
      </c>
      <c r="DW210" s="113">
        <v>0</v>
      </c>
      <c r="DX210" s="113">
        <v>0</v>
      </c>
      <c r="DY210" s="113">
        <v>0</v>
      </c>
      <c r="DZ210" s="113">
        <v>0</v>
      </c>
      <c r="EA210" s="113">
        <v>0</v>
      </c>
      <c r="EB210" s="113">
        <v>0</v>
      </c>
      <c r="EC210" s="113">
        <v>0</v>
      </c>
      <c r="ED210" s="113">
        <v>0</v>
      </c>
      <c r="EE210" s="113">
        <v>0</v>
      </c>
      <c r="EF210" s="113">
        <v>0</v>
      </c>
      <c r="EG210" s="113">
        <v>0</v>
      </c>
      <c r="EH210" s="113">
        <v>0</v>
      </c>
      <c r="EI210" s="113">
        <v>0</v>
      </c>
      <c r="EJ210" s="113">
        <v>0</v>
      </c>
      <c r="EK210" s="113">
        <v>0</v>
      </c>
      <c r="EL210" s="113">
        <v>0</v>
      </c>
      <c r="EM210" s="113">
        <v>0</v>
      </c>
      <c r="EN210" s="113">
        <v>0</v>
      </c>
      <c r="EO210" s="113">
        <v>0</v>
      </c>
      <c r="EP210" s="113">
        <v>0</v>
      </c>
      <c r="EQ210" s="113">
        <v>0</v>
      </c>
      <c r="ER210" s="113">
        <v>0</v>
      </c>
      <c r="ES210" s="113">
        <v>0</v>
      </c>
      <c r="ET210" s="113">
        <v>0</v>
      </c>
      <c r="EU210" s="113">
        <v>0</v>
      </c>
      <c r="EV210" s="113">
        <v>0</v>
      </c>
      <c r="EW210" s="113">
        <v>0</v>
      </c>
      <c r="EX210" s="113">
        <v>0</v>
      </c>
      <c r="EY210" s="113">
        <v>0</v>
      </c>
      <c r="EZ210" s="113">
        <v>0</v>
      </c>
      <c r="FA210" s="113">
        <v>0</v>
      </c>
      <c r="FB210" s="113">
        <v>0</v>
      </c>
      <c r="FC210" s="113">
        <v>0</v>
      </c>
      <c r="FD210" s="113">
        <v>0</v>
      </c>
      <c r="FE210" s="113">
        <v>0</v>
      </c>
      <c r="FF210" s="113">
        <v>0</v>
      </c>
      <c r="FG210" s="113">
        <v>0</v>
      </c>
      <c r="FH210" s="113">
        <v>0</v>
      </c>
      <c r="FI210" s="113">
        <v>0</v>
      </c>
      <c r="FJ210" s="113">
        <v>0</v>
      </c>
      <c r="FK210" s="113">
        <v>0</v>
      </c>
      <c r="FL210" s="113">
        <v>0</v>
      </c>
      <c r="FM210" s="113">
        <v>0</v>
      </c>
      <c r="FN210" s="113">
        <v>0</v>
      </c>
      <c r="FO210" s="113">
        <v>0</v>
      </c>
      <c r="FP210" s="113">
        <v>0</v>
      </c>
      <c r="FQ210" s="113">
        <v>0</v>
      </c>
      <c r="FR210" s="113">
        <v>0</v>
      </c>
      <c r="FS210" s="113">
        <v>0</v>
      </c>
      <c r="FT210" s="113">
        <v>0</v>
      </c>
      <c r="FU210" s="113">
        <v>0</v>
      </c>
      <c r="FV210" s="113">
        <v>0</v>
      </c>
      <c r="FW210" s="113">
        <v>0</v>
      </c>
      <c r="FX210" s="32">
        <v>0</v>
      </c>
      <c r="FY210" s="30">
        <v>0</v>
      </c>
      <c r="FZ210" s="30">
        <v>0</v>
      </c>
    </row>
    <row r="211" spans="1:182" x14ac:dyDescent="0.2">
      <c r="A211" s="28">
        <v>37987</v>
      </c>
      <c r="B211" s="28"/>
      <c r="C211" s="29">
        <v>128348</v>
      </c>
      <c r="D211" s="29">
        <v>48156</v>
      </c>
      <c r="E211" s="29">
        <f t="shared" si="6"/>
        <v>176504</v>
      </c>
      <c r="F211" s="30">
        <v>6097463</v>
      </c>
      <c r="G211" s="30">
        <v>21360</v>
      </c>
      <c r="H211" s="30">
        <f t="shared" si="7"/>
        <v>6118823</v>
      </c>
      <c r="I211" s="42" t="s">
        <v>75</v>
      </c>
      <c r="J211" s="42" t="s">
        <v>75</v>
      </c>
      <c r="K211" s="32">
        <v>4794236</v>
      </c>
      <c r="L211" s="31" t="s">
        <v>75</v>
      </c>
      <c r="M211" s="31" t="s">
        <v>75</v>
      </c>
      <c r="N211" s="30">
        <v>12103745</v>
      </c>
      <c r="O211" s="31" t="s">
        <v>75</v>
      </c>
      <c r="P211" s="31" t="s">
        <v>75</v>
      </c>
      <c r="Q211" s="30">
        <v>19278906</v>
      </c>
      <c r="R211" s="31" t="s">
        <v>75</v>
      </c>
      <c r="S211" s="31" t="s">
        <v>75</v>
      </c>
      <c r="T211" s="32">
        <v>81721</v>
      </c>
      <c r="U211" s="31" t="s">
        <v>75</v>
      </c>
      <c r="V211" s="31" t="s">
        <v>75</v>
      </c>
      <c r="W211" s="30">
        <v>37268</v>
      </c>
      <c r="X211" s="31" t="s">
        <v>75</v>
      </c>
      <c r="Y211" s="31" t="s">
        <v>75</v>
      </c>
      <c r="Z211" s="30">
        <v>32661</v>
      </c>
      <c r="AA211" s="31" t="s">
        <v>75</v>
      </c>
      <c r="AB211" s="31" t="s">
        <v>75</v>
      </c>
      <c r="AC211" s="30">
        <v>34913</v>
      </c>
      <c r="AD211" s="31" t="s">
        <v>75</v>
      </c>
      <c r="AE211" s="31" t="s">
        <v>75</v>
      </c>
      <c r="AF211" s="30">
        <v>8009</v>
      </c>
      <c r="AG211" s="42" t="s">
        <v>75</v>
      </c>
      <c r="AH211" s="42" t="s">
        <v>75</v>
      </c>
      <c r="AI211" s="32">
        <v>32299</v>
      </c>
      <c r="AJ211" s="31" t="s">
        <v>75</v>
      </c>
      <c r="AK211" s="31" t="s">
        <v>75</v>
      </c>
      <c r="AL211" s="31" t="s">
        <v>75</v>
      </c>
      <c r="AM211" s="31"/>
      <c r="AN211" s="31"/>
      <c r="AO211" s="31"/>
      <c r="AP211" s="31"/>
      <c r="AQ211" s="31"/>
      <c r="AR211" s="31"/>
      <c r="AS211" s="31" t="s">
        <v>75</v>
      </c>
      <c r="AT211" s="31" t="s">
        <v>75</v>
      </c>
      <c r="AU211" s="31" t="s">
        <v>75</v>
      </c>
      <c r="AV211" s="31" t="s">
        <v>75</v>
      </c>
      <c r="AW211" s="31" t="s">
        <v>75</v>
      </c>
      <c r="AX211" s="31" t="s">
        <v>75</v>
      </c>
      <c r="AY211" s="31" t="s">
        <v>75</v>
      </c>
      <c r="AZ211" s="31" t="s">
        <v>75</v>
      </c>
      <c r="BA211" s="29">
        <v>14041405</v>
      </c>
      <c r="BB211" s="31" t="s">
        <v>75</v>
      </c>
      <c r="BC211" s="31" t="s">
        <v>75</v>
      </c>
      <c r="BD211" s="29">
        <v>1558014</v>
      </c>
      <c r="BE211" s="113">
        <v>0</v>
      </c>
      <c r="BF211" s="113">
        <v>0</v>
      </c>
      <c r="BG211" s="113">
        <v>0</v>
      </c>
      <c r="BH211" s="113">
        <v>0</v>
      </c>
      <c r="BI211" s="113">
        <v>0</v>
      </c>
      <c r="BJ211" s="113">
        <v>0</v>
      </c>
      <c r="BK211" s="113">
        <v>0</v>
      </c>
      <c r="BL211" s="113">
        <v>0</v>
      </c>
      <c r="BM211" s="113">
        <v>0</v>
      </c>
      <c r="BN211" s="113">
        <v>0</v>
      </c>
      <c r="BO211" s="113">
        <v>0</v>
      </c>
      <c r="BP211" s="113">
        <v>0</v>
      </c>
      <c r="BQ211" s="113">
        <v>0</v>
      </c>
      <c r="BR211" s="113">
        <v>0</v>
      </c>
      <c r="BS211" s="113">
        <v>0</v>
      </c>
      <c r="BT211" s="113">
        <v>0</v>
      </c>
      <c r="BU211" s="113">
        <v>0</v>
      </c>
      <c r="BV211" s="113">
        <v>0</v>
      </c>
      <c r="BW211" s="113"/>
      <c r="BX211" s="113"/>
      <c r="BY211" s="113"/>
      <c r="BZ211" s="113">
        <v>0</v>
      </c>
      <c r="CA211" s="113">
        <v>0</v>
      </c>
      <c r="CB211" s="113">
        <v>0</v>
      </c>
      <c r="CC211" s="113"/>
      <c r="CD211" s="113"/>
      <c r="CE211" s="113"/>
      <c r="CF211" s="113">
        <v>0</v>
      </c>
      <c r="CG211" s="113">
        <v>0</v>
      </c>
      <c r="CH211" s="113">
        <v>0</v>
      </c>
      <c r="CI211" s="113">
        <v>0</v>
      </c>
      <c r="CJ211" s="113">
        <v>0</v>
      </c>
      <c r="CK211" s="113">
        <v>0</v>
      </c>
      <c r="CL211" s="113">
        <v>0</v>
      </c>
      <c r="CM211" s="113">
        <v>0</v>
      </c>
      <c r="CN211" s="113">
        <v>0</v>
      </c>
      <c r="CO211" s="113">
        <v>0</v>
      </c>
      <c r="CP211" s="113">
        <v>0</v>
      </c>
      <c r="CQ211" s="113">
        <v>0</v>
      </c>
      <c r="CR211" s="113">
        <v>0</v>
      </c>
      <c r="CS211" s="113">
        <v>0</v>
      </c>
      <c r="CT211" s="113">
        <v>0</v>
      </c>
      <c r="CU211" s="113">
        <v>0</v>
      </c>
      <c r="CV211" s="113">
        <v>0</v>
      </c>
      <c r="CW211" s="113">
        <v>0</v>
      </c>
      <c r="CX211" s="113">
        <v>0</v>
      </c>
      <c r="CY211" s="113">
        <v>0</v>
      </c>
      <c r="CZ211" s="113">
        <v>0</v>
      </c>
      <c r="DA211" s="113">
        <v>0</v>
      </c>
      <c r="DB211" s="113">
        <v>0</v>
      </c>
      <c r="DC211" s="113">
        <v>0</v>
      </c>
      <c r="DD211" s="113">
        <v>0</v>
      </c>
      <c r="DE211" s="113">
        <v>0</v>
      </c>
      <c r="DF211" s="113">
        <v>0</v>
      </c>
      <c r="DG211" s="113">
        <v>0</v>
      </c>
      <c r="DH211" s="113">
        <v>0</v>
      </c>
      <c r="DI211" s="113">
        <v>0</v>
      </c>
      <c r="DJ211" s="113">
        <v>0</v>
      </c>
      <c r="DK211" s="113">
        <v>0</v>
      </c>
      <c r="DL211" s="113">
        <v>0</v>
      </c>
      <c r="DM211" s="113">
        <v>0</v>
      </c>
      <c r="DN211" s="113">
        <v>0</v>
      </c>
      <c r="DO211" s="113">
        <v>0</v>
      </c>
      <c r="DP211" s="113">
        <v>0</v>
      </c>
      <c r="DQ211" s="113">
        <v>0</v>
      </c>
      <c r="DR211" s="113">
        <v>0</v>
      </c>
      <c r="DS211" s="113">
        <v>0</v>
      </c>
      <c r="DT211" s="113">
        <v>0</v>
      </c>
      <c r="DU211" s="113">
        <v>0</v>
      </c>
      <c r="DV211" s="113">
        <v>0</v>
      </c>
      <c r="DW211" s="113">
        <v>0</v>
      </c>
      <c r="DX211" s="113">
        <v>0</v>
      </c>
      <c r="DY211" s="113">
        <v>0</v>
      </c>
      <c r="DZ211" s="113">
        <v>0</v>
      </c>
      <c r="EA211" s="113">
        <v>0</v>
      </c>
      <c r="EB211" s="113">
        <v>0</v>
      </c>
      <c r="EC211" s="113">
        <v>0</v>
      </c>
      <c r="ED211" s="113">
        <v>0</v>
      </c>
      <c r="EE211" s="113">
        <v>0</v>
      </c>
      <c r="EF211" s="113">
        <v>0</v>
      </c>
      <c r="EG211" s="113">
        <v>0</v>
      </c>
      <c r="EH211" s="113">
        <v>0</v>
      </c>
      <c r="EI211" s="113">
        <v>0</v>
      </c>
      <c r="EJ211" s="113">
        <v>0</v>
      </c>
      <c r="EK211" s="113">
        <v>0</v>
      </c>
      <c r="EL211" s="113">
        <v>0</v>
      </c>
      <c r="EM211" s="113">
        <v>0</v>
      </c>
      <c r="EN211" s="113">
        <v>0</v>
      </c>
      <c r="EO211" s="113">
        <v>0</v>
      </c>
      <c r="EP211" s="113">
        <v>0</v>
      </c>
      <c r="EQ211" s="113">
        <v>0</v>
      </c>
      <c r="ER211" s="113">
        <v>0</v>
      </c>
      <c r="ES211" s="113">
        <v>0</v>
      </c>
      <c r="ET211" s="113">
        <v>0</v>
      </c>
      <c r="EU211" s="113">
        <v>0</v>
      </c>
      <c r="EV211" s="113">
        <v>0</v>
      </c>
      <c r="EW211" s="113">
        <v>0</v>
      </c>
      <c r="EX211" s="113">
        <v>0</v>
      </c>
      <c r="EY211" s="113">
        <v>0</v>
      </c>
      <c r="EZ211" s="113">
        <v>0</v>
      </c>
      <c r="FA211" s="113">
        <v>0</v>
      </c>
      <c r="FB211" s="113">
        <v>0</v>
      </c>
      <c r="FC211" s="113">
        <v>0</v>
      </c>
      <c r="FD211" s="113">
        <v>0</v>
      </c>
      <c r="FE211" s="113">
        <v>0</v>
      </c>
      <c r="FF211" s="113">
        <v>0</v>
      </c>
      <c r="FG211" s="113">
        <v>0</v>
      </c>
      <c r="FH211" s="113">
        <v>0</v>
      </c>
      <c r="FI211" s="113">
        <v>0</v>
      </c>
      <c r="FJ211" s="113">
        <v>0</v>
      </c>
      <c r="FK211" s="113">
        <v>0</v>
      </c>
      <c r="FL211" s="113">
        <v>0</v>
      </c>
      <c r="FM211" s="113">
        <v>0</v>
      </c>
      <c r="FN211" s="113">
        <v>0</v>
      </c>
      <c r="FO211" s="113">
        <v>0</v>
      </c>
      <c r="FP211" s="113">
        <v>0</v>
      </c>
      <c r="FQ211" s="113">
        <v>0</v>
      </c>
      <c r="FR211" s="113">
        <v>0</v>
      </c>
      <c r="FS211" s="113">
        <v>0</v>
      </c>
      <c r="FT211" s="113">
        <v>0</v>
      </c>
      <c r="FU211" s="113">
        <v>0</v>
      </c>
      <c r="FV211" s="113">
        <v>0</v>
      </c>
      <c r="FW211" s="113">
        <v>0</v>
      </c>
      <c r="FX211" s="32">
        <v>0</v>
      </c>
      <c r="FY211" s="30">
        <v>0</v>
      </c>
      <c r="FZ211" s="30">
        <v>0</v>
      </c>
    </row>
    <row r="212" spans="1:182" x14ac:dyDescent="0.2">
      <c r="A212" s="28">
        <v>38018</v>
      </c>
      <c r="B212" s="28"/>
      <c r="C212" s="29">
        <v>161215</v>
      </c>
      <c r="D212" s="29">
        <v>74495</v>
      </c>
      <c r="E212" s="29">
        <f t="shared" si="6"/>
        <v>235710</v>
      </c>
      <c r="F212" s="30">
        <v>3824630</v>
      </c>
      <c r="G212" s="30">
        <v>8078</v>
      </c>
      <c r="H212" s="30">
        <f t="shared" si="7"/>
        <v>3832708</v>
      </c>
      <c r="I212" s="42" t="s">
        <v>75</v>
      </c>
      <c r="J212" s="42" t="s">
        <v>75</v>
      </c>
      <c r="K212" s="32">
        <v>3921869</v>
      </c>
      <c r="L212" s="31" t="s">
        <v>75</v>
      </c>
      <c r="M212" s="31" t="s">
        <v>75</v>
      </c>
      <c r="N212" s="30">
        <v>10157925</v>
      </c>
      <c r="O212" s="31" t="s">
        <v>75</v>
      </c>
      <c r="P212" s="31" t="s">
        <v>75</v>
      </c>
      <c r="Q212" s="30">
        <v>16129656</v>
      </c>
      <c r="R212" s="31" t="s">
        <v>75</v>
      </c>
      <c r="S212" s="31" t="s">
        <v>75</v>
      </c>
      <c r="T212" s="32">
        <v>80023</v>
      </c>
      <c r="U212" s="31" t="s">
        <v>75</v>
      </c>
      <c r="V212" s="31" t="s">
        <v>75</v>
      </c>
      <c r="W212" s="30">
        <v>28524</v>
      </c>
      <c r="X212" s="31" t="s">
        <v>75</v>
      </c>
      <c r="Y212" s="31" t="s">
        <v>75</v>
      </c>
      <c r="Z212" s="30">
        <v>20608</v>
      </c>
      <c r="AA212" s="31" t="s">
        <v>75</v>
      </c>
      <c r="AB212" s="31" t="s">
        <v>75</v>
      </c>
      <c r="AC212" s="30">
        <v>81345</v>
      </c>
      <c r="AD212" s="31" t="s">
        <v>75</v>
      </c>
      <c r="AE212" s="31" t="s">
        <v>75</v>
      </c>
      <c r="AF212" s="30">
        <v>2895</v>
      </c>
      <c r="AG212" s="42" t="s">
        <v>75</v>
      </c>
      <c r="AH212" s="42" t="s">
        <v>75</v>
      </c>
      <c r="AI212" s="32">
        <v>39742</v>
      </c>
      <c r="AJ212" s="31" t="s">
        <v>75</v>
      </c>
      <c r="AK212" s="31" t="s">
        <v>75</v>
      </c>
      <c r="AL212" s="31" t="s">
        <v>75</v>
      </c>
      <c r="AM212" s="31"/>
      <c r="AN212" s="31"/>
      <c r="AO212" s="31"/>
      <c r="AP212" s="31"/>
      <c r="AQ212" s="31"/>
      <c r="AR212" s="31"/>
      <c r="AS212" s="31" t="s">
        <v>75</v>
      </c>
      <c r="AT212" s="31" t="s">
        <v>75</v>
      </c>
      <c r="AU212" s="31" t="s">
        <v>75</v>
      </c>
      <c r="AV212" s="31" t="s">
        <v>75</v>
      </c>
      <c r="AW212" s="31" t="s">
        <v>75</v>
      </c>
      <c r="AX212" s="31" t="s">
        <v>75</v>
      </c>
      <c r="AY212" s="31" t="s">
        <v>75</v>
      </c>
      <c r="AZ212" s="31" t="s">
        <v>75</v>
      </c>
      <c r="BA212" s="29">
        <v>12682158</v>
      </c>
      <c r="BB212" s="31" t="s">
        <v>75</v>
      </c>
      <c r="BC212" s="31" t="s">
        <v>75</v>
      </c>
      <c r="BD212" s="29">
        <v>1738489</v>
      </c>
      <c r="BE212" s="113">
        <v>0</v>
      </c>
      <c r="BF212" s="113">
        <v>0</v>
      </c>
      <c r="BG212" s="113">
        <v>0</v>
      </c>
      <c r="BH212" s="113">
        <v>0</v>
      </c>
      <c r="BI212" s="113">
        <v>0</v>
      </c>
      <c r="BJ212" s="113">
        <v>0</v>
      </c>
      <c r="BK212" s="113">
        <v>0</v>
      </c>
      <c r="BL212" s="113">
        <v>0</v>
      </c>
      <c r="BM212" s="113">
        <v>0</v>
      </c>
      <c r="BN212" s="113">
        <v>0</v>
      </c>
      <c r="BO212" s="113">
        <v>0</v>
      </c>
      <c r="BP212" s="113">
        <v>0</v>
      </c>
      <c r="BQ212" s="113">
        <v>0</v>
      </c>
      <c r="BR212" s="113">
        <v>0</v>
      </c>
      <c r="BS212" s="113">
        <v>0</v>
      </c>
      <c r="BT212" s="113">
        <v>0</v>
      </c>
      <c r="BU212" s="113">
        <v>0</v>
      </c>
      <c r="BV212" s="113">
        <v>0</v>
      </c>
      <c r="BW212" s="113"/>
      <c r="BX212" s="113"/>
      <c r="BY212" s="113"/>
      <c r="BZ212" s="113">
        <v>0</v>
      </c>
      <c r="CA212" s="113">
        <v>0</v>
      </c>
      <c r="CB212" s="113">
        <v>0</v>
      </c>
      <c r="CC212" s="113"/>
      <c r="CD212" s="113"/>
      <c r="CE212" s="113"/>
      <c r="CF212" s="113">
        <v>0</v>
      </c>
      <c r="CG212" s="113">
        <v>0</v>
      </c>
      <c r="CH212" s="113">
        <v>0</v>
      </c>
      <c r="CI212" s="113">
        <v>0</v>
      </c>
      <c r="CJ212" s="113">
        <v>0</v>
      </c>
      <c r="CK212" s="113">
        <v>0</v>
      </c>
      <c r="CL212" s="113">
        <v>0</v>
      </c>
      <c r="CM212" s="113">
        <v>0</v>
      </c>
      <c r="CN212" s="113">
        <v>0</v>
      </c>
      <c r="CO212" s="113">
        <v>0</v>
      </c>
      <c r="CP212" s="113">
        <v>0</v>
      </c>
      <c r="CQ212" s="113">
        <v>0</v>
      </c>
      <c r="CR212" s="113">
        <v>0</v>
      </c>
      <c r="CS212" s="113">
        <v>0</v>
      </c>
      <c r="CT212" s="113">
        <v>0</v>
      </c>
      <c r="CU212" s="113">
        <v>0</v>
      </c>
      <c r="CV212" s="113">
        <v>0</v>
      </c>
      <c r="CW212" s="113">
        <v>0</v>
      </c>
      <c r="CX212" s="113">
        <v>0</v>
      </c>
      <c r="CY212" s="113">
        <v>0</v>
      </c>
      <c r="CZ212" s="113">
        <v>0</v>
      </c>
      <c r="DA212" s="113">
        <v>0</v>
      </c>
      <c r="DB212" s="113">
        <v>0</v>
      </c>
      <c r="DC212" s="113">
        <v>0</v>
      </c>
      <c r="DD212" s="113">
        <v>0</v>
      </c>
      <c r="DE212" s="113">
        <v>0</v>
      </c>
      <c r="DF212" s="113">
        <v>0</v>
      </c>
      <c r="DG212" s="113">
        <v>0</v>
      </c>
      <c r="DH212" s="113">
        <v>0</v>
      </c>
      <c r="DI212" s="113">
        <v>0</v>
      </c>
      <c r="DJ212" s="113">
        <v>0</v>
      </c>
      <c r="DK212" s="113">
        <v>0</v>
      </c>
      <c r="DL212" s="113">
        <v>0</v>
      </c>
      <c r="DM212" s="113">
        <v>0</v>
      </c>
      <c r="DN212" s="113">
        <v>0</v>
      </c>
      <c r="DO212" s="113">
        <v>0</v>
      </c>
      <c r="DP212" s="113">
        <v>0</v>
      </c>
      <c r="DQ212" s="113">
        <v>0</v>
      </c>
      <c r="DR212" s="113">
        <v>0</v>
      </c>
      <c r="DS212" s="113">
        <v>0</v>
      </c>
      <c r="DT212" s="113">
        <v>0</v>
      </c>
      <c r="DU212" s="113">
        <v>0</v>
      </c>
      <c r="DV212" s="113">
        <v>0</v>
      </c>
      <c r="DW212" s="113">
        <v>0</v>
      </c>
      <c r="DX212" s="113">
        <v>0</v>
      </c>
      <c r="DY212" s="113">
        <v>0</v>
      </c>
      <c r="DZ212" s="113">
        <v>0</v>
      </c>
      <c r="EA212" s="113">
        <v>0</v>
      </c>
      <c r="EB212" s="113">
        <v>0</v>
      </c>
      <c r="EC212" s="113">
        <v>0</v>
      </c>
      <c r="ED212" s="113">
        <v>0</v>
      </c>
      <c r="EE212" s="113">
        <v>0</v>
      </c>
      <c r="EF212" s="113">
        <v>0</v>
      </c>
      <c r="EG212" s="113">
        <v>0</v>
      </c>
      <c r="EH212" s="113">
        <v>0</v>
      </c>
      <c r="EI212" s="113">
        <v>0</v>
      </c>
      <c r="EJ212" s="113">
        <v>0</v>
      </c>
      <c r="EK212" s="113">
        <v>0</v>
      </c>
      <c r="EL212" s="113">
        <v>0</v>
      </c>
      <c r="EM212" s="113">
        <v>0</v>
      </c>
      <c r="EN212" s="113">
        <v>0</v>
      </c>
      <c r="EO212" s="113">
        <v>0</v>
      </c>
      <c r="EP212" s="113">
        <v>0</v>
      </c>
      <c r="EQ212" s="113">
        <v>0</v>
      </c>
      <c r="ER212" s="113">
        <v>0</v>
      </c>
      <c r="ES212" s="113">
        <v>0</v>
      </c>
      <c r="ET212" s="113">
        <v>0</v>
      </c>
      <c r="EU212" s="113">
        <v>0</v>
      </c>
      <c r="EV212" s="113">
        <v>0</v>
      </c>
      <c r="EW212" s="113">
        <v>0</v>
      </c>
      <c r="EX212" s="113">
        <v>0</v>
      </c>
      <c r="EY212" s="113">
        <v>0</v>
      </c>
      <c r="EZ212" s="113">
        <v>0</v>
      </c>
      <c r="FA212" s="113">
        <v>0</v>
      </c>
      <c r="FB212" s="113">
        <v>0</v>
      </c>
      <c r="FC212" s="113">
        <v>0</v>
      </c>
      <c r="FD212" s="113">
        <v>0</v>
      </c>
      <c r="FE212" s="113">
        <v>0</v>
      </c>
      <c r="FF212" s="113">
        <v>0</v>
      </c>
      <c r="FG212" s="113">
        <v>0</v>
      </c>
      <c r="FH212" s="113">
        <v>0</v>
      </c>
      <c r="FI212" s="113">
        <v>0</v>
      </c>
      <c r="FJ212" s="113">
        <v>0</v>
      </c>
      <c r="FK212" s="113">
        <v>0</v>
      </c>
      <c r="FL212" s="113">
        <v>0</v>
      </c>
      <c r="FM212" s="113">
        <v>0</v>
      </c>
      <c r="FN212" s="113">
        <v>0</v>
      </c>
      <c r="FO212" s="113">
        <v>0</v>
      </c>
      <c r="FP212" s="113">
        <v>0</v>
      </c>
      <c r="FQ212" s="113">
        <v>0</v>
      </c>
      <c r="FR212" s="113">
        <v>0</v>
      </c>
      <c r="FS212" s="113">
        <v>0</v>
      </c>
      <c r="FT212" s="113">
        <v>0</v>
      </c>
      <c r="FU212" s="113">
        <v>0</v>
      </c>
      <c r="FV212" s="113">
        <v>0</v>
      </c>
      <c r="FW212" s="113">
        <v>0</v>
      </c>
      <c r="FX212" s="32">
        <v>0</v>
      </c>
      <c r="FY212" s="30">
        <v>0</v>
      </c>
      <c r="FZ212" s="30">
        <v>0</v>
      </c>
    </row>
    <row r="213" spans="1:182" x14ac:dyDescent="0.2">
      <c r="A213" s="28">
        <v>38047</v>
      </c>
      <c r="B213" s="28"/>
      <c r="C213" s="29">
        <v>244039</v>
      </c>
      <c r="D213" s="29">
        <v>113046</v>
      </c>
      <c r="E213" s="29">
        <f t="shared" si="6"/>
        <v>357085</v>
      </c>
      <c r="F213" s="30">
        <v>4236926</v>
      </c>
      <c r="G213" s="30">
        <v>8050</v>
      </c>
      <c r="H213" s="30">
        <f t="shared" si="7"/>
        <v>4244976</v>
      </c>
      <c r="I213" s="42" t="s">
        <v>75</v>
      </c>
      <c r="J213" s="42" t="s">
        <v>75</v>
      </c>
      <c r="K213" s="32">
        <v>5275224</v>
      </c>
      <c r="L213" s="31" t="s">
        <v>75</v>
      </c>
      <c r="M213" s="31" t="s">
        <v>75</v>
      </c>
      <c r="N213" s="30">
        <v>10756194</v>
      </c>
      <c r="O213" s="31" t="s">
        <v>75</v>
      </c>
      <c r="P213" s="31" t="s">
        <v>75</v>
      </c>
      <c r="Q213" s="30">
        <v>16912777</v>
      </c>
      <c r="R213" s="31" t="s">
        <v>75</v>
      </c>
      <c r="S213" s="31" t="s">
        <v>75</v>
      </c>
      <c r="T213" s="32">
        <v>84840</v>
      </c>
      <c r="U213" s="31" t="s">
        <v>75</v>
      </c>
      <c r="V213" s="31" t="s">
        <v>75</v>
      </c>
      <c r="W213" s="30">
        <v>31383</v>
      </c>
      <c r="X213" s="31" t="s">
        <v>75</v>
      </c>
      <c r="Y213" s="31" t="s">
        <v>75</v>
      </c>
      <c r="Z213" s="30">
        <v>59363</v>
      </c>
      <c r="AA213" s="31" t="s">
        <v>75</v>
      </c>
      <c r="AB213" s="31" t="s">
        <v>75</v>
      </c>
      <c r="AC213" s="30">
        <v>133105</v>
      </c>
      <c r="AD213" s="31" t="s">
        <v>75</v>
      </c>
      <c r="AE213" s="31" t="s">
        <v>75</v>
      </c>
      <c r="AF213" s="30">
        <v>4779</v>
      </c>
      <c r="AG213" s="42" t="s">
        <v>75</v>
      </c>
      <c r="AH213" s="42" t="s">
        <v>75</v>
      </c>
      <c r="AI213" s="32">
        <v>39111</v>
      </c>
      <c r="AJ213" s="31" t="s">
        <v>75</v>
      </c>
      <c r="AK213" s="31" t="s">
        <v>75</v>
      </c>
      <c r="AL213" s="31" t="s">
        <v>75</v>
      </c>
      <c r="AM213" s="31"/>
      <c r="AN213" s="31"/>
      <c r="AO213" s="31"/>
      <c r="AP213" s="31"/>
      <c r="AQ213" s="31"/>
      <c r="AR213" s="31"/>
      <c r="AS213" s="31" t="s">
        <v>75</v>
      </c>
      <c r="AT213" s="31" t="s">
        <v>75</v>
      </c>
      <c r="AU213" s="31" t="s">
        <v>75</v>
      </c>
      <c r="AV213" s="31" t="s">
        <v>75</v>
      </c>
      <c r="AW213" s="31" t="s">
        <v>75</v>
      </c>
      <c r="AX213" s="31" t="s">
        <v>75</v>
      </c>
      <c r="AY213" s="31" t="s">
        <v>75</v>
      </c>
      <c r="AZ213" s="31" t="s">
        <v>75</v>
      </c>
      <c r="BA213" s="29">
        <v>17831012</v>
      </c>
      <c r="BB213" s="31" t="s">
        <v>75</v>
      </c>
      <c r="BC213" s="31" t="s">
        <v>75</v>
      </c>
      <c r="BD213" s="29">
        <v>2676118</v>
      </c>
      <c r="BE213" s="113">
        <v>0</v>
      </c>
      <c r="BF213" s="113">
        <v>0</v>
      </c>
      <c r="BG213" s="113">
        <v>0</v>
      </c>
      <c r="BH213" s="113">
        <v>0</v>
      </c>
      <c r="BI213" s="113">
        <v>0</v>
      </c>
      <c r="BJ213" s="113">
        <v>0</v>
      </c>
      <c r="BK213" s="113">
        <v>0</v>
      </c>
      <c r="BL213" s="113">
        <v>0</v>
      </c>
      <c r="BM213" s="113">
        <v>0</v>
      </c>
      <c r="BN213" s="113">
        <v>0</v>
      </c>
      <c r="BO213" s="113">
        <v>0</v>
      </c>
      <c r="BP213" s="113">
        <v>0</v>
      </c>
      <c r="BQ213" s="113">
        <v>0</v>
      </c>
      <c r="BR213" s="113">
        <v>0</v>
      </c>
      <c r="BS213" s="113">
        <v>0</v>
      </c>
      <c r="BT213" s="113">
        <v>0</v>
      </c>
      <c r="BU213" s="113">
        <v>0</v>
      </c>
      <c r="BV213" s="113">
        <v>0</v>
      </c>
      <c r="BW213" s="113"/>
      <c r="BX213" s="113"/>
      <c r="BY213" s="113"/>
      <c r="BZ213" s="113">
        <v>0</v>
      </c>
      <c r="CA213" s="113">
        <v>0</v>
      </c>
      <c r="CB213" s="113">
        <v>0</v>
      </c>
      <c r="CC213" s="113"/>
      <c r="CD213" s="113"/>
      <c r="CE213" s="113"/>
      <c r="CF213" s="113">
        <v>0</v>
      </c>
      <c r="CG213" s="113">
        <v>0</v>
      </c>
      <c r="CH213" s="113">
        <v>0</v>
      </c>
      <c r="CI213" s="113">
        <v>0</v>
      </c>
      <c r="CJ213" s="113">
        <v>0</v>
      </c>
      <c r="CK213" s="113">
        <v>0</v>
      </c>
      <c r="CL213" s="113">
        <v>0</v>
      </c>
      <c r="CM213" s="113">
        <v>0</v>
      </c>
      <c r="CN213" s="113">
        <v>0</v>
      </c>
      <c r="CO213" s="113">
        <v>0</v>
      </c>
      <c r="CP213" s="113">
        <v>0</v>
      </c>
      <c r="CQ213" s="113">
        <v>0</v>
      </c>
      <c r="CR213" s="113">
        <v>0</v>
      </c>
      <c r="CS213" s="113">
        <v>0</v>
      </c>
      <c r="CT213" s="113">
        <v>0</v>
      </c>
      <c r="CU213" s="113">
        <v>0</v>
      </c>
      <c r="CV213" s="113">
        <v>0</v>
      </c>
      <c r="CW213" s="113">
        <v>0</v>
      </c>
      <c r="CX213" s="113">
        <v>0</v>
      </c>
      <c r="CY213" s="113">
        <v>0</v>
      </c>
      <c r="CZ213" s="113">
        <v>0</v>
      </c>
      <c r="DA213" s="113">
        <v>0</v>
      </c>
      <c r="DB213" s="113">
        <v>0</v>
      </c>
      <c r="DC213" s="113">
        <v>0</v>
      </c>
      <c r="DD213" s="113">
        <v>0</v>
      </c>
      <c r="DE213" s="113">
        <v>0</v>
      </c>
      <c r="DF213" s="113">
        <v>0</v>
      </c>
      <c r="DG213" s="113">
        <v>0</v>
      </c>
      <c r="DH213" s="113">
        <v>0</v>
      </c>
      <c r="DI213" s="113">
        <v>0</v>
      </c>
      <c r="DJ213" s="113">
        <v>0</v>
      </c>
      <c r="DK213" s="113">
        <v>0</v>
      </c>
      <c r="DL213" s="113">
        <v>0</v>
      </c>
      <c r="DM213" s="113">
        <v>0</v>
      </c>
      <c r="DN213" s="113">
        <v>0</v>
      </c>
      <c r="DO213" s="113">
        <v>0</v>
      </c>
      <c r="DP213" s="113">
        <v>0</v>
      </c>
      <c r="DQ213" s="113">
        <v>0</v>
      </c>
      <c r="DR213" s="113">
        <v>0</v>
      </c>
      <c r="DS213" s="113">
        <v>0</v>
      </c>
      <c r="DT213" s="113">
        <v>0</v>
      </c>
      <c r="DU213" s="113">
        <v>0</v>
      </c>
      <c r="DV213" s="113">
        <v>0</v>
      </c>
      <c r="DW213" s="113">
        <v>0</v>
      </c>
      <c r="DX213" s="113">
        <v>0</v>
      </c>
      <c r="DY213" s="113">
        <v>0</v>
      </c>
      <c r="DZ213" s="113">
        <v>0</v>
      </c>
      <c r="EA213" s="113">
        <v>0</v>
      </c>
      <c r="EB213" s="113">
        <v>0</v>
      </c>
      <c r="EC213" s="113">
        <v>0</v>
      </c>
      <c r="ED213" s="113">
        <v>0</v>
      </c>
      <c r="EE213" s="113">
        <v>0</v>
      </c>
      <c r="EF213" s="113">
        <v>0</v>
      </c>
      <c r="EG213" s="113">
        <v>0</v>
      </c>
      <c r="EH213" s="113">
        <v>0</v>
      </c>
      <c r="EI213" s="113">
        <v>0</v>
      </c>
      <c r="EJ213" s="113">
        <v>0</v>
      </c>
      <c r="EK213" s="113">
        <v>0</v>
      </c>
      <c r="EL213" s="113">
        <v>0</v>
      </c>
      <c r="EM213" s="113">
        <v>0</v>
      </c>
      <c r="EN213" s="113">
        <v>0</v>
      </c>
      <c r="EO213" s="113">
        <v>0</v>
      </c>
      <c r="EP213" s="113">
        <v>0</v>
      </c>
      <c r="EQ213" s="113">
        <v>0</v>
      </c>
      <c r="ER213" s="113">
        <v>0</v>
      </c>
      <c r="ES213" s="113">
        <v>0</v>
      </c>
      <c r="ET213" s="113">
        <v>0</v>
      </c>
      <c r="EU213" s="113">
        <v>0</v>
      </c>
      <c r="EV213" s="113">
        <v>0</v>
      </c>
      <c r="EW213" s="113">
        <v>0</v>
      </c>
      <c r="EX213" s="113">
        <v>0</v>
      </c>
      <c r="EY213" s="113">
        <v>0</v>
      </c>
      <c r="EZ213" s="113">
        <v>0</v>
      </c>
      <c r="FA213" s="113">
        <v>0</v>
      </c>
      <c r="FB213" s="113">
        <v>0</v>
      </c>
      <c r="FC213" s="113">
        <v>0</v>
      </c>
      <c r="FD213" s="113">
        <v>0</v>
      </c>
      <c r="FE213" s="113">
        <v>0</v>
      </c>
      <c r="FF213" s="113">
        <v>0</v>
      </c>
      <c r="FG213" s="113">
        <v>0</v>
      </c>
      <c r="FH213" s="113">
        <v>0</v>
      </c>
      <c r="FI213" s="113">
        <v>0</v>
      </c>
      <c r="FJ213" s="113">
        <v>0</v>
      </c>
      <c r="FK213" s="113">
        <v>0</v>
      </c>
      <c r="FL213" s="113">
        <v>0</v>
      </c>
      <c r="FM213" s="113">
        <v>0</v>
      </c>
      <c r="FN213" s="113">
        <v>0</v>
      </c>
      <c r="FO213" s="113">
        <v>0</v>
      </c>
      <c r="FP213" s="113">
        <v>0</v>
      </c>
      <c r="FQ213" s="113">
        <v>0</v>
      </c>
      <c r="FR213" s="113">
        <v>0</v>
      </c>
      <c r="FS213" s="113">
        <v>0</v>
      </c>
      <c r="FT213" s="113">
        <v>0</v>
      </c>
      <c r="FU213" s="113">
        <v>0</v>
      </c>
      <c r="FV213" s="113">
        <v>0</v>
      </c>
      <c r="FW213" s="113">
        <v>0</v>
      </c>
      <c r="FX213" s="32">
        <v>0</v>
      </c>
      <c r="FY213" s="30">
        <v>0</v>
      </c>
      <c r="FZ213" s="30">
        <v>0</v>
      </c>
    </row>
    <row r="214" spans="1:182" x14ac:dyDescent="0.2">
      <c r="A214" s="28">
        <v>38078</v>
      </c>
      <c r="B214" s="28"/>
      <c r="C214" s="29">
        <v>242411</v>
      </c>
      <c r="D214" s="29">
        <v>119536</v>
      </c>
      <c r="E214" s="29">
        <f t="shared" si="6"/>
        <v>361947</v>
      </c>
      <c r="F214" s="30">
        <v>4627305</v>
      </c>
      <c r="G214" s="30">
        <v>35400</v>
      </c>
      <c r="H214" s="30">
        <f t="shared" si="7"/>
        <v>4662705</v>
      </c>
      <c r="I214" s="42" t="s">
        <v>75</v>
      </c>
      <c r="J214" s="42" t="s">
        <v>75</v>
      </c>
      <c r="K214" s="32">
        <v>4515055</v>
      </c>
      <c r="L214" s="31" t="s">
        <v>75</v>
      </c>
      <c r="M214" s="31" t="s">
        <v>75</v>
      </c>
      <c r="N214" s="30">
        <v>11343773</v>
      </c>
      <c r="O214" s="31" t="s">
        <v>75</v>
      </c>
      <c r="P214" s="31" t="s">
        <v>75</v>
      </c>
      <c r="Q214" s="30">
        <v>16313974</v>
      </c>
      <c r="R214" s="31" t="s">
        <v>75</v>
      </c>
      <c r="S214" s="31" t="s">
        <v>75</v>
      </c>
      <c r="T214" s="32">
        <v>100380</v>
      </c>
      <c r="U214" s="31" t="s">
        <v>75</v>
      </c>
      <c r="V214" s="31" t="s">
        <v>75</v>
      </c>
      <c r="W214" s="30">
        <v>5823</v>
      </c>
      <c r="X214" s="31" t="s">
        <v>75</v>
      </c>
      <c r="Y214" s="31" t="s">
        <v>75</v>
      </c>
      <c r="Z214" s="30">
        <v>1386</v>
      </c>
      <c r="AA214" s="31" t="s">
        <v>75</v>
      </c>
      <c r="AB214" s="31" t="s">
        <v>75</v>
      </c>
      <c r="AC214" s="30">
        <v>110407</v>
      </c>
      <c r="AD214" s="31" t="s">
        <v>75</v>
      </c>
      <c r="AE214" s="31" t="s">
        <v>75</v>
      </c>
      <c r="AF214" s="30">
        <v>5709</v>
      </c>
      <c r="AG214" s="42" t="s">
        <v>75</v>
      </c>
      <c r="AH214" s="42" t="s">
        <v>75</v>
      </c>
      <c r="AI214" s="32">
        <v>17978</v>
      </c>
      <c r="AJ214" s="31" t="s">
        <v>75</v>
      </c>
      <c r="AK214" s="31" t="s">
        <v>75</v>
      </c>
      <c r="AL214" s="31" t="s">
        <v>75</v>
      </c>
      <c r="AM214" s="31"/>
      <c r="AN214" s="31"/>
      <c r="AO214" s="31"/>
      <c r="AP214" s="31"/>
      <c r="AQ214" s="31"/>
      <c r="AR214" s="31"/>
      <c r="AS214" s="31" t="s">
        <v>75</v>
      </c>
      <c r="AT214" s="31" t="s">
        <v>75</v>
      </c>
      <c r="AU214" s="31" t="s">
        <v>75</v>
      </c>
      <c r="AV214" s="31" t="s">
        <v>75</v>
      </c>
      <c r="AW214" s="31" t="s">
        <v>75</v>
      </c>
      <c r="AX214" s="31" t="s">
        <v>75</v>
      </c>
      <c r="AY214" s="31" t="s">
        <v>75</v>
      </c>
      <c r="AZ214" s="31" t="s">
        <v>75</v>
      </c>
      <c r="BA214" s="29">
        <v>10540261</v>
      </c>
      <c r="BB214" s="31" t="s">
        <v>75</v>
      </c>
      <c r="BC214" s="31" t="s">
        <v>75</v>
      </c>
      <c r="BD214" s="29">
        <v>1040374</v>
      </c>
      <c r="BE214" s="113">
        <v>0</v>
      </c>
      <c r="BF214" s="113">
        <v>0</v>
      </c>
      <c r="BG214" s="113">
        <v>0</v>
      </c>
      <c r="BH214" s="113">
        <v>0</v>
      </c>
      <c r="BI214" s="113">
        <v>0</v>
      </c>
      <c r="BJ214" s="113">
        <v>0</v>
      </c>
      <c r="BK214" s="113">
        <v>0</v>
      </c>
      <c r="BL214" s="113">
        <v>0</v>
      </c>
      <c r="BM214" s="113">
        <v>0</v>
      </c>
      <c r="BN214" s="113">
        <v>0</v>
      </c>
      <c r="BO214" s="113">
        <v>0</v>
      </c>
      <c r="BP214" s="113">
        <v>0</v>
      </c>
      <c r="BQ214" s="113">
        <v>0</v>
      </c>
      <c r="BR214" s="113">
        <v>0</v>
      </c>
      <c r="BS214" s="113">
        <v>0</v>
      </c>
      <c r="BT214" s="113">
        <v>0</v>
      </c>
      <c r="BU214" s="113">
        <v>0</v>
      </c>
      <c r="BV214" s="113">
        <v>0</v>
      </c>
      <c r="BW214" s="113"/>
      <c r="BX214" s="113"/>
      <c r="BY214" s="113"/>
      <c r="BZ214" s="113">
        <v>0</v>
      </c>
      <c r="CA214" s="113">
        <v>0</v>
      </c>
      <c r="CB214" s="113">
        <v>0</v>
      </c>
      <c r="CC214" s="113"/>
      <c r="CD214" s="113"/>
      <c r="CE214" s="113"/>
      <c r="CF214" s="113">
        <v>0</v>
      </c>
      <c r="CG214" s="113">
        <v>0</v>
      </c>
      <c r="CH214" s="113">
        <v>0</v>
      </c>
      <c r="CI214" s="113">
        <v>0</v>
      </c>
      <c r="CJ214" s="113">
        <v>0</v>
      </c>
      <c r="CK214" s="113">
        <v>0</v>
      </c>
      <c r="CL214" s="113">
        <v>0</v>
      </c>
      <c r="CM214" s="113">
        <v>0</v>
      </c>
      <c r="CN214" s="113">
        <v>0</v>
      </c>
      <c r="CO214" s="113">
        <v>0</v>
      </c>
      <c r="CP214" s="113">
        <v>0</v>
      </c>
      <c r="CQ214" s="113">
        <v>0</v>
      </c>
      <c r="CR214" s="113">
        <v>0</v>
      </c>
      <c r="CS214" s="113">
        <v>0</v>
      </c>
      <c r="CT214" s="113">
        <v>0</v>
      </c>
      <c r="CU214" s="113">
        <v>0</v>
      </c>
      <c r="CV214" s="113">
        <v>0</v>
      </c>
      <c r="CW214" s="113">
        <v>0</v>
      </c>
      <c r="CX214" s="113">
        <v>0</v>
      </c>
      <c r="CY214" s="113">
        <v>0</v>
      </c>
      <c r="CZ214" s="113">
        <v>0</v>
      </c>
      <c r="DA214" s="113">
        <v>0</v>
      </c>
      <c r="DB214" s="113">
        <v>0</v>
      </c>
      <c r="DC214" s="113">
        <v>0</v>
      </c>
      <c r="DD214" s="113">
        <v>0</v>
      </c>
      <c r="DE214" s="113">
        <v>0</v>
      </c>
      <c r="DF214" s="113">
        <v>0</v>
      </c>
      <c r="DG214" s="113">
        <v>0</v>
      </c>
      <c r="DH214" s="113">
        <v>0</v>
      </c>
      <c r="DI214" s="113">
        <v>0</v>
      </c>
      <c r="DJ214" s="113">
        <v>0</v>
      </c>
      <c r="DK214" s="113">
        <v>0</v>
      </c>
      <c r="DL214" s="113">
        <v>0</v>
      </c>
      <c r="DM214" s="113">
        <v>0</v>
      </c>
      <c r="DN214" s="113">
        <v>0</v>
      </c>
      <c r="DO214" s="113">
        <v>0</v>
      </c>
      <c r="DP214" s="113">
        <v>0</v>
      </c>
      <c r="DQ214" s="113">
        <v>0</v>
      </c>
      <c r="DR214" s="113">
        <v>0</v>
      </c>
      <c r="DS214" s="113">
        <v>0</v>
      </c>
      <c r="DT214" s="113">
        <v>0</v>
      </c>
      <c r="DU214" s="113">
        <v>0</v>
      </c>
      <c r="DV214" s="113">
        <v>0</v>
      </c>
      <c r="DW214" s="113">
        <v>0</v>
      </c>
      <c r="DX214" s="113">
        <v>0</v>
      </c>
      <c r="DY214" s="113">
        <v>0</v>
      </c>
      <c r="DZ214" s="113">
        <v>0</v>
      </c>
      <c r="EA214" s="113">
        <v>0</v>
      </c>
      <c r="EB214" s="113">
        <v>0</v>
      </c>
      <c r="EC214" s="113">
        <v>0</v>
      </c>
      <c r="ED214" s="113">
        <v>0</v>
      </c>
      <c r="EE214" s="113">
        <v>0</v>
      </c>
      <c r="EF214" s="113">
        <v>0</v>
      </c>
      <c r="EG214" s="113">
        <v>0</v>
      </c>
      <c r="EH214" s="113">
        <v>0</v>
      </c>
      <c r="EI214" s="113">
        <v>0</v>
      </c>
      <c r="EJ214" s="113">
        <v>0</v>
      </c>
      <c r="EK214" s="113">
        <v>0</v>
      </c>
      <c r="EL214" s="113">
        <v>0</v>
      </c>
      <c r="EM214" s="113">
        <v>0</v>
      </c>
      <c r="EN214" s="113">
        <v>0</v>
      </c>
      <c r="EO214" s="113">
        <v>0</v>
      </c>
      <c r="EP214" s="113">
        <v>0</v>
      </c>
      <c r="EQ214" s="113">
        <v>0</v>
      </c>
      <c r="ER214" s="113">
        <v>0</v>
      </c>
      <c r="ES214" s="113">
        <v>0</v>
      </c>
      <c r="ET214" s="113">
        <v>0</v>
      </c>
      <c r="EU214" s="113">
        <v>0</v>
      </c>
      <c r="EV214" s="113">
        <v>0</v>
      </c>
      <c r="EW214" s="113">
        <v>0</v>
      </c>
      <c r="EX214" s="113">
        <v>0</v>
      </c>
      <c r="EY214" s="113">
        <v>0</v>
      </c>
      <c r="EZ214" s="113">
        <v>0</v>
      </c>
      <c r="FA214" s="113">
        <v>0</v>
      </c>
      <c r="FB214" s="113">
        <v>0</v>
      </c>
      <c r="FC214" s="113">
        <v>0</v>
      </c>
      <c r="FD214" s="113">
        <v>0</v>
      </c>
      <c r="FE214" s="113">
        <v>0</v>
      </c>
      <c r="FF214" s="113">
        <v>0</v>
      </c>
      <c r="FG214" s="113">
        <v>0</v>
      </c>
      <c r="FH214" s="113">
        <v>0</v>
      </c>
      <c r="FI214" s="113">
        <v>0</v>
      </c>
      <c r="FJ214" s="113">
        <v>0</v>
      </c>
      <c r="FK214" s="113">
        <v>0</v>
      </c>
      <c r="FL214" s="113">
        <v>0</v>
      </c>
      <c r="FM214" s="113">
        <v>0</v>
      </c>
      <c r="FN214" s="113">
        <v>0</v>
      </c>
      <c r="FO214" s="113">
        <v>0</v>
      </c>
      <c r="FP214" s="113">
        <v>0</v>
      </c>
      <c r="FQ214" s="113">
        <v>0</v>
      </c>
      <c r="FR214" s="113">
        <v>0</v>
      </c>
      <c r="FS214" s="113">
        <v>0</v>
      </c>
      <c r="FT214" s="113">
        <v>0</v>
      </c>
      <c r="FU214" s="113">
        <v>0</v>
      </c>
      <c r="FV214" s="113">
        <v>0</v>
      </c>
      <c r="FW214" s="113">
        <v>0</v>
      </c>
      <c r="FX214" s="32">
        <v>0</v>
      </c>
      <c r="FY214" s="30">
        <v>0</v>
      </c>
      <c r="FZ214" s="30">
        <v>0</v>
      </c>
    </row>
    <row r="215" spans="1:182" x14ac:dyDescent="0.2">
      <c r="A215" s="28">
        <v>38108</v>
      </c>
      <c r="B215" s="28"/>
      <c r="C215" s="29">
        <v>230862</v>
      </c>
      <c r="D215" s="29">
        <v>104845</v>
      </c>
      <c r="E215" s="29">
        <f t="shared" si="6"/>
        <v>335707</v>
      </c>
      <c r="F215" s="30">
        <v>1630627</v>
      </c>
      <c r="G215" s="30">
        <v>5784</v>
      </c>
      <c r="H215" s="30">
        <f t="shared" si="7"/>
        <v>1636411</v>
      </c>
      <c r="I215" s="42" t="s">
        <v>75</v>
      </c>
      <c r="J215" s="42" t="s">
        <v>75</v>
      </c>
      <c r="K215" s="32">
        <v>3128949</v>
      </c>
      <c r="L215" s="31" t="s">
        <v>75</v>
      </c>
      <c r="M215" s="31" t="s">
        <v>75</v>
      </c>
      <c r="N215" s="30">
        <v>8009219</v>
      </c>
      <c r="O215" s="31" t="s">
        <v>75</v>
      </c>
      <c r="P215" s="31" t="s">
        <v>75</v>
      </c>
      <c r="Q215" s="30">
        <v>11736376</v>
      </c>
      <c r="R215" s="31" t="s">
        <v>75</v>
      </c>
      <c r="S215" s="31" t="s">
        <v>75</v>
      </c>
      <c r="T215" s="32">
        <v>116703</v>
      </c>
      <c r="U215" s="31" t="s">
        <v>75</v>
      </c>
      <c r="V215" s="31" t="s">
        <v>75</v>
      </c>
      <c r="W215" s="30">
        <v>35831</v>
      </c>
      <c r="X215" s="31" t="s">
        <v>75</v>
      </c>
      <c r="Y215" s="31" t="s">
        <v>75</v>
      </c>
      <c r="Z215" s="30">
        <v>41623</v>
      </c>
      <c r="AA215" s="31" t="s">
        <v>75</v>
      </c>
      <c r="AB215" s="31" t="s">
        <v>75</v>
      </c>
      <c r="AC215" s="30">
        <v>84184</v>
      </c>
      <c r="AD215" s="31" t="s">
        <v>75</v>
      </c>
      <c r="AE215" s="31" t="s">
        <v>75</v>
      </c>
      <c r="AF215" s="30">
        <v>4599</v>
      </c>
      <c r="AG215" s="42" t="s">
        <v>75</v>
      </c>
      <c r="AH215" s="42" t="s">
        <v>75</v>
      </c>
      <c r="AI215" s="32">
        <v>17402</v>
      </c>
      <c r="AJ215" s="31" t="s">
        <v>75</v>
      </c>
      <c r="AK215" s="31" t="s">
        <v>75</v>
      </c>
      <c r="AL215" s="31" t="s">
        <v>75</v>
      </c>
      <c r="AM215" s="31"/>
      <c r="AN215" s="31"/>
      <c r="AO215" s="31"/>
      <c r="AP215" s="31"/>
      <c r="AQ215" s="31"/>
      <c r="AR215" s="31"/>
      <c r="AS215" s="31" t="s">
        <v>75</v>
      </c>
      <c r="AT215" s="31" t="s">
        <v>75</v>
      </c>
      <c r="AU215" s="31" t="s">
        <v>75</v>
      </c>
      <c r="AV215" s="31" t="s">
        <v>75</v>
      </c>
      <c r="AW215" s="31" t="s">
        <v>75</v>
      </c>
      <c r="AX215" s="31" t="s">
        <v>75</v>
      </c>
      <c r="AY215" s="31" t="s">
        <v>75</v>
      </c>
      <c r="AZ215" s="31" t="s">
        <v>75</v>
      </c>
      <c r="BA215" s="29">
        <v>9937782</v>
      </c>
      <c r="BB215" s="31" t="s">
        <v>75</v>
      </c>
      <c r="BC215" s="31" t="s">
        <v>75</v>
      </c>
      <c r="BD215" s="29">
        <v>1581246</v>
      </c>
      <c r="BE215" s="113">
        <v>0</v>
      </c>
      <c r="BF215" s="113">
        <v>0</v>
      </c>
      <c r="BG215" s="113">
        <v>0</v>
      </c>
      <c r="BH215" s="113">
        <v>0</v>
      </c>
      <c r="BI215" s="113">
        <v>0</v>
      </c>
      <c r="BJ215" s="113">
        <v>0</v>
      </c>
      <c r="BK215" s="113">
        <v>0</v>
      </c>
      <c r="BL215" s="113">
        <v>0</v>
      </c>
      <c r="BM215" s="113">
        <v>0</v>
      </c>
      <c r="BN215" s="113">
        <v>0</v>
      </c>
      <c r="BO215" s="113">
        <v>0</v>
      </c>
      <c r="BP215" s="113">
        <v>0</v>
      </c>
      <c r="BQ215" s="113">
        <v>0</v>
      </c>
      <c r="BR215" s="113">
        <v>0</v>
      </c>
      <c r="BS215" s="113">
        <v>0</v>
      </c>
      <c r="BT215" s="113">
        <v>0</v>
      </c>
      <c r="BU215" s="113">
        <v>0</v>
      </c>
      <c r="BV215" s="113">
        <v>0</v>
      </c>
      <c r="BW215" s="113"/>
      <c r="BX215" s="113"/>
      <c r="BY215" s="113"/>
      <c r="BZ215" s="113">
        <v>0</v>
      </c>
      <c r="CA215" s="113">
        <v>0</v>
      </c>
      <c r="CB215" s="113">
        <v>0</v>
      </c>
      <c r="CC215" s="113"/>
      <c r="CD215" s="113"/>
      <c r="CE215" s="113"/>
      <c r="CF215" s="113">
        <v>0</v>
      </c>
      <c r="CG215" s="113">
        <v>0</v>
      </c>
      <c r="CH215" s="113">
        <v>0</v>
      </c>
      <c r="CI215" s="113">
        <v>0</v>
      </c>
      <c r="CJ215" s="113">
        <v>0</v>
      </c>
      <c r="CK215" s="113">
        <v>0</v>
      </c>
      <c r="CL215" s="113">
        <v>0</v>
      </c>
      <c r="CM215" s="113">
        <v>0</v>
      </c>
      <c r="CN215" s="113">
        <v>0</v>
      </c>
      <c r="CO215" s="113">
        <v>0</v>
      </c>
      <c r="CP215" s="113">
        <v>0</v>
      </c>
      <c r="CQ215" s="113">
        <v>0</v>
      </c>
      <c r="CR215" s="113">
        <v>0</v>
      </c>
      <c r="CS215" s="113">
        <v>0</v>
      </c>
      <c r="CT215" s="113">
        <v>0</v>
      </c>
      <c r="CU215" s="113">
        <v>0</v>
      </c>
      <c r="CV215" s="113">
        <v>0</v>
      </c>
      <c r="CW215" s="113">
        <v>0</v>
      </c>
      <c r="CX215" s="113">
        <v>0</v>
      </c>
      <c r="CY215" s="113">
        <v>0</v>
      </c>
      <c r="CZ215" s="113">
        <v>0</v>
      </c>
      <c r="DA215" s="113">
        <v>0</v>
      </c>
      <c r="DB215" s="113">
        <v>0</v>
      </c>
      <c r="DC215" s="113">
        <v>0</v>
      </c>
      <c r="DD215" s="113">
        <v>0</v>
      </c>
      <c r="DE215" s="113">
        <v>0</v>
      </c>
      <c r="DF215" s="113">
        <v>0</v>
      </c>
      <c r="DG215" s="113">
        <v>0</v>
      </c>
      <c r="DH215" s="113">
        <v>0</v>
      </c>
      <c r="DI215" s="113">
        <v>0</v>
      </c>
      <c r="DJ215" s="113">
        <v>0</v>
      </c>
      <c r="DK215" s="113">
        <v>0</v>
      </c>
      <c r="DL215" s="113">
        <v>0</v>
      </c>
      <c r="DM215" s="113">
        <v>0</v>
      </c>
      <c r="DN215" s="113">
        <v>0</v>
      </c>
      <c r="DO215" s="113">
        <v>0</v>
      </c>
      <c r="DP215" s="113">
        <v>0</v>
      </c>
      <c r="DQ215" s="113">
        <v>0</v>
      </c>
      <c r="DR215" s="113">
        <v>0</v>
      </c>
      <c r="DS215" s="113">
        <v>0</v>
      </c>
      <c r="DT215" s="113">
        <v>0</v>
      </c>
      <c r="DU215" s="113">
        <v>0</v>
      </c>
      <c r="DV215" s="113">
        <v>0</v>
      </c>
      <c r="DW215" s="113">
        <v>0</v>
      </c>
      <c r="DX215" s="113">
        <v>0</v>
      </c>
      <c r="DY215" s="113">
        <v>0</v>
      </c>
      <c r="DZ215" s="113">
        <v>0</v>
      </c>
      <c r="EA215" s="113">
        <v>0</v>
      </c>
      <c r="EB215" s="113">
        <v>0</v>
      </c>
      <c r="EC215" s="113">
        <v>0</v>
      </c>
      <c r="ED215" s="113">
        <v>0</v>
      </c>
      <c r="EE215" s="113">
        <v>0</v>
      </c>
      <c r="EF215" s="113">
        <v>0</v>
      </c>
      <c r="EG215" s="113">
        <v>0</v>
      </c>
      <c r="EH215" s="113">
        <v>0</v>
      </c>
      <c r="EI215" s="113">
        <v>0</v>
      </c>
      <c r="EJ215" s="113">
        <v>0</v>
      </c>
      <c r="EK215" s="113">
        <v>0</v>
      </c>
      <c r="EL215" s="113">
        <v>0</v>
      </c>
      <c r="EM215" s="113">
        <v>0</v>
      </c>
      <c r="EN215" s="113">
        <v>0</v>
      </c>
      <c r="EO215" s="113">
        <v>0</v>
      </c>
      <c r="EP215" s="113">
        <v>0</v>
      </c>
      <c r="EQ215" s="113">
        <v>0</v>
      </c>
      <c r="ER215" s="113">
        <v>0</v>
      </c>
      <c r="ES215" s="113">
        <v>0</v>
      </c>
      <c r="ET215" s="113">
        <v>0</v>
      </c>
      <c r="EU215" s="113">
        <v>0</v>
      </c>
      <c r="EV215" s="113">
        <v>0</v>
      </c>
      <c r="EW215" s="113">
        <v>0</v>
      </c>
      <c r="EX215" s="113">
        <v>0</v>
      </c>
      <c r="EY215" s="113">
        <v>0</v>
      </c>
      <c r="EZ215" s="113">
        <v>0</v>
      </c>
      <c r="FA215" s="113">
        <v>0</v>
      </c>
      <c r="FB215" s="113">
        <v>0</v>
      </c>
      <c r="FC215" s="113">
        <v>0</v>
      </c>
      <c r="FD215" s="113">
        <v>0</v>
      </c>
      <c r="FE215" s="113">
        <v>0</v>
      </c>
      <c r="FF215" s="113">
        <v>0</v>
      </c>
      <c r="FG215" s="113">
        <v>0</v>
      </c>
      <c r="FH215" s="113">
        <v>0</v>
      </c>
      <c r="FI215" s="113">
        <v>0</v>
      </c>
      <c r="FJ215" s="113">
        <v>0</v>
      </c>
      <c r="FK215" s="113">
        <v>0</v>
      </c>
      <c r="FL215" s="113">
        <v>0</v>
      </c>
      <c r="FM215" s="113">
        <v>0</v>
      </c>
      <c r="FN215" s="113">
        <v>0</v>
      </c>
      <c r="FO215" s="113">
        <v>0</v>
      </c>
      <c r="FP215" s="113">
        <v>0</v>
      </c>
      <c r="FQ215" s="113">
        <v>0</v>
      </c>
      <c r="FR215" s="113">
        <v>0</v>
      </c>
      <c r="FS215" s="113">
        <v>0</v>
      </c>
      <c r="FT215" s="113">
        <v>0</v>
      </c>
      <c r="FU215" s="113">
        <v>0</v>
      </c>
      <c r="FV215" s="113">
        <v>0</v>
      </c>
      <c r="FW215" s="113">
        <v>0</v>
      </c>
      <c r="FX215" s="32">
        <v>0</v>
      </c>
      <c r="FY215" s="30">
        <v>0</v>
      </c>
      <c r="FZ215" s="30">
        <v>0</v>
      </c>
    </row>
    <row r="216" spans="1:182" x14ac:dyDescent="0.2">
      <c r="A216" s="28">
        <v>38139</v>
      </c>
      <c r="B216" s="28"/>
      <c r="C216" s="29">
        <v>375652</v>
      </c>
      <c r="D216" s="29">
        <v>232893</v>
      </c>
      <c r="E216" s="29">
        <f t="shared" si="6"/>
        <v>608545</v>
      </c>
      <c r="F216" s="30">
        <v>2189334</v>
      </c>
      <c r="G216" s="30">
        <v>7775</v>
      </c>
      <c r="H216" s="30">
        <f t="shared" si="7"/>
        <v>2197109</v>
      </c>
      <c r="I216" s="42" t="s">
        <v>75</v>
      </c>
      <c r="J216" s="42" t="s">
        <v>75</v>
      </c>
      <c r="K216" s="32">
        <v>3378748</v>
      </c>
      <c r="L216" s="31" t="s">
        <v>75</v>
      </c>
      <c r="M216" s="31" t="s">
        <v>75</v>
      </c>
      <c r="N216" s="30">
        <v>8177483</v>
      </c>
      <c r="O216" s="31" t="s">
        <v>75</v>
      </c>
      <c r="P216" s="31" t="s">
        <v>75</v>
      </c>
      <c r="Q216" s="30">
        <v>12622190</v>
      </c>
      <c r="R216" s="31" t="s">
        <v>75</v>
      </c>
      <c r="S216" s="31" t="s">
        <v>75</v>
      </c>
      <c r="T216" s="32">
        <v>127336</v>
      </c>
      <c r="U216" s="31" t="s">
        <v>75</v>
      </c>
      <c r="V216" s="31" t="s">
        <v>75</v>
      </c>
      <c r="W216" s="30">
        <v>19088</v>
      </c>
      <c r="X216" s="31" t="s">
        <v>75</v>
      </c>
      <c r="Y216" s="31" t="s">
        <v>75</v>
      </c>
      <c r="Z216" s="30">
        <v>65851</v>
      </c>
      <c r="AA216" s="31" t="s">
        <v>75</v>
      </c>
      <c r="AB216" s="31" t="s">
        <v>75</v>
      </c>
      <c r="AC216" s="30">
        <v>153391</v>
      </c>
      <c r="AD216" s="31" t="s">
        <v>75</v>
      </c>
      <c r="AE216" s="31" t="s">
        <v>75</v>
      </c>
      <c r="AF216" s="30">
        <v>4569</v>
      </c>
      <c r="AG216" s="42" t="s">
        <v>75</v>
      </c>
      <c r="AH216" s="42" t="s">
        <v>75</v>
      </c>
      <c r="AI216" s="32">
        <v>24180</v>
      </c>
      <c r="AJ216" s="31" t="s">
        <v>75</v>
      </c>
      <c r="AK216" s="31" t="s">
        <v>75</v>
      </c>
      <c r="AL216" s="31" t="s">
        <v>75</v>
      </c>
      <c r="AM216" s="31"/>
      <c r="AN216" s="31"/>
      <c r="AO216" s="31"/>
      <c r="AP216" s="31"/>
      <c r="AQ216" s="31"/>
      <c r="AR216" s="31"/>
      <c r="AS216" s="31" t="s">
        <v>75</v>
      </c>
      <c r="AT216" s="31" t="s">
        <v>75</v>
      </c>
      <c r="AU216" s="31" t="s">
        <v>75</v>
      </c>
      <c r="AV216" s="31" t="s">
        <v>75</v>
      </c>
      <c r="AW216" s="31" t="s">
        <v>75</v>
      </c>
      <c r="AX216" s="31" t="s">
        <v>75</v>
      </c>
      <c r="AY216" s="31" t="s">
        <v>75</v>
      </c>
      <c r="AZ216" s="31" t="s">
        <v>75</v>
      </c>
      <c r="BA216" s="29">
        <v>10984633</v>
      </c>
      <c r="BB216" s="31" t="s">
        <v>75</v>
      </c>
      <c r="BC216" s="31" t="s">
        <v>75</v>
      </c>
      <c r="BD216" s="29">
        <v>1623809</v>
      </c>
      <c r="BE216" s="113">
        <v>0</v>
      </c>
      <c r="BF216" s="113">
        <v>0</v>
      </c>
      <c r="BG216" s="113">
        <v>0</v>
      </c>
      <c r="BH216" s="113">
        <v>0</v>
      </c>
      <c r="BI216" s="113">
        <v>0</v>
      </c>
      <c r="BJ216" s="113">
        <v>0</v>
      </c>
      <c r="BK216" s="113">
        <v>0</v>
      </c>
      <c r="BL216" s="113">
        <v>0</v>
      </c>
      <c r="BM216" s="113">
        <v>0</v>
      </c>
      <c r="BN216" s="113">
        <v>0</v>
      </c>
      <c r="BO216" s="113">
        <v>0</v>
      </c>
      <c r="BP216" s="113">
        <v>0</v>
      </c>
      <c r="BQ216" s="113">
        <v>0</v>
      </c>
      <c r="BR216" s="113">
        <v>0</v>
      </c>
      <c r="BS216" s="113">
        <v>0</v>
      </c>
      <c r="BT216" s="113">
        <v>0</v>
      </c>
      <c r="BU216" s="113">
        <v>0</v>
      </c>
      <c r="BV216" s="113">
        <v>0</v>
      </c>
      <c r="BW216" s="113"/>
      <c r="BX216" s="113"/>
      <c r="BY216" s="113"/>
      <c r="BZ216" s="113">
        <v>0</v>
      </c>
      <c r="CA216" s="113">
        <v>0</v>
      </c>
      <c r="CB216" s="113">
        <v>0</v>
      </c>
      <c r="CC216" s="113"/>
      <c r="CD216" s="113"/>
      <c r="CE216" s="113"/>
      <c r="CF216" s="113">
        <v>0</v>
      </c>
      <c r="CG216" s="113">
        <v>0</v>
      </c>
      <c r="CH216" s="113">
        <v>0</v>
      </c>
      <c r="CI216" s="113">
        <v>0</v>
      </c>
      <c r="CJ216" s="113">
        <v>0</v>
      </c>
      <c r="CK216" s="113">
        <v>0</v>
      </c>
      <c r="CL216" s="113">
        <v>0</v>
      </c>
      <c r="CM216" s="113">
        <v>0</v>
      </c>
      <c r="CN216" s="113">
        <v>0</v>
      </c>
      <c r="CO216" s="113">
        <v>0</v>
      </c>
      <c r="CP216" s="113">
        <v>0</v>
      </c>
      <c r="CQ216" s="113">
        <v>0</v>
      </c>
      <c r="CR216" s="113">
        <v>0</v>
      </c>
      <c r="CS216" s="113">
        <v>0</v>
      </c>
      <c r="CT216" s="113">
        <v>0</v>
      </c>
      <c r="CU216" s="113">
        <v>0</v>
      </c>
      <c r="CV216" s="113">
        <v>0</v>
      </c>
      <c r="CW216" s="113">
        <v>0</v>
      </c>
      <c r="CX216" s="113">
        <v>0</v>
      </c>
      <c r="CY216" s="113">
        <v>0</v>
      </c>
      <c r="CZ216" s="113">
        <v>0</v>
      </c>
      <c r="DA216" s="113">
        <v>0</v>
      </c>
      <c r="DB216" s="113">
        <v>0</v>
      </c>
      <c r="DC216" s="113">
        <v>0</v>
      </c>
      <c r="DD216" s="113">
        <v>0</v>
      </c>
      <c r="DE216" s="113">
        <v>0</v>
      </c>
      <c r="DF216" s="113">
        <v>0</v>
      </c>
      <c r="DG216" s="113">
        <v>0</v>
      </c>
      <c r="DH216" s="113">
        <v>0</v>
      </c>
      <c r="DI216" s="113">
        <v>0</v>
      </c>
      <c r="DJ216" s="113">
        <v>0</v>
      </c>
      <c r="DK216" s="113">
        <v>0</v>
      </c>
      <c r="DL216" s="113">
        <v>0</v>
      </c>
      <c r="DM216" s="113">
        <v>0</v>
      </c>
      <c r="DN216" s="113">
        <v>0</v>
      </c>
      <c r="DO216" s="113">
        <v>0</v>
      </c>
      <c r="DP216" s="113">
        <v>0</v>
      </c>
      <c r="DQ216" s="113">
        <v>0</v>
      </c>
      <c r="DR216" s="113">
        <v>0</v>
      </c>
      <c r="DS216" s="113">
        <v>0</v>
      </c>
      <c r="DT216" s="113">
        <v>0</v>
      </c>
      <c r="DU216" s="113">
        <v>0</v>
      </c>
      <c r="DV216" s="113">
        <v>0</v>
      </c>
      <c r="DW216" s="113">
        <v>0</v>
      </c>
      <c r="DX216" s="113">
        <v>0</v>
      </c>
      <c r="DY216" s="113">
        <v>0</v>
      </c>
      <c r="DZ216" s="113">
        <v>0</v>
      </c>
      <c r="EA216" s="113">
        <v>0</v>
      </c>
      <c r="EB216" s="113">
        <v>0</v>
      </c>
      <c r="EC216" s="113">
        <v>0</v>
      </c>
      <c r="ED216" s="113">
        <v>0</v>
      </c>
      <c r="EE216" s="113">
        <v>0</v>
      </c>
      <c r="EF216" s="113">
        <v>0</v>
      </c>
      <c r="EG216" s="113">
        <v>0</v>
      </c>
      <c r="EH216" s="113">
        <v>0</v>
      </c>
      <c r="EI216" s="113">
        <v>0</v>
      </c>
      <c r="EJ216" s="113">
        <v>0</v>
      </c>
      <c r="EK216" s="113">
        <v>0</v>
      </c>
      <c r="EL216" s="113">
        <v>0</v>
      </c>
      <c r="EM216" s="113">
        <v>0</v>
      </c>
      <c r="EN216" s="113">
        <v>0</v>
      </c>
      <c r="EO216" s="113">
        <v>0</v>
      </c>
      <c r="EP216" s="113">
        <v>0</v>
      </c>
      <c r="EQ216" s="113">
        <v>0</v>
      </c>
      <c r="ER216" s="113">
        <v>0</v>
      </c>
      <c r="ES216" s="113">
        <v>0</v>
      </c>
      <c r="ET216" s="113">
        <v>0</v>
      </c>
      <c r="EU216" s="113">
        <v>0</v>
      </c>
      <c r="EV216" s="113">
        <v>0</v>
      </c>
      <c r="EW216" s="113">
        <v>0</v>
      </c>
      <c r="EX216" s="113">
        <v>0</v>
      </c>
      <c r="EY216" s="113">
        <v>0</v>
      </c>
      <c r="EZ216" s="113">
        <v>0</v>
      </c>
      <c r="FA216" s="113">
        <v>0</v>
      </c>
      <c r="FB216" s="113">
        <v>0</v>
      </c>
      <c r="FC216" s="113">
        <v>0</v>
      </c>
      <c r="FD216" s="113">
        <v>0</v>
      </c>
      <c r="FE216" s="113">
        <v>0</v>
      </c>
      <c r="FF216" s="113">
        <v>0</v>
      </c>
      <c r="FG216" s="113">
        <v>0</v>
      </c>
      <c r="FH216" s="113">
        <v>0</v>
      </c>
      <c r="FI216" s="113">
        <v>0</v>
      </c>
      <c r="FJ216" s="113">
        <v>0</v>
      </c>
      <c r="FK216" s="113">
        <v>0</v>
      </c>
      <c r="FL216" s="113">
        <v>0</v>
      </c>
      <c r="FM216" s="113">
        <v>0</v>
      </c>
      <c r="FN216" s="113">
        <v>0</v>
      </c>
      <c r="FO216" s="113">
        <v>0</v>
      </c>
      <c r="FP216" s="113">
        <v>0</v>
      </c>
      <c r="FQ216" s="113">
        <v>0</v>
      </c>
      <c r="FR216" s="113">
        <v>0</v>
      </c>
      <c r="FS216" s="113">
        <v>0</v>
      </c>
      <c r="FT216" s="113">
        <v>0</v>
      </c>
      <c r="FU216" s="113">
        <v>0</v>
      </c>
      <c r="FV216" s="113">
        <v>0</v>
      </c>
      <c r="FW216" s="113">
        <v>0</v>
      </c>
      <c r="FX216" s="32">
        <v>0</v>
      </c>
      <c r="FY216" s="30">
        <v>0</v>
      </c>
      <c r="FZ216" s="30">
        <v>0</v>
      </c>
    </row>
    <row r="217" spans="1:182" x14ac:dyDescent="0.2">
      <c r="A217" s="28">
        <v>38169</v>
      </c>
      <c r="B217" s="28"/>
      <c r="C217" s="29">
        <v>146082</v>
      </c>
      <c r="D217" s="29">
        <v>72009</v>
      </c>
      <c r="E217" s="29">
        <f t="shared" si="6"/>
        <v>218091</v>
      </c>
      <c r="F217" s="30">
        <v>2720834</v>
      </c>
      <c r="G217" s="30">
        <v>2204</v>
      </c>
      <c r="H217" s="30">
        <f t="shared" si="7"/>
        <v>2723038</v>
      </c>
      <c r="I217" s="42" t="s">
        <v>75</v>
      </c>
      <c r="J217" s="42" t="s">
        <v>75</v>
      </c>
      <c r="K217" s="32">
        <v>3718584</v>
      </c>
      <c r="L217" s="31" t="s">
        <v>75</v>
      </c>
      <c r="M217" s="31" t="s">
        <v>75</v>
      </c>
      <c r="N217" s="30">
        <v>10199605</v>
      </c>
      <c r="O217" s="31" t="s">
        <v>75</v>
      </c>
      <c r="P217" s="31" t="s">
        <v>75</v>
      </c>
      <c r="Q217" s="30">
        <v>11302723</v>
      </c>
      <c r="R217" s="31" t="s">
        <v>75</v>
      </c>
      <c r="S217" s="31" t="s">
        <v>75</v>
      </c>
      <c r="T217" s="32">
        <v>125401</v>
      </c>
      <c r="U217" s="31" t="s">
        <v>75</v>
      </c>
      <c r="V217" s="31" t="s">
        <v>75</v>
      </c>
      <c r="W217" s="30">
        <v>2521</v>
      </c>
      <c r="X217" s="31" t="s">
        <v>75</v>
      </c>
      <c r="Y217" s="31" t="s">
        <v>75</v>
      </c>
      <c r="Z217" s="30">
        <v>39075</v>
      </c>
      <c r="AA217" s="31" t="s">
        <v>75</v>
      </c>
      <c r="AB217" s="31" t="s">
        <v>75</v>
      </c>
      <c r="AC217" s="30">
        <v>90576</v>
      </c>
      <c r="AD217" s="31" t="s">
        <v>75</v>
      </c>
      <c r="AE217" s="31" t="s">
        <v>75</v>
      </c>
      <c r="AF217" s="30">
        <v>1231</v>
      </c>
      <c r="AG217" s="42" t="s">
        <v>75</v>
      </c>
      <c r="AH217" s="42" t="s">
        <v>75</v>
      </c>
      <c r="AI217" s="32">
        <v>15280</v>
      </c>
      <c r="AJ217" s="31" t="s">
        <v>75</v>
      </c>
      <c r="AK217" s="31" t="s">
        <v>75</v>
      </c>
      <c r="AL217" s="31" t="s">
        <v>75</v>
      </c>
      <c r="AM217" s="31"/>
      <c r="AN217" s="31"/>
      <c r="AO217" s="31"/>
      <c r="AP217" s="31"/>
      <c r="AQ217" s="31"/>
      <c r="AR217" s="31"/>
      <c r="AS217" s="31" t="s">
        <v>75</v>
      </c>
      <c r="AT217" s="31" t="s">
        <v>75</v>
      </c>
      <c r="AU217" s="31" t="s">
        <v>75</v>
      </c>
      <c r="AV217" s="31" t="s">
        <v>75</v>
      </c>
      <c r="AW217" s="31" t="s">
        <v>75</v>
      </c>
      <c r="AX217" s="31" t="s">
        <v>75</v>
      </c>
      <c r="AY217" s="31" t="s">
        <v>75</v>
      </c>
      <c r="AZ217" s="31" t="s">
        <v>75</v>
      </c>
      <c r="BA217" s="29">
        <v>11787111</v>
      </c>
      <c r="BB217" s="31" t="s">
        <v>75</v>
      </c>
      <c r="BC217" s="31" t="s">
        <v>75</v>
      </c>
      <c r="BD217" s="29">
        <v>1553896</v>
      </c>
      <c r="BE217" s="113">
        <v>0</v>
      </c>
      <c r="BF217" s="113">
        <v>0</v>
      </c>
      <c r="BG217" s="113">
        <v>0</v>
      </c>
      <c r="BH217" s="113">
        <v>0</v>
      </c>
      <c r="BI217" s="113">
        <v>0</v>
      </c>
      <c r="BJ217" s="113">
        <v>0</v>
      </c>
      <c r="BK217" s="113">
        <v>0</v>
      </c>
      <c r="BL217" s="113">
        <v>0</v>
      </c>
      <c r="BM217" s="113">
        <v>0</v>
      </c>
      <c r="BN217" s="113">
        <v>0</v>
      </c>
      <c r="BO217" s="113">
        <v>0</v>
      </c>
      <c r="BP217" s="113">
        <v>0</v>
      </c>
      <c r="BQ217" s="113">
        <v>0</v>
      </c>
      <c r="BR217" s="113">
        <v>0</v>
      </c>
      <c r="BS217" s="113">
        <v>0</v>
      </c>
      <c r="BT217" s="113">
        <v>0</v>
      </c>
      <c r="BU217" s="113">
        <v>0</v>
      </c>
      <c r="BV217" s="113">
        <v>0</v>
      </c>
      <c r="BW217" s="113"/>
      <c r="BX217" s="113"/>
      <c r="BY217" s="113"/>
      <c r="BZ217" s="113">
        <v>0</v>
      </c>
      <c r="CA217" s="113">
        <v>0</v>
      </c>
      <c r="CB217" s="113">
        <v>0</v>
      </c>
      <c r="CC217" s="113"/>
      <c r="CD217" s="113"/>
      <c r="CE217" s="113"/>
      <c r="CF217" s="113">
        <v>0</v>
      </c>
      <c r="CG217" s="113">
        <v>0</v>
      </c>
      <c r="CH217" s="113">
        <v>0</v>
      </c>
      <c r="CI217" s="113">
        <v>0</v>
      </c>
      <c r="CJ217" s="113">
        <v>0</v>
      </c>
      <c r="CK217" s="113">
        <v>0</v>
      </c>
      <c r="CL217" s="113">
        <v>0</v>
      </c>
      <c r="CM217" s="113">
        <v>0</v>
      </c>
      <c r="CN217" s="113">
        <v>0</v>
      </c>
      <c r="CO217" s="113">
        <v>0</v>
      </c>
      <c r="CP217" s="113">
        <v>0</v>
      </c>
      <c r="CQ217" s="113">
        <v>0</v>
      </c>
      <c r="CR217" s="113">
        <v>0</v>
      </c>
      <c r="CS217" s="113">
        <v>0</v>
      </c>
      <c r="CT217" s="113">
        <v>0</v>
      </c>
      <c r="CU217" s="113">
        <v>0</v>
      </c>
      <c r="CV217" s="113">
        <v>0</v>
      </c>
      <c r="CW217" s="113">
        <v>0</v>
      </c>
      <c r="CX217" s="113">
        <v>0</v>
      </c>
      <c r="CY217" s="113">
        <v>0</v>
      </c>
      <c r="CZ217" s="113">
        <v>0</v>
      </c>
      <c r="DA217" s="113">
        <v>0</v>
      </c>
      <c r="DB217" s="113">
        <v>0</v>
      </c>
      <c r="DC217" s="113">
        <v>0</v>
      </c>
      <c r="DD217" s="113">
        <v>0</v>
      </c>
      <c r="DE217" s="113">
        <v>0</v>
      </c>
      <c r="DF217" s="113">
        <v>0</v>
      </c>
      <c r="DG217" s="113">
        <v>0</v>
      </c>
      <c r="DH217" s="113">
        <v>0</v>
      </c>
      <c r="DI217" s="113">
        <v>0</v>
      </c>
      <c r="DJ217" s="113">
        <v>0</v>
      </c>
      <c r="DK217" s="113">
        <v>0</v>
      </c>
      <c r="DL217" s="113">
        <v>0</v>
      </c>
      <c r="DM217" s="113">
        <v>0</v>
      </c>
      <c r="DN217" s="113">
        <v>0</v>
      </c>
      <c r="DO217" s="113">
        <v>0</v>
      </c>
      <c r="DP217" s="113">
        <v>0</v>
      </c>
      <c r="DQ217" s="113">
        <v>0</v>
      </c>
      <c r="DR217" s="113">
        <v>0</v>
      </c>
      <c r="DS217" s="113">
        <v>0</v>
      </c>
      <c r="DT217" s="113">
        <v>0</v>
      </c>
      <c r="DU217" s="113">
        <v>0</v>
      </c>
      <c r="DV217" s="113">
        <v>0</v>
      </c>
      <c r="DW217" s="113">
        <v>0</v>
      </c>
      <c r="DX217" s="113">
        <v>0</v>
      </c>
      <c r="DY217" s="113">
        <v>0</v>
      </c>
      <c r="DZ217" s="113">
        <v>0</v>
      </c>
      <c r="EA217" s="113">
        <v>0</v>
      </c>
      <c r="EB217" s="113">
        <v>0</v>
      </c>
      <c r="EC217" s="113">
        <v>0</v>
      </c>
      <c r="ED217" s="113">
        <v>0</v>
      </c>
      <c r="EE217" s="113">
        <v>0</v>
      </c>
      <c r="EF217" s="113">
        <v>0</v>
      </c>
      <c r="EG217" s="113">
        <v>0</v>
      </c>
      <c r="EH217" s="113">
        <v>0</v>
      </c>
      <c r="EI217" s="113">
        <v>0</v>
      </c>
      <c r="EJ217" s="113">
        <v>0</v>
      </c>
      <c r="EK217" s="113">
        <v>0</v>
      </c>
      <c r="EL217" s="113">
        <v>0</v>
      </c>
      <c r="EM217" s="113">
        <v>0</v>
      </c>
      <c r="EN217" s="113">
        <v>0</v>
      </c>
      <c r="EO217" s="113">
        <v>0</v>
      </c>
      <c r="EP217" s="113">
        <v>0</v>
      </c>
      <c r="EQ217" s="113">
        <v>0</v>
      </c>
      <c r="ER217" s="113">
        <v>0</v>
      </c>
      <c r="ES217" s="113">
        <v>0</v>
      </c>
      <c r="ET217" s="113">
        <v>0</v>
      </c>
      <c r="EU217" s="113">
        <v>0</v>
      </c>
      <c r="EV217" s="113">
        <v>0</v>
      </c>
      <c r="EW217" s="113">
        <v>0</v>
      </c>
      <c r="EX217" s="113">
        <v>0</v>
      </c>
      <c r="EY217" s="113">
        <v>0</v>
      </c>
      <c r="EZ217" s="113">
        <v>0</v>
      </c>
      <c r="FA217" s="113">
        <v>0</v>
      </c>
      <c r="FB217" s="113">
        <v>0</v>
      </c>
      <c r="FC217" s="113">
        <v>0</v>
      </c>
      <c r="FD217" s="113">
        <v>0</v>
      </c>
      <c r="FE217" s="113">
        <v>0</v>
      </c>
      <c r="FF217" s="113">
        <v>0</v>
      </c>
      <c r="FG217" s="113">
        <v>0</v>
      </c>
      <c r="FH217" s="113">
        <v>0</v>
      </c>
      <c r="FI217" s="113">
        <v>0</v>
      </c>
      <c r="FJ217" s="113">
        <v>0</v>
      </c>
      <c r="FK217" s="113">
        <v>0</v>
      </c>
      <c r="FL217" s="113">
        <v>0</v>
      </c>
      <c r="FM217" s="113">
        <v>0</v>
      </c>
      <c r="FN217" s="113">
        <v>0</v>
      </c>
      <c r="FO217" s="113">
        <v>0</v>
      </c>
      <c r="FP217" s="113">
        <v>0</v>
      </c>
      <c r="FQ217" s="113">
        <v>0</v>
      </c>
      <c r="FR217" s="113">
        <v>0</v>
      </c>
      <c r="FS217" s="113">
        <v>0</v>
      </c>
      <c r="FT217" s="113">
        <v>0</v>
      </c>
      <c r="FU217" s="113">
        <v>0</v>
      </c>
      <c r="FV217" s="113">
        <v>0</v>
      </c>
      <c r="FW217" s="113">
        <v>0</v>
      </c>
      <c r="FX217" s="32">
        <v>0</v>
      </c>
      <c r="FY217" s="30">
        <v>0</v>
      </c>
      <c r="FZ217" s="30">
        <v>0</v>
      </c>
    </row>
    <row r="218" spans="1:182" x14ac:dyDescent="0.2">
      <c r="A218" s="28">
        <v>38200</v>
      </c>
      <c r="B218" s="28"/>
      <c r="C218" s="29">
        <v>203914</v>
      </c>
      <c r="D218" s="29">
        <v>74338</v>
      </c>
      <c r="E218" s="29">
        <f t="shared" si="6"/>
        <v>278252</v>
      </c>
      <c r="F218" s="30">
        <v>3312767</v>
      </c>
      <c r="G218" s="30">
        <v>14</v>
      </c>
      <c r="H218" s="30">
        <f t="shared" si="7"/>
        <v>3312781</v>
      </c>
      <c r="I218" s="42" t="s">
        <v>75</v>
      </c>
      <c r="J218" s="42" t="s">
        <v>75</v>
      </c>
      <c r="K218" s="32">
        <v>3852705</v>
      </c>
      <c r="L218" s="31" t="s">
        <v>75</v>
      </c>
      <c r="M218" s="31" t="s">
        <v>75</v>
      </c>
      <c r="N218" s="30">
        <v>9644012</v>
      </c>
      <c r="O218" s="31" t="s">
        <v>75</v>
      </c>
      <c r="P218" s="31" t="s">
        <v>75</v>
      </c>
      <c r="Q218" s="30">
        <v>10802433</v>
      </c>
      <c r="R218" s="31" t="s">
        <v>75</v>
      </c>
      <c r="S218" s="31" t="s">
        <v>75</v>
      </c>
      <c r="T218" s="32">
        <v>108597</v>
      </c>
      <c r="U218" s="31" t="s">
        <v>75</v>
      </c>
      <c r="V218" s="31" t="s">
        <v>75</v>
      </c>
      <c r="W218" s="30">
        <v>19882</v>
      </c>
      <c r="X218" s="31" t="s">
        <v>75</v>
      </c>
      <c r="Y218" s="31" t="s">
        <v>75</v>
      </c>
      <c r="Z218" s="30">
        <v>41366</v>
      </c>
      <c r="AA218" s="31" t="s">
        <v>75</v>
      </c>
      <c r="AB218" s="31" t="s">
        <v>75</v>
      </c>
      <c r="AC218" s="30">
        <v>95163</v>
      </c>
      <c r="AD218" s="31" t="s">
        <v>75</v>
      </c>
      <c r="AE218" s="31" t="s">
        <v>75</v>
      </c>
      <c r="AF218" s="30">
        <v>475</v>
      </c>
      <c r="AG218" s="42" t="s">
        <v>75</v>
      </c>
      <c r="AH218" s="42" t="s">
        <v>75</v>
      </c>
      <c r="AI218" s="32">
        <v>19297</v>
      </c>
      <c r="AJ218" s="31" t="s">
        <v>75</v>
      </c>
      <c r="AK218" s="31" t="s">
        <v>75</v>
      </c>
      <c r="AL218" s="31" t="s">
        <v>75</v>
      </c>
      <c r="AM218" s="31"/>
      <c r="AN218" s="31"/>
      <c r="AO218" s="31"/>
      <c r="AP218" s="31"/>
      <c r="AQ218" s="31"/>
      <c r="AR218" s="31"/>
      <c r="AS218" s="31" t="s">
        <v>75</v>
      </c>
      <c r="AT218" s="31" t="s">
        <v>75</v>
      </c>
      <c r="AU218" s="31" t="s">
        <v>75</v>
      </c>
      <c r="AV218" s="31" t="s">
        <v>75</v>
      </c>
      <c r="AW218" s="31" t="s">
        <v>75</v>
      </c>
      <c r="AX218" s="31" t="s">
        <v>75</v>
      </c>
      <c r="AY218" s="31" t="s">
        <v>75</v>
      </c>
      <c r="AZ218" s="31" t="s">
        <v>75</v>
      </c>
      <c r="BA218" s="29">
        <v>12048276</v>
      </c>
      <c r="BB218" s="31" t="s">
        <v>75</v>
      </c>
      <c r="BC218" s="31" t="s">
        <v>75</v>
      </c>
      <c r="BD218" s="29">
        <v>1593019</v>
      </c>
      <c r="BE218" s="113">
        <v>0</v>
      </c>
      <c r="BF218" s="113">
        <v>0</v>
      </c>
      <c r="BG218" s="113">
        <v>0</v>
      </c>
      <c r="BH218" s="113">
        <v>0</v>
      </c>
      <c r="BI218" s="113">
        <v>0</v>
      </c>
      <c r="BJ218" s="113">
        <v>0</v>
      </c>
      <c r="BK218" s="113">
        <v>0</v>
      </c>
      <c r="BL218" s="113">
        <v>0</v>
      </c>
      <c r="BM218" s="113">
        <v>0</v>
      </c>
      <c r="BN218" s="113">
        <v>0</v>
      </c>
      <c r="BO218" s="113">
        <v>0</v>
      </c>
      <c r="BP218" s="113">
        <v>0</v>
      </c>
      <c r="BQ218" s="113">
        <v>0</v>
      </c>
      <c r="BR218" s="113">
        <v>0</v>
      </c>
      <c r="BS218" s="113">
        <v>0</v>
      </c>
      <c r="BT218" s="113">
        <v>0</v>
      </c>
      <c r="BU218" s="113">
        <v>0</v>
      </c>
      <c r="BV218" s="113">
        <v>0</v>
      </c>
      <c r="BW218" s="113"/>
      <c r="BX218" s="113"/>
      <c r="BY218" s="113"/>
      <c r="BZ218" s="113">
        <v>0</v>
      </c>
      <c r="CA218" s="113">
        <v>0</v>
      </c>
      <c r="CB218" s="113">
        <v>0</v>
      </c>
      <c r="CC218" s="113"/>
      <c r="CD218" s="113"/>
      <c r="CE218" s="113"/>
      <c r="CF218" s="113">
        <v>0</v>
      </c>
      <c r="CG218" s="113">
        <v>0</v>
      </c>
      <c r="CH218" s="113">
        <v>0</v>
      </c>
      <c r="CI218" s="113">
        <v>0</v>
      </c>
      <c r="CJ218" s="113">
        <v>0</v>
      </c>
      <c r="CK218" s="113">
        <v>0</v>
      </c>
      <c r="CL218" s="113">
        <v>0</v>
      </c>
      <c r="CM218" s="113">
        <v>0</v>
      </c>
      <c r="CN218" s="113">
        <v>0</v>
      </c>
      <c r="CO218" s="113">
        <v>0</v>
      </c>
      <c r="CP218" s="113">
        <v>0</v>
      </c>
      <c r="CQ218" s="113">
        <v>0</v>
      </c>
      <c r="CR218" s="113">
        <v>0</v>
      </c>
      <c r="CS218" s="113">
        <v>0</v>
      </c>
      <c r="CT218" s="113">
        <v>0</v>
      </c>
      <c r="CU218" s="113">
        <v>0</v>
      </c>
      <c r="CV218" s="113">
        <v>0</v>
      </c>
      <c r="CW218" s="113">
        <v>0</v>
      </c>
      <c r="CX218" s="113">
        <v>0</v>
      </c>
      <c r="CY218" s="113">
        <v>0</v>
      </c>
      <c r="CZ218" s="113">
        <v>0</v>
      </c>
      <c r="DA218" s="113">
        <v>0</v>
      </c>
      <c r="DB218" s="113">
        <v>0</v>
      </c>
      <c r="DC218" s="113">
        <v>0</v>
      </c>
      <c r="DD218" s="113">
        <v>0</v>
      </c>
      <c r="DE218" s="113">
        <v>0</v>
      </c>
      <c r="DF218" s="113">
        <v>0</v>
      </c>
      <c r="DG218" s="113">
        <v>0</v>
      </c>
      <c r="DH218" s="113">
        <v>0</v>
      </c>
      <c r="DI218" s="113">
        <v>0</v>
      </c>
      <c r="DJ218" s="113">
        <v>0</v>
      </c>
      <c r="DK218" s="113">
        <v>0</v>
      </c>
      <c r="DL218" s="113">
        <v>0</v>
      </c>
      <c r="DM218" s="113">
        <v>0</v>
      </c>
      <c r="DN218" s="113">
        <v>0</v>
      </c>
      <c r="DO218" s="113">
        <v>0</v>
      </c>
      <c r="DP218" s="113">
        <v>0</v>
      </c>
      <c r="DQ218" s="113">
        <v>0</v>
      </c>
      <c r="DR218" s="113">
        <v>0</v>
      </c>
      <c r="DS218" s="113">
        <v>0</v>
      </c>
      <c r="DT218" s="113">
        <v>0</v>
      </c>
      <c r="DU218" s="113">
        <v>0</v>
      </c>
      <c r="DV218" s="113">
        <v>0</v>
      </c>
      <c r="DW218" s="113">
        <v>0</v>
      </c>
      <c r="DX218" s="113">
        <v>0</v>
      </c>
      <c r="DY218" s="113">
        <v>0</v>
      </c>
      <c r="DZ218" s="113">
        <v>0</v>
      </c>
      <c r="EA218" s="113">
        <v>0</v>
      </c>
      <c r="EB218" s="113">
        <v>0</v>
      </c>
      <c r="EC218" s="113">
        <v>0</v>
      </c>
      <c r="ED218" s="113">
        <v>0</v>
      </c>
      <c r="EE218" s="113">
        <v>0</v>
      </c>
      <c r="EF218" s="113">
        <v>0</v>
      </c>
      <c r="EG218" s="113">
        <v>0</v>
      </c>
      <c r="EH218" s="113">
        <v>0</v>
      </c>
      <c r="EI218" s="113">
        <v>0</v>
      </c>
      <c r="EJ218" s="113">
        <v>0</v>
      </c>
      <c r="EK218" s="113">
        <v>0</v>
      </c>
      <c r="EL218" s="113">
        <v>0</v>
      </c>
      <c r="EM218" s="113">
        <v>0</v>
      </c>
      <c r="EN218" s="113">
        <v>0</v>
      </c>
      <c r="EO218" s="113">
        <v>0</v>
      </c>
      <c r="EP218" s="113">
        <v>0</v>
      </c>
      <c r="EQ218" s="113">
        <v>0</v>
      </c>
      <c r="ER218" s="113">
        <v>0</v>
      </c>
      <c r="ES218" s="113">
        <v>0</v>
      </c>
      <c r="ET218" s="113">
        <v>0</v>
      </c>
      <c r="EU218" s="113">
        <v>0</v>
      </c>
      <c r="EV218" s="113">
        <v>0</v>
      </c>
      <c r="EW218" s="113">
        <v>0</v>
      </c>
      <c r="EX218" s="113">
        <v>0</v>
      </c>
      <c r="EY218" s="113">
        <v>0</v>
      </c>
      <c r="EZ218" s="113">
        <v>0</v>
      </c>
      <c r="FA218" s="113">
        <v>0</v>
      </c>
      <c r="FB218" s="113">
        <v>0</v>
      </c>
      <c r="FC218" s="113">
        <v>0</v>
      </c>
      <c r="FD218" s="113">
        <v>0</v>
      </c>
      <c r="FE218" s="113">
        <v>0</v>
      </c>
      <c r="FF218" s="113">
        <v>0</v>
      </c>
      <c r="FG218" s="113">
        <v>0</v>
      </c>
      <c r="FH218" s="113">
        <v>0</v>
      </c>
      <c r="FI218" s="113">
        <v>0</v>
      </c>
      <c r="FJ218" s="113">
        <v>0</v>
      </c>
      <c r="FK218" s="113">
        <v>0</v>
      </c>
      <c r="FL218" s="113">
        <v>0</v>
      </c>
      <c r="FM218" s="113">
        <v>0</v>
      </c>
      <c r="FN218" s="113">
        <v>0</v>
      </c>
      <c r="FO218" s="113">
        <v>0</v>
      </c>
      <c r="FP218" s="113">
        <v>0</v>
      </c>
      <c r="FQ218" s="113">
        <v>0</v>
      </c>
      <c r="FR218" s="113">
        <v>0</v>
      </c>
      <c r="FS218" s="113">
        <v>0</v>
      </c>
      <c r="FT218" s="113">
        <v>0</v>
      </c>
      <c r="FU218" s="113">
        <v>0</v>
      </c>
      <c r="FV218" s="113">
        <v>0</v>
      </c>
      <c r="FW218" s="113">
        <v>0</v>
      </c>
      <c r="FX218" s="32">
        <v>0</v>
      </c>
      <c r="FY218" s="30">
        <v>0</v>
      </c>
      <c r="FZ218" s="30">
        <v>0</v>
      </c>
    </row>
    <row r="219" spans="1:182" x14ac:dyDescent="0.2">
      <c r="A219" s="28">
        <v>38231</v>
      </c>
      <c r="B219" s="28"/>
      <c r="C219" s="29">
        <v>143748</v>
      </c>
      <c r="D219" s="29">
        <v>50398</v>
      </c>
      <c r="E219" s="29">
        <f t="shared" si="6"/>
        <v>194146</v>
      </c>
      <c r="F219" s="30">
        <v>3781732</v>
      </c>
      <c r="G219" s="30">
        <v>412</v>
      </c>
      <c r="H219" s="30">
        <f t="shared" si="7"/>
        <v>3782144</v>
      </c>
      <c r="I219" s="42" t="s">
        <v>75</v>
      </c>
      <c r="J219" s="42" t="s">
        <v>75</v>
      </c>
      <c r="K219" s="32">
        <v>4519595</v>
      </c>
      <c r="L219" s="31" t="s">
        <v>75</v>
      </c>
      <c r="M219" s="31" t="s">
        <v>75</v>
      </c>
      <c r="N219" s="30">
        <v>10296069</v>
      </c>
      <c r="O219" s="31" t="s">
        <v>75</v>
      </c>
      <c r="P219" s="31" t="s">
        <v>75</v>
      </c>
      <c r="Q219" s="30">
        <v>12402880</v>
      </c>
      <c r="R219" s="31" t="s">
        <v>75</v>
      </c>
      <c r="S219" s="31" t="s">
        <v>75</v>
      </c>
      <c r="T219" s="32">
        <v>108501</v>
      </c>
      <c r="U219" s="31" t="s">
        <v>75</v>
      </c>
      <c r="V219" s="31" t="s">
        <v>75</v>
      </c>
      <c r="W219" s="30">
        <v>22149</v>
      </c>
      <c r="X219" s="31" t="s">
        <v>75</v>
      </c>
      <c r="Y219" s="31" t="s">
        <v>75</v>
      </c>
      <c r="Z219" s="30">
        <v>65382</v>
      </c>
      <c r="AA219" s="31" t="s">
        <v>75</v>
      </c>
      <c r="AB219" s="31" t="s">
        <v>75</v>
      </c>
      <c r="AC219" s="30">
        <v>108577</v>
      </c>
      <c r="AD219" s="31" t="s">
        <v>75</v>
      </c>
      <c r="AE219" s="31" t="s">
        <v>75</v>
      </c>
      <c r="AF219" s="30">
        <v>2704</v>
      </c>
      <c r="AG219" s="42" t="s">
        <v>75</v>
      </c>
      <c r="AH219" s="42" t="s">
        <v>75</v>
      </c>
      <c r="AI219" s="32">
        <v>13143</v>
      </c>
      <c r="AJ219" s="31" t="s">
        <v>75</v>
      </c>
      <c r="AK219" s="31" t="s">
        <v>75</v>
      </c>
      <c r="AL219" s="31" t="s">
        <v>75</v>
      </c>
      <c r="AM219" s="31"/>
      <c r="AN219" s="31"/>
      <c r="AO219" s="31"/>
      <c r="AP219" s="31"/>
      <c r="AQ219" s="31"/>
      <c r="AR219" s="31"/>
      <c r="AS219" s="31" t="s">
        <v>75</v>
      </c>
      <c r="AT219" s="31" t="s">
        <v>75</v>
      </c>
      <c r="AU219" s="31" t="s">
        <v>75</v>
      </c>
      <c r="AV219" s="31" t="s">
        <v>75</v>
      </c>
      <c r="AW219" s="31" t="s">
        <v>75</v>
      </c>
      <c r="AX219" s="31" t="s">
        <v>75</v>
      </c>
      <c r="AY219" s="31" t="s">
        <v>75</v>
      </c>
      <c r="AZ219" s="31" t="s">
        <v>75</v>
      </c>
      <c r="BA219" s="29">
        <v>12416884</v>
      </c>
      <c r="BB219" s="31" t="s">
        <v>75</v>
      </c>
      <c r="BC219" s="31" t="s">
        <v>75</v>
      </c>
      <c r="BD219" s="29">
        <v>1754553</v>
      </c>
      <c r="BE219" s="113">
        <v>0</v>
      </c>
      <c r="BF219" s="113">
        <v>0</v>
      </c>
      <c r="BG219" s="113">
        <v>0</v>
      </c>
      <c r="BH219" s="113">
        <v>0</v>
      </c>
      <c r="BI219" s="113">
        <v>0</v>
      </c>
      <c r="BJ219" s="113">
        <v>0</v>
      </c>
      <c r="BK219" s="113">
        <v>0</v>
      </c>
      <c r="BL219" s="113">
        <v>0</v>
      </c>
      <c r="BM219" s="113">
        <v>0</v>
      </c>
      <c r="BN219" s="113">
        <v>0</v>
      </c>
      <c r="BO219" s="113">
        <v>0</v>
      </c>
      <c r="BP219" s="113">
        <v>0</v>
      </c>
      <c r="BQ219" s="113">
        <v>0</v>
      </c>
      <c r="BR219" s="113">
        <v>0</v>
      </c>
      <c r="BS219" s="113">
        <v>0</v>
      </c>
      <c r="BT219" s="113">
        <v>0</v>
      </c>
      <c r="BU219" s="113">
        <v>0</v>
      </c>
      <c r="BV219" s="113">
        <v>0</v>
      </c>
      <c r="BW219" s="113"/>
      <c r="BX219" s="113"/>
      <c r="BY219" s="113"/>
      <c r="BZ219" s="113">
        <v>0</v>
      </c>
      <c r="CA219" s="113">
        <v>0</v>
      </c>
      <c r="CB219" s="113">
        <v>0</v>
      </c>
      <c r="CC219" s="113"/>
      <c r="CD219" s="113"/>
      <c r="CE219" s="113"/>
      <c r="CF219" s="113">
        <v>0</v>
      </c>
      <c r="CG219" s="113">
        <v>0</v>
      </c>
      <c r="CH219" s="113">
        <v>0</v>
      </c>
      <c r="CI219" s="113">
        <v>0</v>
      </c>
      <c r="CJ219" s="113">
        <v>0</v>
      </c>
      <c r="CK219" s="113">
        <v>0</v>
      </c>
      <c r="CL219" s="113">
        <v>0</v>
      </c>
      <c r="CM219" s="113">
        <v>0</v>
      </c>
      <c r="CN219" s="113">
        <v>0</v>
      </c>
      <c r="CO219" s="113">
        <v>0</v>
      </c>
      <c r="CP219" s="113">
        <v>0</v>
      </c>
      <c r="CQ219" s="113">
        <v>0</v>
      </c>
      <c r="CR219" s="113">
        <v>0</v>
      </c>
      <c r="CS219" s="113">
        <v>0</v>
      </c>
      <c r="CT219" s="113">
        <v>0</v>
      </c>
      <c r="CU219" s="113">
        <v>0</v>
      </c>
      <c r="CV219" s="113">
        <v>0</v>
      </c>
      <c r="CW219" s="113">
        <v>0</v>
      </c>
      <c r="CX219" s="113">
        <v>0</v>
      </c>
      <c r="CY219" s="113">
        <v>0</v>
      </c>
      <c r="CZ219" s="113">
        <v>0</v>
      </c>
      <c r="DA219" s="113">
        <v>0</v>
      </c>
      <c r="DB219" s="113">
        <v>0</v>
      </c>
      <c r="DC219" s="113">
        <v>0</v>
      </c>
      <c r="DD219" s="113">
        <v>0</v>
      </c>
      <c r="DE219" s="113">
        <v>0</v>
      </c>
      <c r="DF219" s="113">
        <v>0</v>
      </c>
      <c r="DG219" s="113">
        <v>0</v>
      </c>
      <c r="DH219" s="113">
        <v>0</v>
      </c>
      <c r="DI219" s="113">
        <v>0</v>
      </c>
      <c r="DJ219" s="113">
        <v>0</v>
      </c>
      <c r="DK219" s="113">
        <v>0</v>
      </c>
      <c r="DL219" s="113">
        <v>0</v>
      </c>
      <c r="DM219" s="113">
        <v>0</v>
      </c>
      <c r="DN219" s="113">
        <v>0</v>
      </c>
      <c r="DO219" s="113">
        <v>0</v>
      </c>
      <c r="DP219" s="113">
        <v>0</v>
      </c>
      <c r="DQ219" s="113">
        <v>0</v>
      </c>
      <c r="DR219" s="113">
        <v>0</v>
      </c>
      <c r="DS219" s="113">
        <v>0</v>
      </c>
      <c r="DT219" s="113">
        <v>0</v>
      </c>
      <c r="DU219" s="113">
        <v>0</v>
      </c>
      <c r="DV219" s="113">
        <v>0</v>
      </c>
      <c r="DW219" s="113">
        <v>0</v>
      </c>
      <c r="DX219" s="113">
        <v>0</v>
      </c>
      <c r="DY219" s="113">
        <v>0</v>
      </c>
      <c r="DZ219" s="113">
        <v>0</v>
      </c>
      <c r="EA219" s="113">
        <v>0</v>
      </c>
      <c r="EB219" s="113">
        <v>0</v>
      </c>
      <c r="EC219" s="113">
        <v>0</v>
      </c>
      <c r="ED219" s="113">
        <v>0</v>
      </c>
      <c r="EE219" s="113">
        <v>0</v>
      </c>
      <c r="EF219" s="113">
        <v>0</v>
      </c>
      <c r="EG219" s="113">
        <v>0</v>
      </c>
      <c r="EH219" s="113">
        <v>0</v>
      </c>
      <c r="EI219" s="113">
        <v>0</v>
      </c>
      <c r="EJ219" s="113">
        <v>0</v>
      </c>
      <c r="EK219" s="113">
        <v>0</v>
      </c>
      <c r="EL219" s="113">
        <v>0</v>
      </c>
      <c r="EM219" s="113">
        <v>0</v>
      </c>
      <c r="EN219" s="113">
        <v>0</v>
      </c>
      <c r="EO219" s="113">
        <v>0</v>
      </c>
      <c r="EP219" s="113">
        <v>0</v>
      </c>
      <c r="EQ219" s="113">
        <v>0</v>
      </c>
      <c r="ER219" s="113">
        <v>0</v>
      </c>
      <c r="ES219" s="113">
        <v>0</v>
      </c>
      <c r="ET219" s="113">
        <v>0</v>
      </c>
      <c r="EU219" s="113">
        <v>0</v>
      </c>
      <c r="EV219" s="113">
        <v>0</v>
      </c>
      <c r="EW219" s="113">
        <v>0</v>
      </c>
      <c r="EX219" s="113">
        <v>0</v>
      </c>
      <c r="EY219" s="113">
        <v>0</v>
      </c>
      <c r="EZ219" s="113">
        <v>0</v>
      </c>
      <c r="FA219" s="113">
        <v>0</v>
      </c>
      <c r="FB219" s="113">
        <v>0</v>
      </c>
      <c r="FC219" s="113">
        <v>0</v>
      </c>
      <c r="FD219" s="113">
        <v>0</v>
      </c>
      <c r="FE219" s="113">
        <v>0</v>
      </c>
      <c r="FF219" s="113">
        <v>0</v>
      </c>
      <c r="FG219" s="113">
        <v>0</v>
      </c>
      <c r="FH219" s="113">
        <v>0</v>
      </c>
      <c r="FI219" s="113">
        <v>0</v>
      </c>
      <c r="FJ219" s="113">
        <v>0</v>
      </c>
      <c r="FK219" s="113">
        <v>0</v>
      </c>
      <c r="FL219" s="113">
        <v>0</v>
      </c>
      <c r="FM219" s="113">
        <v>0</v>
      </c>
      <c r="FN219" s="113">
        <v>0</v>
      </c>
      <c r="FO219" s="113">
        <v>0</v>
      </c>
      <c r="FP219" s="113">
        <v>0</v>
      </c>
      <c r="FQ219" s="113">
        <v>0</v>
      </c>
      <c r="FR219" s="113">
        <v>0</v>
      </c>
      <c r="FS219" s="113">
        <v>0</v>
      </c>
      <c r="FT219" s="113">
        <v>0</v>
      </c>
      <c r="FU219" s="113">
        <v>0</v>
      </c>
      <c r="FV219" s="113">
        <v>0</v>
      </c>
      <c r="FW219" s="113">
        <v>0</v>
      </c>
      <c r="FX219" s="32">
        <v>0</v>
      </c>
      <c r="FY219" s="30">
        <v>0</v>
      </c>
      <c r="FZ219" s="30">
        <v>0</v>
      </c>
    </row>
    <row r="220" spans="1:182" x14ac:dyDescent="0.2">
      <c r="A220" s="28">
        <v>38261</v>
      </c>
      <c r="B220" s="28"/>
      <c r="C220" s="29">
        <v>233811</v>
      </c>
      <c r="D220" s="29">
        <v>155476</v>
      </c>
      <c r="E220" s="29">
        <f t="shared" si="6"/>
        <v>389287</v>
      </c>
      <c r="F220" s="30">
        <v>5684955</v>
      </c>
      <c r="G220" s="30">
        <v>127647</v>
      </c>
      <c r="H220" s="30">
        <f t="shared" si="7"/>
        <v>5812602</v>
      </c>
      <c r="I220" s="42" t="s">
        <v>75</v>
      </c>
      <c r="J220" s="42" t="s">
        <v>75</v>
      </c>
      <c r="K220" s="32">
        <v>5093784</v>
      </c>
      <c r="L220" s="31" t="s">
        <v>75</v>
      </c>
      <c r="M220" s="31" t="s">
        <v>75</v>
      </c>
      <c r="N220" s="30">
        <v>10769427</v>
      </c>
      <c r="O220" s="31" t="s">
        <v>75</v>
      </c>
      <c r="P220" s="31" t="s">
        <v>75</v>
      </c>
      <c r="Q220" s="30">
        <v>12037566</v>
      </c>
      <c r="R220" s="31" t="s">
        <v>75</v>
      </c>
      <c r="S220" s="31" t="s">
        <v>75</v>
      </c>
      <c r="T220" s="32">
        <v>98062</v>
      </c>
      <c r="U220" s="31" t="s">
        <v>75</v>
      </c>
      <c r="V220" s="31" t="s">
        <v>75</v>
      </c>
      <c r="W220" s="30">
        <v>18761</v>
      </c>
      <c r="X220" s="31" t="s">
        <v>75</v>
      </c>
      <c r="Y220" s="31" t="s">
        <v>75</v>
      </c>
      <c r="Z220" s="30">
        <v>78821</v>
      </c>
      <c r="AA220" s="31" t="s">
        <v>75</v>
      </c>
      <c r="AB220" s="31" t="s">
        <v>75</v>
      </c>
      <c r="AC220" s="30">
        <v>64185</v>
      </c>
      <c r="AD220" s="31" t="s">
        <v>75</v>
      </c>
      <c r="AE220" s="31" t="s">
        <v>75</v>
      </c>
      <c r="AF220" s="30">
        <v>8958</v>
      </c>
      <c r="AG220" s="42" t="s">
        <v>75</v>
      </c>
      <c r="AH220" s="42" t="s">
        <v>75</v>
      </c>
      <c r="AI220" s="32">
        <v>30996</v>
      </c>
      <c r="AJ220" s="31" t="s">
        <v>75</v>
      </c>
      <c r="AK220" s="31" t="s">
        <v>75</v>
      </c>
      <c r="AL220" s="31" t="s">
        <v>75</v>
      </c>
      <c r="AM220" s="31"/>
      <c r="AN220" s="31"/>
      <c r="AO220" s="31"/>
      <c r="AP220" s="31"/>
      <c r="AQ220" s="31"/>
      <c r="AR220" s="31"/>
      <c r="AS220" s="31" t="s">
        <v>75</v>
      </c>
      <c r="AT220" s="31" t="s">
        <v>75</v>
      </c>
      <c r="AU220" s="31" t="s">
        <v>75</v>
      </c>
      <c r="AV220" s="31" t="s">
        <v>75</v>
      </c>
      <c r="AW220" s="31" t="s">
        <v>75</v>
      </c>
      <c r="AX220" s="31" t="s">
        <v>75</v>
      </c>
      <c r="AY220" s="31" t="s">
        <v>75</v>
      </c>
      <c r="AZ220" s="31" t="s">
        <v>75</v>
      </c>
      <c r="BA220" s="29">
        <v>11499320</v>
      </c>
      <c r="BB220" s="31" t="s">
        <v>75</v>
      </c>
      <c r="BC220" s="31" t="s">
        <v>75</v>
      </c>
      <c r="BD220" s="29">
        <v>1566462</v>
      </c>
      <c r="BE220" s="113">
        <v>0</v>
      </c>
      <c r="BF220" s="113">
        <v>0</v>
      </c>
      <c r="BG220" s="113">
        <v>0</v>
      </c>
      <c r="BH220" s="113">
        <v>0</v>
      </c>
      <c r="BI220" s="113">
        <v>0</v>
      </c>
      <c r="BJ220" s="113">
        <v>0</v>
      </c>
      <c r="BK220" s="113">
        <v>0</v>
      </c>
      <c r="BL220" s="113">
        <v>0</v>
      </c>
      <c r="BM220" s="113">
        <v>0</v>
      </c>
      <c r="BN220" s="113">
        <v>0</v>
      </c>
      <c r="BO220" s="113">
        <v>0</v>
      </c>
      <c r="BP220" s="113">
        <v>0</v>
      </c>
      <c r="BQ220" s="113">
        <v>0</v>
      </c>
      <c r="BR220" s="113">
        <v>0</v>
      </c>
      <c r="BS220" s="113">
        <v>0</v>
      </c>
      <c r="BT220" s="113">
        <v>0</v>
      </c>
      <c r="BU220" s="113">
        <v>0</v>
      </c>
      <c r="BV220" s="113">
        <v>0</v>
      </c>
      <c r="BW220" s="113"/>
      <c r="BX220" s="113"/>
      <c r="BY220" s="113"/>
      <c r="BZ220" s="113">
        <v>0</v>
      </c>
      <c r="CA220" s="113">
        <v>0</v>
      </c>
      <c r="CB220" s="113">
        <v>0</v>
      </c>
      <c r="CC220" s="113"/>
      <c r="CD220" s="113"/>
      <c r="CE220" s="113"/>
      <c r="CF220" s="113">
        <v>0</v>
      </c>
      <c r="CG220" s="113">
        <v>0</v>
      </c>
      <c r="CH220" s="113">
        <v>0</v>
      </c>
      <c r="CI220" s="113">
        <v>0</v>
      </c>
      <c r="CJ220" s="113">
        <v>0</v>
      </c>
      <c r="CK220" s="113">
        <v>0</v>
      </c>
      <c r="CL220" s="113">
        <v>0</v>
      </c>
      <c r="CM220" s="113">
        <v>0</v>
      </c>
      <c r="CN220" s="113">
        <v>0</v>
      </c>
      <c r="CO220" s="113">
        <v>0</v>
      </c>
      <c r="CP220" s="113">
        <v>0</v>
      </c>
      <c r="CQ220" s="113">
        <v>0</v>
      </c>
      <c r="CR220" s="113">
        <v>0</v>
      </c>
      <c r="CS220" s="113">
        <v>0</v>
      </c>
      <c r="CT220" s="113">
        <v>0</v>
      </c>
      <c r="CU220" s="113">
        <v>0</v>
      </c>
      <c r="CV220" s="113">
        <v>0</v>
      </c>
      <c r="CW220" s="113">
        <v>0</v>
      </c>
      <c r="CX220" s="113">
        <v>0</v>
      </c>
      <c r="CY220" s="113">
        <v>0</v>
      </c>
      <c r="CZ220" s="113">
        <v>0</v>
      </c>
      <c r="DA220" s="113">
        <v>0</v>
      </c>
      <c r="DB220" s="113">
        <v>0</v>
      </c>
      <c r="DC220" s="113">
        <v>0</v>
      </c>
      <c r="DD220" s="113">
        <v>0</v>
      </c>
      <c r="DE220" s="113">
        <v>0</v>
      </c>
      <c r="DF220" s="113">
        <v>0</v>
      </c>
      <c r="DG220" s="113">
        <v>0</v>
      </c>
      <c r="DH220" s="113">
        <v>0</v>
      </c>
      <c r="DI220" s="113">
        <v>0</v>
      </c>
      <c r="DJ220" s="113">
        <v>0</v>
      </c>
      <c r="DK220" s="113">
        <v>0</v>
      </c>
      <c r="DL220" s="113">
        <v>0</v>
      </c>
      <c r="DM220" s="113">
        <v>0</v>
      </c>
      <c r="DN220" s="113">
        <v>0</v>
      </c>
      <c r="DO220" s="113">
        <v>0</v>
      </c>
      <c r="DP220" s="113">
        <v>0</v>
      </c>
      <c r="DQ220" s="113">
        <v>0</v>
      </c>
      <c r="DR220" s="113">
        <v>0</v>
      </c>
      <c r="DS220" s="113">
        <v>0</v>
      </c>
      <c r="DT220" s="113">
        <v>0</v>
      </c>
      <c r="DU220" s="113">
        <v>0</v>
      </c>
      <c r="DV220" s="113">
        <v>0</v>
      </c>
      <c r="DW220" s="113">
        <v>0</v>
      </c>
      <c r="DX220" s="113">
        <v>0</v>
      </c>
      <c r="DY220" s="113">
        <v>0</v>
      </c>
      <c r="DZ220" s="113">
        <v>0</v>
      </c>
      <c r="EA220" s="113">
        <v>0</v>
      </c>
      <c r="EB220" s="113">
        <v>0</v>
      </c>
      <c r="EC220" s="113">
        <v>0</v>
      </c>
      <c r="ED220" s="113">
        <v>0</v>
      </c>
      <c r="EE220" s="113">
        <v>0</v>
      </c>
      <c r="EF220" s="113">
        <v>0</v>
      </c>
      <c r="EG220" s="113">
        <v>0</v>
      </c>
      <c r="EH220" s="113">
        <v>0</v>
      </c>
      <c r="EI220" s="113">
        <v>0</v>
      </c>
      <c r="EJ220" s="113">
        <v>0</v>
      </c>
      <c r="EK220" s="113">
        <v>0</v>
      </c>
      <c r="EL220" s="113">
        <v>0</v>
      </c>
      <c r="EM220" s="113">
        <v>0</v>
      </c>
      <c r="EN220" s="113">
        <v>0</v>
      </c>
      <c r="EO220" s="113">
        <v>0</v>
      </c>
      <c r="EP220" s="113">
        <v>0</v>
      </c>
      <c r="EQ220" s="113">
        <v>0</v>
      </c>
      <c r="ER220" s="113">
        <v>0</v>
      </c>
      <c r="ES220" s="113">
        <v>0</v>
      </c>
      <c r="ET220" s="113">
        <v>0</v>
      </c>
      <c r="EU220" s="113">
        <v>0</v>
      </c>
      <c r="EV220" s="113">
        <v>0</v>
      </c>
      <c r="EW220" s="113">
        <v>0</v>
      </c>
      <c r="EX220" s="113">
        <v>0</v>
      </c>
      <c r="EY220" s="113">
        <v>0</v>
      </c>
      <c r="EZ220" s="113">
        <v>0</v>
      </c>
      <c r="FA220" s="113">
        <v>0</v>
      </c>
      <c r="FB220" s="113">
        <v>0</v>
      </c>
      <c r="FC220" s="113">
        <v>0</v>
      </c>
      <c r="FD220" s="113">
        <v>0</v>
      </c>
      <c r="FE220" s="113">
        <v>0</v>
      </c>
      <c r="FF220" s="113">
        <v>0</v>
      </c>
      <c r="FG220" s="113">
        <v>0</v>
      </c>
      <c r="FH220" s="113">
        <v>0</v>
      </c>
      <c r="FI220" s="113">
        <v>0</v>
      </c>
      <c r="FJ220" s="113">
        <v>0</v>
      </c>
      <c r="FK220" s="113">
        <v>0</v>
      </c>
      <c r="FL220" s="113">
        <v>0</v>
      </c>
      <c r="FM220" s="113">
        <v>0</v>
      </c>
      <c r="FN220" s="113">
        <v>0</v>
      </c>
      <c r="FO220" s="113">
        <v>0</v>
      </c>
      <c r="FP220" s="113">
        <v>0</v>
      </c>
      <c r="FQ220" s="113">
        <v>0</v>
      </c>
      <c r="FR220" s="113">
        <v>0</v>
      </c>
      <c r="FS220" s="113">
        <v>0</v>
      </c>
      <c r="FT220" s="113">
        <v>0</v>
      </c>
      <c r="FU220" s="113">
        <v>0</v>
      </c>
      <c r="FV220" s="113">
        <v>0</v>
      </c>
      <c r="FW220" s="113">
        <v>0</v>
      </c>
      <c r="FX220" s="32">
        <v>0</v>
      </c>
      <c r="FY220" s="30">
        <v>0</v>
      </c>
      <c r="FZ220" s="30">
        <v>0</v>
      </c>
    </row>
    <row r="221" spans="1:182" x14ac:dyDescent="0.2">
      <c r="A221" s="28">
        <v>38292</v>
      </c>
      <c r="B221" s="28"/>
      <c r="C221" s="29">
        <v>145952</v>
      </c>
      <c r="D221" s="29">
        <v>184182</v>
      </c>
      <c r="E221" s="29">
        <f t="shared" si="6"/>
        <v>330134</v>
      </c>
      <c r="F221" s="30">
        <v>6639386</v>
      </c>
      <c r="G221" s="30">
        <v>46786</v>
      </c>
      <c r="H221" s="30">
        <f t="shared" si="7"/>
        <v>6686172</v>
      </c>
      <c r="I221" s="42" t="s">
        <v>75</v>
      </c>
      <c r="J221" s="42" t="s">
        <v>75</v>
      </c>
      <c r="K221" s="32">
        <v>5193857</v>
      </c>
      <c r="L221" s="31" t="s">
        <v>75</v>
      </c>
      <c r="M221" s="31" t="s">
        <v>75</v>
      </c>
      <c r="N221" s="30">
        <v>12072259</v>
      </c>
      <c r="O221" s="31" t="s">
        <v>75</v>
      </c>
      <c r="P221" s="31" t="s">
        <v>75</v>
      </c>
      <c r="Q221" s="30">
        <v>15766790</v>
      </c>
      <c r="R221" s="31" t="s">
        <v>75</v>
      </c>
      <c r="S221" s="31" t="s">
        <v>75</v>
      </c>
      <c r="T221" s="32">
        <v>92619</v>
      </c>
      <c r="U221" s="31" t="s">
        <v>75</v>
      </c>
      <c r="V221" s="31" t="s">
        <v>75</v>
      </c>
      <c r="W221" s="30">
        <v>31290</v>
      </c>
      <c r="X221" s="31" t="s">
        <v>75</v>
      </c>
      <c r="Y221" s="31" t="s">
        <v>75</v>
      </c>
      <c r="Z221" s="30">
        <v>136105</v>
      </c>
      <c r="AA221" s="31" t="s">
        <v>75</v>
      </c>
      <c r="AB221" s="31" t="s">
        <v>75</v>
      </c>
      <c r="AC221" s="30">
        <v>87806</v>
      </c>
      <c r="AD221" s="31" t="s">
        <v>75</v>
      </c>
      <c r="AE221" s="31" t="s">
        <v>75</v>
      </c>
      <c r="AF221" s="30">
        <v>27158</v>
      </c>
      <c r="AG221" s="42" t="s">
        <v>75</v>
      </c>
      <c r="AH221" s="42" t="s">
        <v>75</v>
      </c>
      <c r="AI221" s="32">
        <v>26088</v>
      </c>
      <c r="AJ221" s="31" t="s">
        <v>75</v>
      </c>
      <c r="AK221" s="31" t="s">
        <v>75</v>
      </c>
      <c r="AL221" s="31" t="s">
        <v>75</v>
      </c>
      <c r="AM221" s="31"/>
      <c r="AN221" s="31"/>
      <c r="AO221" s="31"/>
      <c r="AP221" s="31"/>
      <c r="AQ221" s="31"/>
      <c r="AR221" s="31"/>
      <c r="AS221" s="31" t="s">
        <v>75</v>
      </c>
      <c r="AT221" s="31" t="s">
        <v>75</v>
      </c>
      <c r="AU221" s="31" t="s">
        <v>75</v>
      </c>
      <c r="AV221" s="31" t="s">
        <v>75</v>
      </c>
      <c r="AW221" s="31" t="s">
        <v>75</v>
      </c>
      <c r="AX221" s="31" t="s">
        <v>75</v>
      </c>
      <c r="AY221" s="31" t="s">
        <v>75</v>
      </c>
      <c r="AZ221" s="31" t="s">
        <v>75</v>
      </c>
      <c r="BA221" s="29">
        <v>12691798</v>
      </c>
      <c r="BB221" s="31" t="s">
        <v>75</v>
      </c>
      <c r="BC221" s="31" t="s">
        <v>75</v>
      </c>
      <c r="BD221" s="29">
        <v>1674630</v>
      </c>
      <c r="BE221" s="113">
        <v>0</v>
      </c>
      <c r="BF221" s="113">
        <v>0</v>
      </c>
      <c r="BG221" s="113">
        <v>0</v>
      </c>
      <c r="BH221" s="113">
        <v>0</v>
      </c>
      <c r="BI221" s="113">
        <v>0</v>
      </c>
      <c r="BJ221" s="113">
        <v>0</v>
      </c>
      <c r="BK221" s="113">
        <v>0</v>
      </c>
      <c r="BL221" s="113">
        <v>0</v>
      </c>
      <c r="BM221" s="113">
        <v>0</v>
      </c>
      <c r="BN221" s="113">
        <v>0</v>
      </c>
      <c r="BO221" s="113">
        <v>0</v>
      </c>
      <c r="BP221" s="113">
        <v>0</v>
      </c>
      <c r="BQ221" s="113">
        <v>0</v>
      </c>
      <c r="BR221" s="113">
        <v>0</v>
      </c>
      <c r="BS221" s="113">
        <v>0</v>
      </c>
      <c r="BT221" s="113">
        <v>0</v>
      </c>
      <c r="BU221" s="113">
        <v>0</v>
      </c>
      <c r="BV221" s="113">
        <v>0</v>
      </c>
      <c r="BW221" s="113"/>
      <c r="BX221" s="113"/>
      <c r="BY221" s="113"/>
      <c r="BZ221" s="113">
        <v>0</v>
      </c>
      <c r="CA221" s="113">
        <v>0</v>
      </c>
      <c r="CB221" s="113">
        <v>0</v>
      </c>
      <c r="CC221" s="113"/>
      <c r="CD221" s="113"/>
      <c r="CE221" s="113"/>
      <c r="CF221" s="113">
        <v>0</v>
      </c>
      <c r="CG221" s="113">
        <v>0</v>
      </c>
      <c r="CH221" s="113">
        <v>0</v>
      </c>
      <c r="CI221" s="113">
        <v>0</v>
      </c>
      <c r="CJ221" s="113">
        <v>0</v>
      </c>
      <c r="CK221" s="113">
        <v>0</v>
      </c>
      <c r="CL221" s="113">
        <v>0</v>
      </c>
      <c r="CM221" s="113">
        <v>0</v>
      </c>
      <c r="CN221" s="113">
        <v>0</v>
      </c>
      <c r="CO221" s="113">
        <v>0</v>
      </c>
      <c r="CP221" s="113">
        <v>0</v>
      </c>
      <c r="CQ221" s="113">
        <v>0</v>
      </c>
      <c r="CR221" s="113">
        <v>0</v>
      </c>
      <c r="CS221" s="113">
        <v>0</v>
      </c>
      <c r="CT221" s="113">
        <v>0</v>
      </c>
      <c r="CU221" s="113">
        <v>0</v>
      </c>
      <c r="CV221" s="113">
        <v>0</v>
      </c>
      <c r="CW221" s="113">
        <v>0</v>
      </c>
      <c r="CX221" s="113">
        <v>0</v>
      </c>
      <c r="CY221" s="113">
        <v>0</v>
      </c>
      <c r="CZ221" s="113">
        <v>0</v>
      </c>
      <c r="DA221" s="113">
        <v>0</v>
      </c>
      <c r="DB221" s="113">
        <v>0</v>
      </c>
      <c r="DC221" s="113">
        <v>0</v>
      </c>
      <c r="DD221" s="113">
        <v>0</v>
      </c>
      <c r="DE221" s="113">
        <v>0</v>
      </c>
      <c r="DF221" s="113">
        <v>0</v>
      </c>
      <c r="DG221" s="113">
        <v>0</v>
      </c>
      <c r="DH221" s="113">
        <v>0</v>
      </c>
      <c r="DI221" s="113">
        <v>0</v>
      </c>
      <c r="DJ221" s="113">
        <v>0</v>
      </c>
      <c r="DK221" s="113">
        <v>0</v>
      </c>
      <c r="DL221" s="113">
        <v>0</v>
      </c>
      <c r="DM221" s="113">
        <v>0</v>
      </c>
      <c r="DN221" s="113">
        <v>0</v>
      </c>
      <c r="DO221" s="113">
        <v>0</v>
      </c>
      <c r="DP221" s="113">
        <v>0</v>
      </c>
      <c r="DQ221" s="113">
        <v>0</v>
      </c>
      <c r="DR221" s="113">
        <v>0</v>
      </c>
      <c r="DS221" s="113">
        <v>0</v>
      </c>
      <c r="DT221" s="113">
        <v>0</v>
      </c>
      <c r="DU221" s="113">
        <v>0</v>
      </c>
      <c r="DV221" s="113">
        <v>0</v>
      </c>
      <c r="DW221" s="113">
        <v>0</v>
      </c>
      <c r="DX221" s="113">
        <v>0</v>
      </c>
      <c r="DY221" s="113">
        <v>0</v>
      </c>
      <c r="DZ221" s="113">
        <v>0</v>
      </c>
      <c r="EA221" s="113">
        <v>0</v>
      </c>
      <c r="EB221" s="113">
        <v>0</v>
      </c>
      <c r="EC221" s="113">
        <v>0</v>
      </c>
      <c r="ED221" s="113">
        <v>0</v>
      </c>
      <c r="EE221" s="113">
        <v>0</v>
      </c>
      <c r="EF221" s="113">
        <v>0</v>
      </c>
      <c r="EG221" s="113">
        <v>0</v>
      </c>
      <c r="EH221" s="113">
        <v>0</v>
      </c>
      <c r="EI221" s="113">
        <v>0</v>
      </c>
      <c r="EJ221" s="113">
        <v>0</v>
      </c>
      <c r="EK221" s="113">
        <v>0</v>
      </c>
      <c r="EL221" s="113">
        <v>0</v>
      </c>
      <c r="EM221" s="113">
        <v>0</v>
      </c>
      <c r="EN221" s="113">
        <v>0</v>
      </c>
      <c r="EO221" s="113">
        <v>0</v>
      </c>
      <c r="EP221" s="113">
        <v>0</v>
      </c>
      <c r="EQ221" s="113">
        <v>0</v>
      </c>
      <c r="ER221" s="113">
        <v>0</v>
      </c>
      <c r="ES221" s="113">
        <v>0</v>
      </c>
      <c r="ET221" s="113">
        <v>0</v>
      </c>
      <c r="EU221" s="113">
        <v>0</v>
      </c>
      <c r="EV221" s="113">
        <v>0</v>
      </c>
      <c r="EW221" s="113">
        <v>0</v>
      </c>
      <c r="EX221" s="113">
        <v>0</v>
      </c>
      <c r="EY221" s="113">
        <v>0</v>
      </c>
      <c r="EZ221" s="113">
        <v>0</v>
      </c>
      <c r="FA221" s="113">
        <v>0</v>
      </c>
      <c r="FB221" s="113">
        <v>0</v>
      </c>
      <c r="FC221" s="113">
        <v>0</v>
      </c>
      <c r="FD221" s="113">
        <v>0</v>
      </c>
      <c r="FE221" s="113">
        <v>0</v>
      </c>
      <c r="FF221" s="113">
        <v>0</v>
      </c>
      <c r="FG221" s="113">
        <v>0</v>
      </c>
      <c r="FH221" s="113">
        <v>0</v>
      </c>
      <c r="FI221" s="113">
        <v>0</v>
      </c>
      <c r="FJ221" s="113">
        <v>0</v>
      </c>
      <c r="FK221" s="113">
        <v>0</v>
      </c>
      <c r="FL221" s="113">
        <v>0</v>
      </c>
      <c r="FM221" s="113">
        <v>0</v>
      </c>
      <c r="FN221" s="113">
        <v>0</v>
      </c>
      <c r="FO221" s="113">
        <v>0</v>
      </c>
      <c r="FP221" s="113">
        <v>0</v>
      </c>
      <c r="FQ221" s="113">
        <v>0</v>
      </c>
      <c r="FR221" s="113">
        <v>0</v>
      </c>
      <c r="FS221" s="113">
        <v>0</v>
      </c>
      <c r="FT221" s="113">
        <v>0</v>
      </c>
      <c r="FU221" s="113">
        <v>0</v>
      </c>
      <c r="FV221" s="113">
        <v>0</v>
      </c>
      <c r="FW221" s="113">
        <v>0</v>
      </c>
      <c r="FX221" s="32">
        <v>0</v>
      </c>
      <c r="FY221" s="30">
        <v>0</v>
      </c>
      <c r="FZ221" s="30">
        <v>0</v>
      </c>
    </row>
    <row r="222" spans="1:182" x14ac:dyDescent="0.2">
      <c r="A222" s="28">
        <v>38322</v>
      </c>
      <c r="B222" s="28"/>
      <c r="C222" s="29">
        <v>395774</v>
      </c>
      <c r="D222" s="29">
        <v>384448</v>
      </c>
      <c r="E222" s="29">
        <f t="shared" si="6"/>
        <v>780222</v>
      </c>
      <c r="F222" s="30">
        <v>10412690</v>
      </c>
      <c r="G222" s="30">
        <v>105582</v>
      </c>
      <c r="H222" s="30">
        <f t="shared" si="7"/>
        <v>10518272</v>
      </c>
      <c r="I222" s="42" t="s">
        <v>75</v>
      </c>
      <c r="J222" s="42" t="s">
        <v>75</v>
      </c>
      <c r="K222" s="32">
        <v>8682178</v>
      </c>
      <c r="L222" s="31" t="s">
        <v>75</v>
      </c>
      <c r="M222" s="31" t="s">
        <v>75</v>
      </c>
      <c r="N222" s="30">
        <v>20305026</v>
      </c>
      <c r="O222" s="31" t="s">
        <v>75</v>
      </c>
      <c r="P222" s="31" t="s">
        <v>75</v>
      </c>
      <c r="Q222" s="30">
        <v>23185222</v>
      </c>
      <c r="R222" s="31" t="s">
        <v>75</v>
      </c>
      <c r="S222" s="31" t="s">
        <v>75</v>
      </c>
      <c r="T222" s="32">
        <v>28772</v>
      </c>
      <c r="U222" s="31" t="s">
        <v>75</v>
      </c>
      <c r="V222" s="31" t="s">
        <v>75</v>
      </c>
      <c r="W222" s="30">
        <v>36759</v>
      </c>
      <c r="X222" s="31" t="s">
        <v>75</v>
      </c>
      <c r="Y222" s="31" t="s">
        <v>75</v>
      </c>
      <c r="Z222" s="30">
        <v>135463</v>
      </c>
      <c r="AA222" s="31" t="s">
        <v>75</v>
      </c>
      <c r="AB222" s="31" t="s">
        <v>75</v>
      </c>
      <c r="AC222" s="30">
        <v>135434</v>
      </c>
      <c r="AD222" s="31" t="s">
        <v>75</v>
      </c>
      <c r="AE222" s="31" t="s">
        <v>75</v>
      </c>
      <c r="AF222" s="30">
        <v>47551</v>
      </c>
      <c r="AG222" s="42" t="s">
        <v>75</v>
      </c>
      <c r="AH222" s="42" t="s">
        <v>75</v>
      </c>
      <c r="AI222" s="32">
        <v>70464</v>
      </c>
      <c r="AJ222" s="31" t="s">
        <v>75</v>
      </c>
      <c r="AK222" s="31" t="s">
        <v>75</v>
      </c>
      <c r="AL222" s="31" t="s">
        <v>75</v>
      </c>
      <c r="AM222" s="31"/>
      <c r="AN222" s="31"/>
      <c r="AO222" s="31"/>
      <c r="AP222" s="31"/>
      <c r="AQ222" s="31"/>
      <c r="AR222" s="31"/>
      <c r="AS222" s="31" t="s">
        <v>75</v>
      </c>
      <c r="AT222" s="31" t="s">
        <v>75</v>
      </c>
      <c r="AU222" s="31" t="s">
        <v>75</v>
      </c>
      <c r="AV222" s="31" t="s">
        <v>75</v>
      </c>
      <c r="AW222" s="31" t="s">
        <v>75</v>
      </c>
      <c r="AX222" s="31" t="s">
        <v>75</v>
      </c>
      <c r="AY222" s="31" t="s">
        <v>75</v>
      </c>
      <c r="AZ222" s="31" t="s">
        <v>75</v>
      </c>
      <c r="BA222" s="29">
        <v>17812469</v>
      </c>
      <c r="BB222" s="31" t="s">
        <v>75</v>
      </c>
      <c r="BC222" s="31" t="s">
        <v>75</v>
      </c>
      <c r="BD222" s="29">
        <v>2309680</v>
      </c>
      <c r="BE222" s="113">
        <v>0</v>
      </c>
      <c r="BF222" s="113">
        <v>0</v>
      </c>
      <c r="BG222" s="113">
        <v>0</v>
      </c>
      <c r="BH222" s="113">
        <v>0</v>
      </c>
      <c r="BI222" s="113">
        <v>0</v>
      </c>
      <c r="BJ222" s="113">
        <v>0</v>
      </c>
      <c r="BK222" s="113">
        <v>0</v>
      </c>
      <c r="BL222" s="113">
        <v>0</v>
      </c>
      <c r="BM222" s="113">
        <v>0</v>
      </c>
      <c r="BN222" s="113">
        <v>0</v>
      </c>
      <c r="BO222" s="113">
        <v>0</v>
      </c>
      <c r="BP222" s="113">
        <v>0</v>
      </c>
      <c r="BQ222" s="113">
        <v>0</v>
      </c>
      <c r="BR222" s="113">
        <v>0</v>
      </c>
      <c r="BS222" s="113">
        <v>0</v>
      </c>
      <c r="BT222" s="113">
        <v>0</v>
      </c>
      <c r="BU222" s="113">
        <v>0</v>
      </c>
      <c r="BV222" s="113">
        <v>0</v>
      </c>
      <c r="BW222" s="113"/>
      <c r="BX222" s="113"/>
      <c r="BY222" s="113"/>
      <c r="BZ222" s="113">
        <v>0</v>
      </c>
      <c r="CA222" s="113">
        <v>0</v>
      </c>
      <c r="CB222" s="113">
        <v>0</v>
      </c>
      <c r="CC222" s="113"/>
      <c r="CD222" s="113"/>
      <c r="CE222" s="113"/>
      <c r="CF222" s="113">
        <v>0</v>
      </c>
      <c r="CG222" s="113">
        <v>0</v>
      </c>
      <c r="CH222" s="113">
        <v>0</v>
      </c>
      <c r="CI222" s="113">
        <v>0</v>
      </c>
      <c r="CJ222" s="113">
        <v>0</v>
      </c>
      <c r="CK222" s="113">
        <v>0</v>
      </c>
      <c r="CL222" s="113">
        <v>0</v>
      </c>
      <c r="CM222" s="113">
        <v>0</v>
      </c>
      <c r="CN222" s="113">
        <v>0</v>
      </c>
      <c r="CO222" s="113">
        <v>0</v>
      </c>
      <c r="CP222" s="113">
        <v>0</v>
      </c>
      <c r="CQ222" s="113">
        <v>0</v>
      </c>
      <c r="CR222" s="113">
        <v>0</v>
      </c>
      <c r="CS222" s="113">
        <v>0</v>
      </c>
      <c r="CT222" s="113">
        <v>0</v>
      </c>
      <c r="CU222" s="113">
        <v>0</v>
      </c>
      <c r="CV222" s="113">
        <v>0</v>
      </c>
      <c r="CW222" s="113">
        <v>0</v>
      </c>
      <c r="CX222" s="113">
        <v>0</v>
      </c>
      <c r="CY222" s="113">
        <v>0</v>
      </c>
      <c r="CZ222" s="113">
        <v>0</v>
      </c>
      <c r="DA222" s="113">
        <v>0</v>
      </c>
      <c r="DB222" s="113">
        <v>0</v>
      </c>
      <c r="DC222" s="113">
        <v>0</v>
      </c>
      <c r="DD222" s="113">
        <v>0</v>
      </c>
      <c r="DE222" s="113">
        <v>0</v>
      </c>
      <c r="DF222" s="113">
        <v>0</v>
      </c>
      <c r="DG222" s="113">
        <v>0</v>
      </c>
      <c r="DH222" s="113">
        <v>0</v>
      </c>
      <c r="DI222" s="113">
        <v>0</v>
      </c>
      <c r="DJ222" s="113">
        <v>0</v>
      </c>
      <c r="DK222" s="113">
        <v>0</v>
      </c>
      <c r="DL222" s="113">
        <v>0</v>
      </c>
      <c r="DM222" s="113">
        <v>0</v>
      </c>
      <c r="DN222" s="113">
        <v>0</v>
      </c>
      <c r="DO222" s="113">
        <v>0</v>
      </c>
      <c r="DP222" s="113">
        <v>0</v>
      </c>
      <c r="DQ222" s="113">
        <v>0</v>
      </c>
      <c r="DR222" s="113">
        <v>0</v>
      </c>
      <c r="DS222" s="113">
        <v>0</v>
      </c>
      <c r="DT222" s="113">
        <v>0</v>
      </c>
      <c r="DU222" s="113">
        <v>0</v>
      </c>
      <c r="DV222" s="113">
        <v>0</v>
      </c>
      <c r="DW222" s="113">
        <v>0</v>
      </c>
      <c r="DX222" s="113">
        <v>0</v>
      </c>
      <c r="DY222" s="113">
        <v>0</v>
      </c>
      <c r="DZ222" s="113">
        <v>0</v>
      </c>
      <c r="EA222" s="113">
        <v>0</v>
      </c>
      <c r="EB222" s="113">
        <v>0</v>
      </c>
      <c r="EC222" s="113">
        <v>0</v>
      </c>
      <c r="ED222" s="113">
        <v>0</v>
      </c>
      <c r="EE222" s="113">
        <v>0</v>
      </c>
      <c r="EF222" s="113">
        <v>0</v>
      </c>
      <c r="EG222" s="113">
        <v>0</v>
      </c>
      <c r="EH222" s="113">
        <v>0</v>
      </c>
      <c r="EI222" s="113">
        <v>0</v>
      </c>
      <c r="EJ222" s="113">
        <v>0</v>
      </c>
      <c r="EK222" s="113">
        <v>0</v>
      </c>
      <c r="EL222" s="113">
        <v>0</v>
      </c>
      <c r="EM222" s="113">
        <v>0</v>
      </c>
      <c r="EN222" s="113">
        <v>0</v>
      </c>
      <c r="EO222" s="113">
        <v>0</v>
      </c>
      <c r="EP222" s="113">
        <v>0</v>
      </c>
      <c r="EQ222" s="113">
        <v>0</v>
      </c>
      <c r="ER222" s="113">
        <v>0</v>
      </c>
      <c r="ES222" s="113">
        <v>0</v>
      </c>
      <c r="ET222" s="113">
        <v>0</v>
      </c>
      <c r="EU222" s="113">
        <v>0</v>
      </c>
      <c r="EV222" s="113">
        <v>0</v>
      </c>
      <c r="EW222" s="113">
        <v>0</v>
      </c>
      <c r="EX222" s="113">
        <v>0</v>
      </c>
      <c r="EY222" s="113">
        <v>0</v>
      </c>
      <c r="EZ222" s="113">
        <v>0</v>
      </c>
      <c r="FA222" s="113">
        <v>0</v>
      </c>
      <c r="FB222" s="113">
        <v>0</v>
      </c>
      <c r="FC222" s="113">
        <v>0</v>
      </c>
      <c r="FD222" s="113">
        <v>0</v>
      </c>
      <c r="FE222" s="113">
        <v>0</v>
      </c>
      <c r="FF222" s="113">
        <v>0</v>
      </c>
      <c r="FG222" s="113">
        <v>0</v>
      </c>
      <c r="FH222" s="113">
        <v>0</v>
      </c>
      <c r="FI222" s="113">
        <v>0</v>
      </c>
      <c r="FJ222" s="113">
        <v>0</v>
      </c>
      <c r="FK222" s="113">
        <v>0</v>
      </c>
      <c r="FL222" s="113">
        <v>0</v>
      </c>
      <c r="FM222" s="113">
        <v>0</v>
      </c>
      <c r="FN222" s="113">
        <v>0</v>
      </c>
      <c r="FO222" s="113">
        <v>0</v>
      </c>
      <c r="FP222" s="113">
        <v>0</v>
      </c>
      <c r="FQ222" s="113">
        <v>0</v>
      </c>
      <c r="FR222" s="113">
        <v>0</v>
      </c>
      <c r="FS222" s="113">
        <v>0</v>
      </c>
      <c r="FT222" s="113">
        <v>0</v>
      </c>
      <c r="FU222" s="113">
        <v>0</v>
      </c>
      <c r="FV222" s="113">
        <v>0</v>
      </c>
      <c r="FW222" s="113">
        <v>0</v>
      </c>
      <c r="FX222" s="32">
        <v>0</v>
      </c>
      <c r="FY222" s="30">
        <v>0</v>
      </c>
      <c r="FZ222" s="30">
        <v>0</v>
      </c>
    </row>
    <row r="223" spans="1:182" x14ac:dyDescent="0.2">
      <c r="A223" s="28">
        <v>38353</v>
      </c>
      <c r="B223" s="28"/>
      <c r="C223" s="29">
        <v>126205</v>
      </c>
      <c r="D223" s="29">
        <v>61979</v>
      </c>
      <c r="E223" s="29">
        <f t="shared" si="6"/>
        <v>188184</v>
      </c>
      <c r="F223" s="30">
        <v>7248929</v>
      </c>
      <c r="G223" s="30">
        <v>191955</v>
      </c>
      <c r="H223" s="30">
        <f t="shared" si="7"/>
        <v>7440884</v>
      </c>
      <c r="I223" s="42" t="s">
        <v>75</v>
      </c>
      <c r="J223" s="42" t="s">
        <v>75</v>
      </c>
      <c r="K223" s="32">
        <v>6235871</v>
      </c>
      <c r="L223" s="31" t="s">
        <v>75</v>
      </c>
      <c r="M223" s="31" t="s">
        <v>75</v>
      </c>
      <c r="N223" s="30">
        <v>12792744</v>
      </c>
      <c r="O223" s="31" t="s">
        <v>75</v>
      </c>
      <c r="P223" s="31" t="s">
        <v>75</v>
      </c>
      <c r="Q223" s="30">
        <v>20676875</v>
      </c>
      <c r="R223" s="31" t="s">
        <v>75</v>
      </c>
      <c r="S223" s="31" t="s">
        <v>75</v>
      </c>
      <c r="T223" s="32">
        <v>109417</v>
      </c>
      <c r="U223" s="31" t="s">
        <v>75</v>
      </c>
      <c r="V223" s="31" t="s">
        <v>75</v>
      </c>
      <c r="W223" s="30">
        <v>28921</v>
      </c>
      <c r="X223" s="31" t="s">
        <v>75</v>
      </c>
      <c r="Y223" s="31" t="s">
        <v>75</v>
      </c>
      <c r="Z223" s="30">
        <v>24097</v>
      </c>
      <c r="AA223" s="31" t="s">
        <v>75</v>
      </c>
      <c r="AB223" s="31" t="s">
        <v>75</v>
      </c>
      <c r="AC223" s="30">
        <v>49889</v>
      </c>
      <c r="AD223" s="31" t="s">
        <v>75</v>
      </c>
      <c r="AE223" s="31" t="s">
        <v>75</v>
      </c>
      <c r="AF223" s="30">
        <v>9440</v>
      </c>
      <c r="AG223" s="42" t="s">
        <v>75</v>
      </c>
      <c r="AH223" s="42" t="s">
        <v>75</v>
      </c>
      <c r="AI223" s="32">
        <v>37765</v>
      </c>
      <c r="AJ223" s="31" t="s">
        <v>75</v>
      </c>
      <c r="AK223" s="31" t="s">
        <v>75</v>
      </c>
      <c r="AL223" s="31" t="s">
        <v>75</v>
      </c>
      <c r="AM223" s="31"/>
      <c r="AN223" s="31"/>
      <c r="AO223" s="31"/>
      <c r="AP223" s="31"/>
      <c r="AQ223" s="31"/>
      <c r="AR223" s="31"/>
      <c r="AS223" s="31" t="s">
        <v>75</v>
      </c>
      <c r="AT223" s="31" t="s">
        <v>75</v>
      </c>
      <c r="AU223" s="31" t="s">
        <v>75</v>
      </c>
      <c r="AV223" s="31" t="s">
        <v>75</v>
      </c>
      <c r="AW223" s="31" t="s">
        <v>75</v>
      </c>
      <c r="AX223" s="31" t="s">
        <v>75</v>
      </c>
      <c r="AY223" s="31" t="s">
        <v>75</v>
      </c>
      <c r="AZ223" s="31" t="s">
        <v>75</v>
      </c>
      <c r="BA223" s="29">
        <v>12333245</v>
      </c>
      <c r="BB223" s="31" t="s">
        <v>75</v>
      </c>
      <c r="BC223" s="31" t="s">
        <v>75</v>
      </c>
      <c r="BD223" s="29">
        <v>1292571</v>
      </c>
      <c r="BE223" s="113">
        <v>0</v>
      </c>
      <c r="BF223" s="113">
        <v>0</v>
      </c>
      <c r="BG223" s="113">
        <v>0</v>
      </c>
      <c r="BH223" s="113">
        <v>0</v>
      </c>
      <c r="BI223" s="113">
        <v>0</v>
      </c>
      <c r="BJ223" s="113">
        <v>0</v>
      </c>
      <c r="BK223" s="113">
        <v>0</v>
      </c>
      <c r="BL223" s="113">
        <v>0</v>
      </c>
      <c r="BM223" s="113">
        <v>0</v>
      </c>
      <c r="BN223" s="113">
        <v>0</v>
      </c>
      <c r="BO223" s="113">
        <v>0</v>
      </c>
      <c r="BP223" s="113">
        <v>0</v>
      </c>
      <c r="BQ223" s="113">
        <v>0</v>
      </c>
      <c r="BR223" s="113">
        <v>0</v>
      </c>
      <c r="BS223" s="113">
        <v>0</v>
      </c>
      <c r="BT223" s="113">
        <v>0</v>
      </c>
      <c r="BU223" s="113">
        <v>0</v>
      </c>
      <c r="BV223" s="113">
        <v>0</v>
      </c>
      <c r="BW223" s="113"/>
      <c r="BX223" s="113"/>
      <c r="BY223" s="113"/>
      <c r="BZ223" s="113">
        <v>0</v>
      </c>
      <c r="CA223" s="113">
        <v>0</v>
      </c>
      <c r="CB223" s="113">
        <v>0</v>
      </c>
      <c r="CC223" s="113"/>
      <c r="CD223" s="113"/>
      <c r="CE223" s="113"/>
      <c r="CF223" s="113">
        <v>0</v>
      </c>
      <c r="CG223" s="113">
        <v>0</v>
      </c>
      <c r="CH223" s="113">
        <v>0</v>
      </c>
      <c r="CI223" s="113">
        <v>0</v>
      </c>
      <c r="CJ223" s="113">
        <v>0</v>
      </c>
      <c r="CK223" s="113">
        <v>0</v>
      </c>
      <c r="CL223" s="113">
        <v>0</v>
      </c>
      <c r="CM223" s="113">
        <v>0</v>
      </c>
      <c r="CN223" s="113">
        <v>0</v>
      </c>
      <c r="CO223" s="113">
        <v>0</v>
      </c>
      <c r="CP223" s="113">
        <v>0</v>
      </c>
      <c r="CQ223" s="113">
        <v>0</v>
      </c>
      <c r="CR223" s="113">
        <v>0</v>
      </c>
      <c r="CS223" s="113">
        <v>0</v>
      </c>
      <c r="CT223" s="113">
        <v>0</v>
      </c>
      <c r="CU223" s="113">
        <v>0</v>
      </c>
      <c r="CV223" s="113">
        <v>0</v>
      </c>
      <c r="CW223" s="113">
        <v>0</v>
      </c>
      <c r="CX223" s="113">
        <v>0</v>
      </c>
      <c r="CY223" s="113">
        <v>0</v>
      </c>
      <c r="CZ223" s="113">
        <v>0</v>
      </c>
      <c r="DA223" s="113">
        <v>0</v>
      </c>
      <c r="DB223" s="113">
        <v>0</v>
      </c>
      <c r="DC223" s="113">
        <v>0</v>
      </c>
      <c r="DD223" s="113">
        <v>0</v>
      </c>
      <c r="DE223" s="113">
        <v>0</v>
      </c>
      <c r="DF223" s="113">
        <v>0</v>
      </c>
      <c r="DG223" s="113">
        <v>0</v>
      </c>
      <c r="DH223" s="113">
        <v>0</v>
      </c>
      <c r="DI223" s="113">
        <v>0</v>
      </c>
      <c r="DJ223" s="113">
        <v>0</v>
      </c>
      <c r="DK223" s="113">
        <v>0</v>
      </c>
      <c r="DL223" s="113">
        <v>0</v>
      </c>
      <c r="DM223" s="113">
        <v>0</v>
      </c>
      <c r="DN223" s="113">
        <v>0</v>
      </c>
      <c r="DO223" s="113">
        <v>0</v>
      </c>
      <c r="DP223" s="113">
        <v>0</v>
      </c>
      <c r="DQ223" s="113">
        <v>0</v>
      </c>
      <c r="DR223" s="113">
        <v>0</v>
      </c>
      <c r="DS223" s="113">
        <v>0</v>
      </c>
      <c r="DT223" s="113">
        <v>0</v>
      </c>
      <c r="DU223" s="113">
        <v>0</v>
      </c>
      <c r="DV223" s="113">
        <v>0</v>
      </c>
      <c r="DW223" s="113">
        <v>0</v>
      </c>
      <c r="DX223" s="113">
        <v>0</v>
      </c>
      <c r="DY223" s="113">
        <v>0</v>
      </c>
      <c r="DZ223" s="113">
        <v>0</v>
      </c>
      <c r="EA223" s="113">
        <v>0</v>
      </c>
      <c r="EB223" s="113">
        <v>0</v>
      </c>
      <c r="EC223" s="113">
        <v>0</v>
      </c>
      <c r="ED223" s="113">
        <v>0</v>
      </c>
      <c r="EE223" s="113">
        <v>0</v>
      </c>
      <c r="EF223" s="113">
        <v>0</v>
      </c>
      <c r="EG223" s="113">
        <v>0</v>
      </c>
      <c r="EH223" s="113">
        <v>0</v>
      </c>
      <c r="EI223" s="113">
        <v>0</v>
      </c>
      <c r="EJ223" s="113">
        <v>0</v>
      </c>
      <c r="EK223" s="113">
        <v>0</v>
      </c>
      <c r="EL223" s="113">
        <v>0</v>
      </c>
      <c r="EM223" s="113">
        <v>0</v>
      </c>
      <c r="EN223" s="113">
        <v>0</v>
      </c>
      <c r="EO223" s="113">
        <v>0</v>
      </c>
      <c r="EP223" s="113">
        <v>0</v>
      </c>
      <c r="EQ223" s="113">
        <v>0</v>
      </c>
      <c r="ER223" s="113">
        <v>0</v>
      </c>
      <c r="ES223" s="113">
        <v>0</v>
      </c>
      <c r="ET223" s="113">
        <v>0</v>
      </c>
      <c r="EU223" s="113">
        <v>0</v>
      </c>
      <c r="EV223" s="113">
        <v>0</v>
      </c>
      <c r="EW223" s="113">
        <v>0</v>
      </c>
      <c r="EX223" s="113">
        <v>0</v>
      </c>
      <c r="EY223" s="113">
        <v>0</v>
      </c>
      <c r="EZ223" s="113">
        <v>0</v>
      </c>
      <c r="FA223" s="113">
        <v>0</v>
      </c>
      <c r="FB223" s="113">
        <v>0</v>
      </c>
      <c r="FC223" s="113">
        <v>0</v>
      </c>
      <c r="FD223" s="113">
        <v>0</v>
      </c>
      <c r="FE223" s="113">
        <v>0</v>
      </c>
      <c r="FF223" s="113">
        <v>0</v>
      </c>
      <c r="FG223" s="113">
        <v>0</v>
      </c>
      <c r="FH223" s="113">
        <v>0</v>
      </c>
      <c r="FI223" s="113">
        <v>0</v>
      </c>
      <c r="FJ223" s="113">
        <v>0</v>
      </c>
      <c r="FK223" s="113">
        <v>0</v>
      </c>
      <c r="FL223" s="113">
        <v>0</v>
      </c>
      <c r="FM223" s="113">
        <v>0</v>
      </c>
      <c r="FN223" s="113">
        <v>0</v>
      </c>
      <c r="FO223" s="113">
        <v>0</v>
      </c>
      <c r="FP223" s="113">
        <v>0</v>
      </c>
      <c r="FQ223" s="113">
        <v>0</v>
      </c>
      <c r="FR223" s="113">
        <v>0</v>
      </c>
      <c r="FS223" s="113">
        <v>0</v>
      </c>
      <c r="FT223" s="113">
        <v>0</v>
      </c>
      <c r="FU223" s="113">
        <v>0</v>
      </c>
      <c r="FV223" s="113">
        <v>0</v>
      </c>
      <c r="FW223" s="113">
        <v>0</v>
      </c>
      <c r="FX223" s="32">
        <v>0</v>
      </c>
      <c r="FY223" s="30">
        <v>0</v>
      </c>
      <c r="FZ223" s="30">
        <v>0</v>
      </c>
    </row>
    <row r="224" spans="1:182" x14ac:dyDescent="0.2">
      <c r="A224" s="28">
        <v>38384</v>
      </c>
      <c r="B224" s="28"/>
      <c r="C224" s="29">
        <v>107003</v>
      </c>
      <c r="D224" s="29">
        <v>102941</v>
      </c>
      <c r="E224" s="29">
        <f t="shared" si="6"/>
        <v>209944</v>
      </c>
      <c r="F224" s="30">
        <v>5751752</v>
      </c>
      <c r="G224" s="30">
        <v>108500</v>
      </c>
      <c r="H224" s="30">
        <f t="shared" si="7"/>
        <v>5860252</v>
      </c>
      <c r="I224" s="42" t="s">
        <v>75</v>
      </c>
      <c r="J224" s="42" t="s">
        <v>75</v>
      </c>
      <c r="K224" s="32">
        <v>5434747</v>
      </c>
      <c r="L224" s="31" t="s">
        <v>75</v>
      </c>
      <c r="M224" s="31" t="s">
        <v>75</v>
      </c>
      <c r="N224" s="30">
        <v>11713495</v>
      </c>
      <c r="O224" s="31" t="s">
        <v>75</v>
      </c>
      <c r="P224" s="31" t="s">
        <v>75</v>
      </c>
      <c r="Q224" s="30">
        <v>16350591</v>
      </c>
      <c r="R224" s="31" t="s">
        <v>75</v>
      </c>
      <c r="S224" s="31" t="s">
        <v>75</v>
      </c>
      <c r="T224" s="32">
        <v>98832</v>
      </c>
      <c r="U224" s="31" t="s">
        <v>75</v>
      </c>
      <c r="V224" s="31" t="s">
        <v>75</v>
      </c>
      <c r="W224" s="30">
        <v>18861</v>
      </c>
      <c r="X224" s="31" t="s">
        <v>75</v>
      </c>
      <c r="Y224" s="31" t="s">
        <v>75</v>
      </c>
      <c r="Z224" s="30">
        <v>26770</v>
      </c>
      <c r="AA224" s="31" t="s">
        <v>75</v>
      </c>
      <c r="AB224" s="31" t="s">
        <v>75</v>
      </c>
      <c r="AC224" s="30">
        <v>67454</v>
      </c>
      <c r="AD224" s="31" t="s">
        <v>75</v>
      </c>
      <c r="AE224" s="31" t="s">
        <v>75</v>
      </c>
      <c r="AF224" s="30">
        <v>7961</v>
      </c>
      <c r="AG224" s="42" t="s">
        <v>75</v>
      </c>
      <c r="AH224" s="42" t="s">
        <v>75</v>
      </c>
      <c r="AI224" s="32">
        <v>20917</v>
      </c>
      <c r="AJ224" s="31" t="s">
        <v>75</v>
      </c>
      <c r="AK224" s="31" t="s">
        <v>75</v>
      </c>
      <c r="AL224" s="31" t="s">
        <v>75</v>
      </c>
      <c r="AM224" s="31"/>
      <c r="AN224" s="31"/>
      <c r="AO224" s="31"/>
      <c r="AP224" s="31"/>
      <c r="AQ224" s="31"/>
      <c r="AR224" s="31"/>
      <c r="AS224" s="31" t="s">
        <v>75</v>
      </c>
      <c r="AT224" s="31" t="s">
        <v>75</v>
      </c>
      <c r="AU224" s="31" t="s">
        <v>75</v>
      </c>
      <c r="AV224" s="31" t="s">
        <v>75</v>
      </c>
      <c r="AW224" s="31" t="s">
        <v>75</v>
      </c>
      <c r="AX224" s="31" t="s">
        <v>75</v>
      </c>
      <c r="AY224" s="31" t="s">
        <v>75</v>
      </c>
      <c r="AZ224" s="31" t="s">
        <v>75</v>
      </c>
      <c r="BA224" s="29">
        <v>11366830</v>
      </c>
      <c r="BB224" s="31" t="s">
        <v>75</v>
      </c>
      <c r="BC224" s="31" t="s">
        <v>75</v>
      </c>
      <c r="BD224" s="29">
        <v>1405656</v>
      </c>
      <c r="BE224" s="113">
        <v>0</v>
      </c>
      <c r="BF224" s="113">
        <v>0</v>
      </c>
      <c r="BG224" s="113">
        <v>0</v>
      </c>
      <c r="BH224" s="113">
        <v>0</v>
      </c>
      <c r="BI224" s="113">
        <v>0</v>
      </c>
      <c r="BJ224" s="113">
        <v>0</v>
      </c>
      <c r="BK224" s="113">
        <v>0</v>
      </c>
      <c r="BL224" s="113">
        <v>0</v>
      </c>
      <c r="BM224" s="113">
        <v>0</v>
      </c>
      <c r="BN224" s="113">
        <v>0</v>
      </c>
      <c r="BO224" s="113">
        <v>0</v>
      </c>
      <c r="BP224" s="113">
        <v>0</v>
      </c>
      <c r="BQ224" s="113">
        <v>0</v>
      </c>
      <c r="BR224" s="113">
        <v>0</v>
      </c>
      <c r="BS224" s="113">
        <v>0</v>
      </c>
      <c r="BT224" s="113">
        <v>0</v>
      </c>
      <c r="BU224" s="113">
        <v>0</v>
      </c>
      <c r="BV224" s="113">
        <v>0</v>
      </c>
      <c r="BW224" s="113"/>
      <c r="BX224" s="113"/>
      <c r="BY224" s="113"/>
      <c r="BZ224" s="113">
        <v>0</v>
      </c>
      <c r="CA224" s="113">
        <v>0</v>
      </c>
      <c r="CB224" s="113">
        <v>0</v>
      </c>
      <c r="CC224" s="113"/>
      <c r="CD224" s="113"/>
      <c r="CE224" s="113"/>
      <c r="CF224" s="113">
        <v>0</v>
      </c>
      <c r="CG224" s="113">
        <v>0</v>
      </c>
      <c r="CH224" s="113">
        <v>0</v>
      </c>
      <c r="CI224" s="113">
        <v>0</v>
      </c>
      <c r="CJ224" s="113">
        <v>0</v>
      </c>
      <c r="CK224" s="113">
        <v>0</v>
      </c>
      <c r="CL224" s="113">
        <v>0</v>
      </c>
      <c r="CM224" s="113">
        <v>0</v>
      </c>
      <c r="CN224" s="113">
        <v>0</v>
      </c>
      <c r="CO224" s="113">
        <v>0</v>
      </c>
      <c r="CP224" s="113">
        <v>0</v>
      </c>
      <c r="CQ224" s="113">
        <v>0</v>
      </c>
      <c r="CR224" s="113">
        <v>0</v>
      </c>
      <c r="CS224" s="113">
        <v>0</v>
      </c>
      <c r="CT224" s="113">
        <v>0</v>
      </c>
      <c r="CU224" s="113">
        <v>0</v>
      </c>
      <c r="CV224" s="113">
        <v>0</v>
      </c>
      <c r="CW224" s="113">
        <v>0</v>
      </c>
      <c r="CX224" s="113">
        <v>0</v>
      </c>
      <c r="CY224" s="113">
        <v>0</v>
      </c>
      <c r="CZ224" s="113">
        <v>0</v>
      </c>
      <c r="DA224" s="113">
        <v>0</v>
      </c>
      <c r="DB224" s="113">
        <v>0</v>
      </c>
      <c r="DC224" s="113">
        <v>0</v>
      </c>
      <c r="DD224" s="113">
        <v>0</v>
      </c>
      <c r="DE224" s="113">
        <v>0</v>
      </c>
      <c r="DF224" s="113">
        <v>0</v>
      </c>
      <c r="DG224" s="113">
        <v>0</v>
      </c>
      <c r="DH224" s="113">
        <v>0</v>
      </c>
      <c r="DI224" s="113">
        <v>0</v>
      </c>
      <c r="DJ224" s="113">
        <v>0</v>
      </c>
      <c r="DK224" s="113">
        <v>0</v>
      </c>
      <c r="DL224" s="113">
        <v>0</v>
      </c>
      <c r="DM224" s="113">
        <v>0</v>
      </c>
      <c r="DN224" s="113">
        <v>0</v>
      </c>
      <c r="DO224" s="113">
        <v>0</v>
      </c>
      <c r="DP224" s="113">
        <v>0</v>
      </c>
      <c r="DQ224" s="113">
        <v>0</v>
      </c>
      <c r="DR224" s="113">
        <v>0</v>
      </c>
      <c r="DS224" s="113">
        <v>0</v>
      </c>
      <c r="DT224" s="113">
        <v>0</v>
      </c>
      <c r="DU224" s="113">
        <v>0</v>
      </c>
      <c r="DV224" s="113">
        <v>0</v>
      </c>
      <c r="DW224" s="113">
        <v>0</v>
      </c>
      <c r="DX224" s="113">
        <v>0</v>
      </c>
      <c r="DY224" s="113">
        <v>0</v>
      </c>
      <c r="DZ224" s="113">
        <v>0</v>
      </c>
      <c r="EA224" s="113">
        <v>0</v>
      </c>
      <c r="EB224" s="113">
        <v>0</v>
      </c>
      <c r="EC224" s="113">
        <v>0</v>
      </c>
      <c r="ED224" s="113">
        <v>0</v>
      </c>
      <c r="EE224" s="113">
        <v>0</v>
      </c>
      <c r="EF224" s="113">
        <v>0</v>
      </c>
      <c r="EG224" s="113">
        <v>0</v>
      </c>
      <c r="EH224" s="113">
        <v>0</v>
      </c>
      <c r="EI224" s="113">
        <v>0</v>
      </c>
      <c r="EJ224" s="113">
        <v>0</v>
      </c>
      <c r="EK224" s="113">
        <v>0</v>
      </c>
      <c r="EL224" s="113">
        <v>0</v>
      </c>
      <c r="EM224" s="113">
        <v>0</v>
      </c>
      <c r="EN224" s="113">
        <v>0</v>
      </c>
      <c r="EO224" s="113">
        <v>0</v>
      </c>
      <c r="EP224" s="113">
        <v>0</v>
      </c>
      <c r="EQ224" s="113">
        <v>0</v>
      </c>
      <c r="ER224" s="113">
        <v>0</v>
      </c>
      <c r="ES224" s="113">
        <v>0</v>
      </c>
      <c r="ET224" s="113">
        <v>0</v>
      </c>
      <c r="EU224" s="113">
        <v>0</v>
      </c>
      <c r="EV224" s="113">
        <v>0</v>
      </c>
      <c r="EW224" s="113">
        <v>0</v>
      </c>
      <c r="EX224" s="113">
        <v>0</v>
      </c>
      <c r="EY224" s="113">
        <v>0</v>
      </c>
      <c r="EZ224" s="113">
        <v>0</v>
      </c>
      <c r="FA224" s="113">
        <v>0</v>
      </c>
      <c r="FB224" s="113">
        <v>0</v>
      </c>
      <c r="FC224" s="113">
        <v>0</v>
      </c>
      <c r="FD224" s="113">
        <v>0</v>
      </c>
      <c r="FE224" s="113">
        <v>0</v>
      </c>
      <c r="FF224" s="113">
        <v>0</v>
      </c>
      <c r="FG224" s="113">
        <v>0</v>
      </c>
      <c r="FH224" s="113">
        <v>0</v>
      </c>
      <c r="FI224" s="113">
        <v>0</v>
      </c>
      <c r="FJ224" s="113">
        <v>0</v>
      </c>
      <c r="FK224" s="113">
        <v>0</v>
      </c>
      <c r="FL224" s="113">
        <v>0</v>
      </c>
      <c r="FM224" s="113">
        <v>0</v>
      </c>
      <c r="FN224" s="113">
        <v>0</v>
      </c>
      <c r="FO224" s="113">
        <v>0</v>
      </c>
      <c r="FP224" s="113">
        <v>0</v>
      </c>
      <c r="FQ224" s="113">
        <v>0</v>
      </c>
      <c r="FR224" s="113">
        <v>0</v>
      </c>
      <c r="FS224" s="113">
        <v>0</v>
      </c>
      <c r="FT224" s="113">
        <v>0</v>
      </c>
      <c r="FU224" s="113">
        <v>0</v>
      </c>
      <c r="FV224" s="113">
        <v>0</v>
      </c>
      <c r="FW224" s="113">
        <v>0</v>
      </c>
      <c r="FX224" s="32">
        <v>0</v>
      </c>
      <c r="FY224" s="30">
        <v>0</v>
      </c>
      <c r="FZ224" s="30">
        <v>0</v>
      </c>
    </row>
    <row r="225" spans="1:182" x14ac:dyDescent="0.2">
      <c r="A225" s="28">
        <v>38412</v>
      </c>
      <c r="B225" s="28"/>
      <c r="C225" s="29">
        <v>252420</v>
      </c>
      <c r="D225" s="29">
        <v>142035</v>
      </c>
      <c r="E225" s="29">
        <f t="shared" si="6"/>
        <v>394455</v>
      </c>
      <c r="F225" s="30">
        <v>6572962</v>
      </c>
      <c r="G225" s="30">
        <v>138520</v>
      </c>
      <c r="H225" s="30">
        <f t="shared" si="7"/>
        <v>6711482</v>
      </c>
      <c r="I225" s="42" t="s">
        <v>75</v>
      </c>
      <c r="J225" s="42" t="s">
        <v>75</v>
      </c>
      <c r="K225" s="32">
        <v>5478461</v>
      </c>
      <c r="L225" s="31" t="s">
        <v>75</v>
      </c>
      <c r="M225" s="31" t="s">
        <v>75</v>
      </c>
      <c r="N225" s="30">
        <v>12915796</v>
      </c>
      <c r="O225" s="31" t="s">
        <v>75</v>
      </c>
      <c r="P225" s="31" t="s">
        <v>75</v>
      </c>
      <c r="Q225" s="30">
        <v>17337620</v>
      </c>
      <c r="R225" s="31" t="s">
        <v>75</v>
      </c>
      <c r="S225" s="31" t="s">
        <v>75</v>
      </c>
      <c r="T225" s="32">
        <v>112154</v>
      </c>
      <c r="U225" s="31" t="s">
        <v>75</v>
      </c>
      <c r="V225" s="31" t="s">
        <v>75</v>
      </c>
      <c r="W225" s="30">
        <v>33704</v>
      </c>
      <c r="X225" s="31" t="s">
        <v>75</v>
      </c>
      <c r="Y225" s="31" t="s">
        <v>75</v>
      </c>
      <c r="Z225" s="30">
        <v>56616</v>
      </c>
      <c r="AA225" s="31" t="s">
        <v>75</v>
      </c>
      <c r="AB225" s="31" t="s">
        <v>75</v>
      </c>
      <c r="AC225" s="30">
        <v>131584</v>
      </c>
      <c r="AD225" s="31" t="s">
        <v>75</v>
      </c>
      <c r="AE225" s="31" t="s">
        <v>75</v>
      </c>
      <c r="AF225" s="30">
        <v>14376</v>
      </c>
      <c r="AG225" s="42" t="s">
        <v>75</v>
      </c>
      <c r="AH225" s="42" t="s">
        <v>75</v>
      </c>
      <c r="AI225" s="32">
        <v>27434</v>
      </c>
      <c r="AJ225" s="31" t="s">
        <v>75</v>
      </c>
      <c r="AK225" s="31" t="s">
        <v>75</v>
      </c>
      <c r="AL225" s="31" t="s">
        <v>75</v>
      </c>
      <c r="AM225" s="31"/>
      <c r="AN225" s="31"/>
      <c r="AO225" s="31"/>
      <c r="AP225" s="31"/>
      <c r="AQ225" s="31"/>
      <c r="AR225" s="31"/>
      <c r="AS225" s="31" t="s">
        <v>75</v>
      </c>
      <c r="AT225" s="31" t="s">
        <v>75</v>
      </c>
      <c r="AU225" s="31" t="s">
        <v>75</v>
      </c>
      <c r="AV225" s="31" t="s">
        <v>75</v>
      </c>
      <c r="AW225" s="31" t="s">
        <v>75</v>
      </c>
      <c r="AX225" s="31" t="s">
        <v>75</v>
      </c>
      <c r="AY225" s="31" t="s">
        <v>75</v>
      </c>
      <c r="AZ225" s="31" t="s">
        <v>75</v>
      </c>
      <c r="BA225" s="29">
        <v>13548990</v>
      </c>
      <c r="BB225" s="31" t="s">
        <v>75</v>
      </c>
      <c r="BC225" s="31" t="s">
        <v>75</v>
      </c>
      <c r="BD225" s="29">
        <v>1829803</v>
      </c>
      <c r="BE225" s="113">
        <v>0</v>
      </c>
      <c r="BF225" s="113">
        <v>0</v>
      </c>
      <c r="BG225" s="113">
        <v>0</v>
      </c>
      <c r="BH225" s="113">
        <v>0</v>
      </c>
      <c r="BI225" s="113">
        <v>0</v>
      </c>
      <c r="BJ225" s="113">
        <v>0</v>
      </c>
      <c r="BK225" s="113">
        <v>0</v>
      </c>
      <c r="BL225" s="113">
        <v>0</v>
      </c>
      <c r="BM225" s="113">
        <v>0</v>
      </c>
      <c r="BN225" s="113">
        <v>0</v>
      </c>
      <c r="BO225" s="113">
        <v>0</v>
      </c>
      <c r="BP225" s="113">
        <v>0</v>
      </c>
      <c r="BQ225" s="113">
        <v>0</v>
      </c>
      <c r="BR225" s="113">
        <v>0</v>
      </c>
      <c r="BS225" s="113">
        <v>0</v>
      </c>
      <c r="BT225" s="113">
        <v>0</v>
      </c>
      <c r="BU225" s="113">
        <v>0</v>
      </c>
      <c r="BV225" s="113">
        <v>0</v>
      </c>
      <c r="BW225" s="113"/>
      <c r="BX225" s="113"/>
      <c r="BY225" s="113"/>
      <c r="BZ225" s="113">
        <v>0</v>
      </c>
      <c r="CA225" s="113">
        <v>0</v>
      </c>
      <c r="CB225" s="113">
        <v>0</v>
      </c>
      <c r="CC225" s="113"/>
      <c r="CD225" s="113"/>
      <c r="CE225" s="113"/>
      <c r="CF225" s="113">
        <v>0</v>
      </c>
      <c r="CG225" s="113">
        <v>0</v>
      </c>
      <c r="CH225" s="113">
        <v>0</v>
      </c>
      <c r="CI225" s="113">
        <v>0</v>
      </c>
      <c r="CJ225" s="113">
        <v>0</v>
      </c>
      <c r="CK225" s="113">
        <v>0</v>
      </c>
      <c r="CL225" s="113">
        <v>0</v>
      </c>
      <c r="CM225" s="113">
        <v>0</v>
      </c>
      <c r="CN225" s="113">
        <v>0</v>
      </c>
      <c r="CO225" s="113">
        <v>0</v>
      </c>
      <c r="CP225" s="113">
        <v>0</v>
      </c>
      <c r="CQ225" s="113">
        <v>0</v>
      </c>
      <c r="CR225" s="113">
        <v>0</v>
      </c>
      <c r="CS225" s="113">
        <v>0</v>
      </c>
      <c r="CT225" s="113">
        <v>0</v>
      </c>
      <c r="CU225" s="113">
        <v>0</v>
      </c>
      <c r="CV225" s="113">
        <v>0</v>
      </c>
      <c r="CW225" s="113">
        <v>0</v>
      </c>
      <c r="CX225" s="113">
        <v>0</v>
      </c>
      <c r="CY225" s="113">
        <v>0</v>
      </c>
      <c r="CZ225" s="113">
        <v>0</v>
      </c>
      <c r="DA225" s="113">
        <v>0</v>
      </c>
      <c r="DB225" s="113">
        <v>0</v>
      </c>
      <c r="DC225" s="113">
        <v>0</v>
      </c>
      <c r="DD225" s="113">
        <v>0</v>
      </c>
      <c r="DE225" s="113">
        <v>0</v>
      </c>
      <c r="DF225" s="113">
        <v>0</v>
      </c>
      <c r="DG225" s="113">
        <v>0</v>
      </c>
      <c r="DH225" s="113">
        <v>0</v>
      </c>
      <c r="DI225" s="113">
        <v>0</v>
      </c>
      <c r="DJ225" s="113">
        <v>0</v>
      </c>
      <c r="DK225" s="113">
        <v>0</v>
      </c>
      <c r="DL225" s="113">
        <v>0</v>
      </c>
      <c r="DM225" s="113">
        <v>0</v>
      </c>
      <c r="DN225" s="113">
        <v>0</v>
      </c>
      <c r="DO225" s="113">
        <v>0</v>
      </c>
      <c r="DP225" s="113">
        <v>0</v>
      </c>
      <c r="DQ225" s="113">
        <v>0</v>
      </c>
      <c r="DR225" s="113">
        <v>0</v>
      </c>
      <c r="DS225" s="113">
        <v>0</v>
      </c>
      <c r="DT225" s="113">
        <v>0</v>
      </c>
      <c r="DU225" s="113">
        <v>0</v>
      </c>
      <c r="DV225" s="113">
        <v>0</v>
      </c>
      <c r="DW225" s="113">
        <v>0</v>
      </c>
      <c r="DX225" s="113">
        <v>0</v>
      </c>
      <c r="DY225" s="113">
        <v>0</v>
      </c>
      <c r="DZ225" s="113">
        <v>0</v>
      </c>
      <c r="EA225" s="113">
        <v>0</v>
      </c>
      <c r="EB225" s="113">
        <v>0</v>
      </c>
      <c r="EC225" s="113">
        <v>0</v>
      </c>
      <c r="ED225" s="113">
        <v>0</v>
      </c>
      <c r="EE225" s="113">
        <v>0</v>
      </c>
      <c r="EF225" s="113">
        <v>0</v>
      </c>
      <c r="EG225" s="113">
        <v>0</v>
      </c>
      <c r="EH225" s="113">
        <v>0</v>
      </c>
      <c r="EI225" s="113">
        <v>0</v>
      </c>
      <c r="EJ225" s="113">
        <v>0</v>
      </c>
      <c r="EK225" s="113">
        <v>0</v>
      </c>
      <c r="EL225" s="113">
        <v>0</v>
      </c>
      <c r="EM225" s="113">
        <v>0</v>
      </c>
      <c r="EN225" s="113">
        <v>0</v>
      </c>
      <c r="EO225" s="113">
        <v>0</v>
      </c>
      <c r="EP225" s="113">
        <v>0</v>
      </c>
      <c r="EQ225" s="113">
        <v>0</v>
      </c>
      <c r="ER225" s="113">
        <v>0</v>
      </c>
      <c r="ES225" s="113">
        <v>0</v>
      </c>
      <c r="ET225" s="113">
        <v>0</v>
      </c>
      <c r="EU225" s="113">
        <v>0</v>
      </c>
      <c r="EV225" s="113">
        <v>0</v>
      </c>
      <c r="EW225" s="113">
        <v>0</v>
      </c>
      <c r="EX225" s="113">
        <v>0</v>
      </c>
      <c r="EY225" s="113">
        <v>0</v>
      </c>
      <c r="EZ225" s="113">
        <v>0</v>
      </c>
      <c r="FA225" s="113">
        <v>0</v>
      </c>
      <c r="FB225" s="113">
        <v>0</v>
      </c>
      <c r="FC225" s="113">
        <v>0</v>
      </c>
      <c r="FD225" s="113">
        <v>0</v>
      </c>
      <c r="FE225" s="113">
        <v>0</v>
      </c>
      <c r="FF225" s="113">
        <v>0</v>
      </c>
      <c r="FG225" s="113">
        <v>0</v>
      </c>
      <c r="FH225" s="113">
        <v>0</v>
      </c>
      <c r="FI225" s="113">
        <v>0</v>
      </c>
      <c r="FJ225" s="113">
        <v>0</v>
      </c>
      <c r="FK225" s="113">
        <v>0</v>
      </c>
      <c r="FL225" s="113">
        <v>0</v>
      </c>
      <c r="FM225" s="113">
        <v>0</v>
      </c>
      <c r="FN225" s="113">
        <v>0</v>
      </c>
      <c r="FO225" s="113">
        <v>0</v>
      </c>
      <c r="FP225" s="113">
        <v>0</v>
      </c>
      <c r="FQ225" s="113">
        <v>0</v>
      </c>
      <c r="FR225" s="113">
        <v>0</v>
      </c>
      <c r="FS225" s="113">
        <v>0</v>
      </c>
      <c r="FT225" s="113">
        <v>0</v>
      </c>
      <c r="FU225" s="113">
        <v>0</v>
      </c>
      <c r="FV225" s="113">
        <v>0</v>
      </c>
      <c r="FW225" s="113">
        <v>0</v>
      </c>
      <c r="FX225" s="32">
        <v>0</v>
      </c>
      <c r="FY225" s="30">
        <v>0</v>
      </c>
      <c r="FZ225" s="30">
        <v>0</v>
      </c>
    </row>
    <row r="226" spans="1:182" x14ac:dyDescent="0.2">
      <c r="A226" s="28">
        <v>38443</v>
      </c>
      <c r="B226" s="28"/>
      <c r="C226" s="29">
        <v>225921</v>
      </c>
      <c r="D226" s="29">
        <v>157108</v>
      </c>
      <c r="E226" s="29">
        <f t="shared" si="6"/>
        <v>383029</v>
      </c>
      <c r="F226" s="30">
        <v>3114417</v>
      </c>
      <c r="G226" s="30">
        <v>80130</v>
      </c>
      <c r="H226" s="30">
        <f t="shared" si="7"/>
        <v>3194547</v>
      </c>
      <c r="I226" s="42" t="s">
        <v>75</v>
      </c>
      <c r="J226" s="42" t="s">
        <v>75</v>
      </c>
      <c r="K226" s="32">
        <v>4094652</v>
      </c>
      <c r="L226" s="31" t="s">
        <v>75</v>
      </c>
      <c r="M226" s="31" t="s">
        <v>75</v>
      </c>
      <c r="N226" s="30">
        <v>11611647</v>
      </c>
      <c r="O226" s="31" t="s">
        <v>75</v>
      </c>
      <c r="P226" s="31" t="s">
        <v>75</v>
      </c>
      <c r="Q226" s="30">
        <v>14178162</v>
      </c>
      <c r="R226" s="31" t="s">
        <v>75</v>
      </c>
      <c r="S226" s="31" t="s">
        <v>75</v>
      </c>
      <c r="T226" s="32">
        <v>125259</v>
      </c>
      <c r="U226" s="31" t="s">
        <v>75</v>
      </c>
      <c r="V226" s="31" t="s">
        <v>75</v>
      </c>
      <c r="W226" s="30">
        <v>25734</v>
      </c>
      <c r="X226" s="31" t="s">
        <v>75</v>
      </c>
      <c r="Y226" s="31" t="s">
        <v>75</v>
      </c>
      <c r="Z226" s="30">
        <v>40156</v>
      </c>
      <c r="AA226" s="31" t="s">
        <v>75</v>
      </c>
      <c r="AB226" s="31" t="s">
        <v>75</v>
      </c>
      <c r="AC226" s="30">
        <v>119849</v>
      </c>
      <c r="AD226" s="31" t="s">
        <v>75</v>
      </c>
      <c r="AE226" s="31" t="s">
        <v>75</v>
      </c>
      <c r="AF226" s="30">
        <v>9892</v>
      </c>
      <c r="AG226" s="42" t="s">
        <v>75</v>
      </c>
      <c r="AH226" s="42" t="s">
        <v>75</v>
      </c>
      <c r="AI226" s="32">
        <v>26066</v>
      </c>
      <c r="AJ226" s="31" t="s">
        <v>75</v>
      </c>
      <c r="AK226" s="31" t="s">
        <v>75</v>
      </c>
      <c r="AL226" s="31" t="s">
        <v>75</v>
      </c>
      <c r="AM226" s="31"/>
      <c r="AN226" s="31"/>
      <c r="AO226" s="31"/>
      <c r="AP226" s="31"/>
      <c r="AQ226" s="31"/>
      <c r="AR226" s="31"/>
      <c r="AS226" s="31" t="s">
        <v>75</v>
      </c>
      <c r="AT226" s="31" t="s">
        <v>75</v>
      </c>
      <c r="AU226" s="31" t="s">
        <v>75</v>
      </c>
      <c r="AV226" s="31" t="s">
        <v>75</v>
      </c>
      <c r="AW226" s="31" t="s">
        <v>75</v>
      </c>
      <c r="AX226" s="31" t="s">
        <v>75</v>
      </c>
      <c r="AY226" s="31" t="s">
        <v>75</v>
      </c>
      <c r="AZ226" s="31" t="s">
        <v>75</v>
      </c>
      <c r="BA226" s="29">
        <v>11679340</v>
      </c>
      <c r="BB226" s="31" t="s">
        <v>75</v>
      </c>
      <c r="BC226" s="31" t="s">
        <v>75</v>
      </c>
      <c r="BD226" s="29">
        <v>1572699</v>
      </c>
      <c r="BE226" s="113">
        <v>0</v>
      </c>
      <c r="BF226" s="113">
        <v>0</v>
      </c>
      <c r="BG226" s="113">
        <v>0</v>
      </c>
      <c r="BH226" s="113">
        <v>0</v>
      </c>
      <c r="BI226" s="113">
        <v>0</v>
      </c>
      <c r="BJ226" s="113">
        <v>0</v>
      </c>
      <c r="BK226" s="113">
        <v>0</v>
      </c>
      <c r="BL226" s="113">
        <v>0</v>
      </c>
      <c r="BM226" s="113">
        <v>0</v>
      </c>
      <c r="BN226" s="113">
        <v>0</v>
      </c>
      <c r="BO226" s="113">
        <v>0</v>
      </c>
      <c r="BP226" s="113">
        <v>0</v>
      </c>
      <c r="BQ226" s="113">
        <v>0</v>
      </c>
      <c r="BR226" s="113">
        <v>0</v>
      </c>
      <c r="BS226" s="113">
        <v>0</v>
      </c>
      <c r="BT226" s="113">
        <v>0</v>
      </c>
      <c r="BU226" s="113">
        <v>0</v>
      </c>
      <c r="BV226" s="113">
        <v>0</v>
      </c>
      <c r="BW226" s="113"/>
      <c r="BX226" s="113"/>
      <c r="BY226" s="113"/>
      <c r="BZ226" s="113">
        <v>0</v>
      </c>
      <c r="CA226" s="113">
        <v>0</v>
      </c>
      <c r="CB226" s="113">
        <v>0</v>
      </c>
      <c r="CC226" s="113"/>
      <c r="CD226" s="113"/>
      <c r="CE226" s="113"/>
      <c r="CF226" s="113">
        <v>0</v>
      </c>
      <c r="CG226" s="113">
        <v>0</v>
      </c>
      <c r="CH226" s="113">
        <v>0</v>
      </c>
      <c r="CI226" s="113">
        <v>0</v>
      </c>
      <c r="CJ226" s="113">
        <v>0</v>
      </c>
      <c r="CK226" s="113">
        <v>0</v>
      </c>
      <c r="CL226" s="113">
        <v>0</v>
      </c>
      <c r="CM226" s="113">
        <v>0</v>
      </c>
      <c r="CN226" s="113">
        <v>0</v>
      </c>
      <c r="CO226" s="113">
        <v>0</v>
      </c>
      <c r="CP226" s="113">
        <v>0</v>
      </c>
      <c r="CQ226" s="113">
        <v>0</v>
      </c>
      <c r="CR226" s="113">
        <v>0</v>
      </c>
      <c r="CS226" s="113">
        <v>0</v>
      </c>
      <c r="CT226" s="113">
        <v>0</v>
      </c>
      <c r="CU226" s="113">
        <v>0</v>
      </c>
      <c r="CV226" s="113">
        <v>0</v>
      </c>
      <c r="CW226" s="113">
        <v>0</v>
      </c>
      <c r="CX226" s="113">
        <v>0</v>
      </c>
      <c r="CY226" s="113">
        <v>0</v>
      </c>
      <c r="CZ226" s="113">
        <v>0</v>
      </c>
      <c r="DA226" s="113">
        <v>0</v>
      </c>
      <c r="DB226" s="113">
        <v>0</v>
      </c>
      <c r="DC226" s="113">
        <v>0</v>
      </c>
      <c r="DD226" s="113">
        <v>0</v>
      </c>
      <c r="DE226" s="113">
        <v>0</v>
      </c>
      <c r="DF226" s="113">
        <v>0</v>
      </c>
      <c r="DG226" s="113">
        <v>0</v>
      </c>
      <c r="DH226" s="113">
        <v>0</v>
      </c>
      <c r="DI226" s="113">
        <v>0</v>
      </c>
      <c r="DJ226" s="113">
        <v>0</v>
      </c>
      <c r="DK226" s="113">
        <v>0</v>
      </c>
      <c r="DL226" s="113">
        <v>0</v>
      </c>
      <c r="DM226" s="113">
        <v>0</v>
      </c>
      <c r="DN226" s="113">
        <v>0</v>
      </c>
      <c r="DO226" s="113">
        <v>0</v>
      </c>
      <c r="DP226" s="113">
        <v>0</v>
      </c>
      <c r="DQ226" s="113">
        <v>0</v>
      </c>
      <c r="DR226" s="113">
        <v>0</v>
      </c>
      <c r="DS226" s="113">
        <v>0</v>
      </c>
      <c r="DT226" s="113">
        <v>0</v>
      </c>
      <c r="DU226" s="113">
        <v>0</v>
      </c>
      <c r="DV226" s="113">
        <v>0</v>
      </c>
      <c r="DW226" s="113">
        <v>0</v>
      </c>
      <c r="DX226" s="113">
        <v>0</v>
      </c>
      <c r="DY226" s="113">
        <v>0</v>
      </c>
      <c r="DZ226" s="113">
        <v>0</v>
      </c>
      <c r="EA226" s="113">
        <v>0</v>
      </c>
      <c r="EB226" s="113">
        <v>0</v>
      </c>
      <c r="EC226" s="113">
        <v>0</v>
      </c>
      <c r="ED226" s="113">
        <v>0</v>
      </c>
      <c r="EE226" s="113">
        <v>0</v>
      </c>
      <c r="EF226" s="113">
        <v>0</v>
      </c>
      <c r="EG226" s="113">
        <v>0</v>
      </c>
      <c r="EH226" s="113">
        <v>0</v>
      </c>
      <c r="EI226" s="113">
        <v>0</v>
      </c>
      <c r="EJ226" s="113">
        <v>0</v>
      </c>
      <c r="EK226" s="113">
        <v>0</v>
      </c>
      <c r="EL226" s="113">
        <v>0</v>
      </c>
      <c r="EM226" s="113">
        <v>0</v>
      </c>
      <c r="EN226" s="113">
        <v>0</v>
      </c>
      <c r="EO226" s="113">
        <v>0</v>
      </c>
      <c r="EP226" s="113">
        <v>0</v>
      </c>
      <c r="EQ226" s="113">
        <v>0</v>
      </c>
      <c r="ER226" s="113">
        <v>0</v>
      </c>
      <c r="ES226" s="113">
        <v>0</v>
      </c>
      <c r="ET226" s="113">
        <v>0</v>
      </c>
      <c r="EU226" s="113">
        <v>0</v>
      </c>
      <c r="EV226" s="113">
        <v>0</v>
      </c>
      <c r="EW226" s="113">
        <v>0</v>
      </c>
      <c r="EX226" s="113">
        <v>0</v>
      </c>
      <c r="EY226" s="113">
        <v>0</v>
      </c>
      <c r="EZ226" s="113">
        <v>0</v>
      </c>
      <c r="FA226" s="113">
        <v>0</v>
      </c>
      <c r="FB226" s="113">
        <v>0</v>
      </c>
      <c r="FC226" s="113">
        <v>0</v>
      </c>
      <c r="FD226" s="113">
        <v>0</v>
      </c>
      <c r="FE226" s="113">
        <v>0</v>
      </c>
      <c r="FF226" s="113">
        <v>0</v>
      </c>
      <c r="FG226" s="113">
        <v>0</v>
      </c>
      <c r="FH226" s="113">
        <v>0</v>
      </c>
      <c r="FI226" s="113">
        <v>0</v>
      </c>
      <c r="FJ226" s="113">
        <v>0</v>
      </c>
      <c r="FK226" s="113">
        <v>0</v>
      </c>
      <c r="FL226" s="113">
        <v>0</v>
      </c>
      <c r="FM226" s="113">
        <v>0</v>
      </c>
      <c r="FN226" s="113">
        <v>0</v>
      </c>
      <c r="FO226" s="113">
        <v>0</v>
      </c>
      <c r="FP226" s="113">
        <v>0</v>
      </c>
      <c r="FQ226" s="113">
        <v>0</v>
      </c>
      <c r="FR226" s="113">
        <v>0</v>
      </c>
      <c r="FS226" s="113">
        <v>0</v>
      </c>
      <c r="FT226" s="113">
        <v>0</v>
      </c>
      <c r="FU226" s="113">
        <v>0</v>
      </c>
      <c r="FV226" s="113">
        <v>0</v>
      </c>
      <c r="FW226" s="113">
        <v>0</v>
      </c>
      <c r="FX226" s="32">
        <v>0</v>
      </c>
      <c r="FY226" s="30">
        <v>0</v>
      </c>
      <c r="FZ226" s="30">
        <v>0</v>
      </c>
    </row>
    <row r="227" spans="1:182" x14ac:dyDescent="0.2">
      <c r="A227" s="28">
        <v>38473</v>
      </c>
      <c r="B227" s="28"/>
      <c r="C227" s="29">
        <v>231666</v>
      </c>
      <c r="D227" s="29">
        <v>144792</v>
      </c>
      <c r="E227" s="29">
        <f t="shared" si="6"/>
        <v>376458</v>
      </c>
      <c r="F227" s="30">
        <v>2670600</v>
      </c>
      <c r="G227" s="30">
        <v>85215</v>
      </c>
      <c r="H227" s="30">
        <f t="shared" si="7"/>
        <v>2755815</v>
      </c>
      <c r="I227" s="42" t="s">
        <v>75</v>
      </c>
      <c r="J227" s="42" t="s">
        <v>75</v>
      </c>
      <c r="K227" s="32">
        <v>3641896</v>
      </c>
      <c r="L227" s="31" t="s">
        <v>75</v>
      </c>
      <c r="M227" s="31" t="s">
        <v>75</v>
      </c>
      <c r="N227" s="30">
        <v>10704830</v>
      </c>
      <c r="O227" s="31" t="s">
        <v>75</v>
      </c>
      <c r="P227" s="31" t="s">
        <v>75</v>
      </c>
      <c r="Q227" s="30">
        <v>13126730</v>
      </c>
      <c r="R227" s="31" t="s">
        <v>75</v>
      </c>
      <c r="S227" s="31" t="s">
        <v>75</v>
      </c>
      <c r="T227" s="32">
        <v>119241</v>
      </c>
      <c r="U227" s="31" t="s">
        <v>75</v>
      </c>
      <c r="V227" s="31" t="s">
        <v>75</v>
      </c>
      <c r="W227" s="30">
        <v>25574</v>
      </c>
      <c r="X227" s="31" t="s">
        <v>75</v>
      </c>
      <c r="Y227" s="31" t="s">
        <v>75</v>
      </c>
      <c r="Z227" s="30">
        <v>43201</v>
      </c>
      <c r="AA227" s="31" t="s">
        <v>75</v>
      </c>
      <c r="AB227" s="31" t="s">
        <v>75</v>
      </c>
      <c r="AC227" s="30">
        <v>55233</v>
      </c>
      <c r="AD227" s="31" t="s">
        <v>75</v>
      </c>
      <c r="AE227" s="31" t="s">
        <v>75</v>
      </c>
      <c r="AF227" s="30">
        <v>6255</v>
      </c>
      <c r="AG227" s="42" t="s">
        <v>75</v>
      </c>
      <c r="AH227" s="42" t="s">
        <v>75</v>
      </c>
      <c r="AI227" s="32">
        <v>20459</v>
      </c>
      <c r="AJ227" s="31" t="s">
        <v>75</v>
      </c>
      <c r="AK227" s="31" t="s">
        <v>75</v>
      </c>
      <c r="AL227" s="31" t="s">
        <v>75</v>
      </c>
      <c r="AM227" s="31"/>
      <c r="AN227" s="31"/>
      <c r="AO227" s="31"/>
      <c r="AP227" s="31"/>
      <c r="AQ227" s="31"/>
      <c r="AR227" s="31"/>
      <c r="AS227" s="31" t="s">
        <v>75</v>
      </c>
      <c r="AT227" s="31" t="s">
        <v>75</v>
      </c>
      <c r="AU227" s="31" t="s">
        <v>75</v>
      </c>
      <c r="AV227" s="31" t="s">
        <v>75</v>
      </c>
      <c r="AW227" s="31" t="s">
        <v>75</v>
      </c>
      <c r="AX227" s="31" t="s">
        <v>75</v>
      </c>
      <c r="AY227" s="31" t="s">
        <v>75</v>
      </c>
      <c r="AZ227" s="31" t="s">
        <v>75</v>
      </c>
      <c r="BA227" s="29">
        <v>15049598</v>
      </c>
      <c r="BB227" s="31" t="s">
        <v>75</v>
      </c>
      <c r="BC227" s="31" t="s">
        <v>75</v>
      </c>
      <c r="BD227" s="29">
        <v>1949379</v>
      </c>
      <c r="BE227" s="113">
        <v>0</v>
      </c>
      <c r="BF227" s="113">
        <v>0</v>
      </c>
      <c r="BG227" s="113">
        <v>0</v>
      </c>
      <c r="BH227" s="113">
        <v>0</v>
      </c>
      <c r="BI227" s="113">
        <v>0</v>
      </c>
      <c r="BJ227" s="113">
        <v>0</v>
      </c>
      <c r="BK227" s="113">
        <v>0</v>
      </c>
      <c r="BL227" s="113">
        <v>0</v>
      </c>
      <c r="BM227" s="113">
        <v>0</v>
      </c>
      <c r="BN227" s="113">
        <v>0</v>
      </c>
      <c r="BO227" s="113">
        <v>0</v>
      </c>
      <c r="BP227" s="113">
        <v>0</v>
      </c>
      <c r="BQ227" s="113">
        <v>0</v>
      </c>
      <c r="BR227" s="113">
        <v>0</v>
      </c>
      <c r="BS227" s="113">
        <v>0</v>
      </c>
      <c r="BT227" s="113">
        <v>0</v>
      </c>
      <c r="BU227" s="113">
        <v>0</v>
      </c>
      <c r="BV227" s="113">
        <v>0</v>
      </c>
      <c r="BW227" s="113"/>
      <c r="BX227" s="113"/>
      <c r="BY227" s="113"/>
      <c r="BZ227" s="113">
        <v>0</v>
      </c>
      <c r="CA227" s="113">
        <v>0</v>
      </c>
      <c r="CB227" s="113">
        <v>0</v>
      </c>
      <c r="CC227" s="113"/>
      <c r="CD227" s="113"/>
      <c r="CE227" s="113"/>
      <c r="CF227" s="113">
        <v>0</v>
      </c>
      <c r="CG227" s="113">
        <v>0</v>
      </c>
      <c r="CH227" s="113">
        <v>0</v>
      </c>
      <c r="CI227" s="113">
        <v>0</v>
      </c>
      <c r="CJ227" s="113">
        <v>0</v>
      </c>
      <c r="CK227" s="113">
        <v>0</v>
      </c>
      <c r="CL227" s="113">
        <v>0</v>
      </c>
      <c r="CM227" s="113">
        <v>0</v>
      </c>
      <c r="CN227" s="113">
        <v>0</v>
      </c>
      <c r="CO227" s="113">
        <v>0</v>
      </c>
      <c r="CP227" s="113">
        <v>0</v>
      </c>
      <c r="CQ227" s="113">
        <v>0</v>
      </c>
      <c r="CR227" s="113">
        <v>0</v>
      </c>
      <c r="CS227" s="113">
        <v>0</v>
      </c>
      <c r="CT227" s="113">
        <v>0</v>
      </c>
      <c r="CU227" s="113">
        <v>0</v>
      </c>
      <c r="CV227" s="113">
        <v>0</v>
      </c>
      <c r="CW227" s="113">
        <v>0</v>
      </c>
      <c r="CX227" s="113">
        <v>0</v>
      </c>
      <c r="CY227" s="113">
        <v>0</v>
      </c>
      <c r="CZ227" s="113">
        <v>0</v>
      </c>
      <c r="DA227" s="113">
        <v>0</v>
      </c>
      <c r="DB227" s="113">
        <v>0</v>
      </c>
      <c r="DC227" s="113">
        <v>0</v>
      </c>
      <c r="DD227" s="113">
        <v>0</v>
      </c>
      <c r="DE227" s="113">
        <v>0</v>
      </c>
      <c r="DF227" s="113">
        <v>0</v>
      </c>
      <c r="DG227" s="113">
        <v>0</v>
      </c>
      <c r="DH227" s="113">
        <v>0</v>
      </c>
      <c r="DI227" s="113">
        <v>0</v>
      </c>
      <c r="DJ227" s="113">
        <v>0</v>
      </c>
      <c r="DK227" s="113">
        <v>0</v>
      </c>
      <c r="DL227" s="113">
        <v>0</v>
      </c>
      <c r="DM227" s="113">
        <v>0</v>
      </c>
      <c r="DN227" s="113">
        <v>0</v>
      </c>
      <c r="DO227" s="113">
        <v>0</v>
      </c>
      <c r="DP227" s="113">
        <v>0</v>
      </c>
      <c r="DQ227" s="113">
        <v>0</v>
      </c>
      <c r="DR227" s="113">
        <v>0</v>
      </c>
      <c r="DS227" s="113">
        <v>0</v>
      </c>
      <c r="DT227" s="113">
        <v>0</v>
      </c>
      <c r="DU227" s="113">
        <v>0</v>
      </c>
      <c r="DV227" s="113">
        <v>0</v>
      </c>
      <c r="DW227" s="113">
        <v>0</v>
      </c>
      <c r="DX227" s="113">
        <v>0</v>
      </c>
      <c r="DY227" s="113">
        <v>0</v>
      </c>
      <c r="DZ227" s="113">
        <v>0</v>
      </c>
      <c r="EA227" s="113">
        <v>0</v>
      </c>
      <c r="EB227" s="113">
        <v>0</v>
      </c>
      <c r="EC227" s="113">
        <v>0</v>
      </c>
      <c r="ED227" s="113">
        <v>0</v>
      </c>
      <c r="EE227" s="113">
        <v>0</v>
      </c>
      <c r="EF227" s="113">
        <v>0</v>
      </c>
      <c r="EG227" s="113">
        <v>0</v>
      </c>
      <c r="EH227" s="113">
        <v>0</v>
      </c>
      <c r="EI227" s="113">
        <v>0</v>
      </c>
      <c r="EJ227" s="113">
        <v>0</v>
      </c>
      <c r="EK227" s="113">
        <v>0</v>
      </c>
      <c r="EL227" s="113">
        <v>0</v>
      </c>
      <c r="EM227" s="113">
        <v>0</v>
      </c>
      <c r="EN227" s="113">
        <v>0</v>
      </c>
      <c r="EO227" s="113">
        <v>0</v>
      </c>
      <c r="EP227" s="113">
        <v>0</v>
      </c>
      <c r="EQ227" s="113">
        <v>0</v>
      </c>
      <c r="ER227" s="113">
        <v>0</v>
      </c>
      <c r="ES227" s="113">
        <v>0</v>
      </c>
      <c r="ET227" s="113">
        <v>0</v>
      </c>
      <c r="EU227" s="113">
        <v>0</v>
      </c>
      <c r="EV227" s="113">
        <v>0</v>
      </c>
      <c r="EW227" s="113">
        <v>0</v>
      </c>
      <c r="EX227" s="113">
        <v>0</v>
      </c>
      <c r="EY227" s="113">
        <v>0</v>
      </c>
      <c r="EZ227" s="113">
        <v>0</v>
      </c>
      <c r="FA227" s="113">
        <v>0</v>
      </c>
      <c r="FB227" s="113">
        <v>0</v>
      </c>
      <c r="FC227" s="113">
        <v>0</v>
      </c>
      <c r="FD227" s="113">
        <v>0</v>
      </c>
      <c r="FE227" s="113">
        <v>0</v>
      </c>
      <c r="FF227" s="113">
        <v>0</v>
      </c>
      <c r="FG227" s="113">
        <v>0</v>
      </c>
      <c r="FH227" s="113">
        <v>0</v>
      </c>
      <c r="FI227" s="113">
        <v>0</v>
      </c>
      <c r="FJ227" s="113">
        <v>0</v>
      </c>
      <c r="FK227" s="113">
        <v>0</v>
      </c>
      <c r="FL227" s="113">
        <v>0</v>
      </c>
      <c r="FM227" s="113">
        <v>0</v>
      </c>
      <c r="FN227" s="113">
        <v>0</v>
      </c>
      <c r="FO227" s="113">
        <v>0</v>
      </c>
      <c r="FP227" s="113">
        <v>0</v>
      </c>
      <c r="FQ227" s="113">
        <v>0</v>
      </c>
      <c r="FR227" s="113">
        <v>0</v>
      </c>
      <c r="FS227" s="113">
        <v>0</v>
      </c>
      <c r="FT227" s="113">
        <v>0</v>
      </c>
      <c r="FU227" s="113">
        <v>0</v>
      </c>
      <c r="FV227" s="113">
        <v>0</v>
      </c>
      <c r="FW227" s="113">
        <v>0</v>
      </c>
      <c r="FX227" s="32">
        <v>0</v>
      </c>
      <c r="FY227" s="30">
        <v>0</v>
      </c>
      <c r="FZ227" s="30">
        <v>0</v>
      </c>
    </row>
    <row r="228" spans="1:182" x14ac:dyDescent="0.2">
      <c r="A228" s="28">
        <v>38504</v>
      </c>
      <c r="B228" s="28"/>
      <c r="C228" s="29">
        <v>320583</v>
      </c>
      <c r="D228" s="29">
        <v>197465</v>
      </c>
      <c r="E228" s="29">
        <f t="shared" si="6"/>
        <v>518048</v>
      </c>
      <c r="F228" s="30">
        <v>2736838</v>
      </c>
      <c r="G228" s="30">
        <v>64211</v>
      </c>
      <c r="H228" s="30">
        <f t="shared" si="7"/>
        <v>2801049</v>
      </c>
      <c r="I228" s="42" t="s">
        <v>75</v>
      </c>
      <c r="J228" s="42" t="s">
        <v>75</v>
      </c>
      <c r="K228" s="32">
        <v>3911853</v>
      </c>
      <c r="L228" s="31" t="s">
        <v>75</v>
      </c>
      <c r="M228" s="31" t="s">
        <v>75</v>
      </c>
      <c r="N228" s="30">
        <v>10441277</v>
      </c>
      <c r="O228" s="31" t="s">
        <v>75</v>
      </c>
      <c r="P228" s="31" t="s">
        <v>75</v>
      </c>
      <c r="Q228" s="30">
        <v>14394413</v>
      </c>
      <c r="R228" s="31" t="s">
        <v>75</v>
      </c>
      <c r="S228" s="31" t="s">
        <v>75</v>
      </c>
      <c r="T228" s="32">
        <v>122806</v>
      </c>
      <c r="U228" s="31" t="s">
        <v>75</v>
      </c>
      <c r="V228" s="31" t="s">
        <v>75</v>
      </c>
      <c r="W228" s="30">
        <v>25481</v>
      </c>
      <c r="X228" s="31" t="s">
        <v>75</v>
      </c>
      <c r="Y228" s="31" t="s">
        <v>75</v>
      </c>
      <c r="Z228" s="30">
        <v>56855</v>
      </c>
      <c r="AA228" s="31" t="s">
        <v>75</v>
      </c>
      <c r="AB228" s="31" t="s">
        <v>75</v>
      </c>
      <c r="AC228" s="30">
        <v>174784</v>
      </c>
      <c r="AD228" s="31" t="s">
        <v>75</v>
      </c>
      <c r="AE228" s="31" t="s">
        <v>75</v>
      </c>
      <c r="AF228" s="30">
        <v>8617</v>
      </c>
      <c r="AG228" s="42" t="s">
        <v>75</v>
      </c>
      <c r="AH228" s="42" t="s">
        <v>75</v>
      </c>
      <c r="AI228" s="32">
        <v>31023</v>
      </c>
      <c r="AJ228" s="31" t="s">
        <v>75</v>
      </c>
      <c r="AK228" s="31" t="s">
        <v>75</v>
      </c>
      <c r="AL228" s="31" t="s">
        <v>75</v>
      </c>
      <c r="AM228" s="31"/>
      <c r="AN228" s="31"/>
      <c r="AO228" s="31"/>
      <c r="AP228" s="31"/>
      <c r="AQ228" s="31"/>
      <c r="AR228" s="31"/>
      <c r="AS228" s="31" t="s">
        <v>75</v>
      </c>
      <c r="AT228" s="31" t="s">
        <v>75</v>
      </c>
      <c r="AU228" s="31" t="s">
        <v>75</v>
      </c>
      <c r="AV228" s="31" t="s">
        <v>75</v>
      </c>
      <c r="AW228" s="31" t="s">
        <v>75</v>
      </c>
      <c r="AX228" s="31" t="s">
        <v>75</v>
      </c>
      <c r="AY228" s="31" t="s">
        <v>75</v>
      </c>
      <c r="AZ228" s="31" t="s">
        <v>75</v>
      </c>
      <c r="BA228" s="29">
        <v>7989036</v>
      </c>
      <c r="BB228" s="31" t="s">
        <v>75</v>
      </c>
      <c r="BC228" s="31" t="s">
        <v>75</v>
      </c>
      <c r="BD228" s="29">
        <v>1372630</v>
      </c>
      <c r="BE228" s="113">
        <v>0</v>
      </c>
      <c r="BF228" s="113">
        <v>0</v>
      </c>
      <c r="BG228" s="113">
        <v>0</v>
      </c>
      <c r="BH228" s="113">
        <v>0</v>
      </c>
      <c r="BI228" s="113">
        <v>0</v>
      </c>
      <c r="BJ228" s="113">
        <v>0</v>
      </c>
      <c r="BK228" s="113">
        <v>0</v>
      </c>
      <c r="BL228" s="113">
        <v>0</v>
      </c>
      <c r="BM228" s="113">
        <v>0</v>
      </c>
      <c r="BN228" s="113">
        <v>0</v>
      </c>
      <c r="BO228" s="113">
        <v>0</v>
      </c>
      <c r="BP228" s="113">
        <v>0</v>
      </c>
      <c r="BQ228" s="113">
        <v>0</v>
      </c>
      <c r="BR228" s="113">
        <v>0</v>
      </c>
      <c r="BS228" s="113">
        <v>0</v>
      </c>
      <c r="BT228" s="113">
        <v>0</v>
      </c>
      <c r="BU228" s="113">
        <v>0</v>
      </c>
      <c r="BV228" s="113">
        <v>0</v>
      </c>
      <c r="BW228" s="113"/>
      <c r="BX228" s="113"/>
      <c r="BY228" s="113"/>
      <c r="BZ228" s="113">
        <v>0</v>
      </c>
      <c r="CA228" s="113">
        <v>0</v>
      </c>
      <c r="CB228" s="113">
        <v>0</v>
      </c>
      <c r="CC228" s="113"/>
      <c r="CD228" s="113"/>
      <c r="CE228" s="113"/>
      <c r="CF228" s="113">
        <v>0</v>
      </c>
      <c r="CG228" s="113">
        <v>0</v>
      </c>
      <c r="CH228" s="113">
        <v>0</v>
      </c>
      <c r="CI228" s="113">
        <v>0</v>
      </c>
      <c r="CJ228" s="113">
        <v>0</v>
      </c>
      <c r="CK228" s="113">
        <v>0</v>
      </c>
      <c r="CL228" s="113">
        <v>0</v>
      </c>
      <c r="CM228" s="113">
        <v>0</v>
      </c>
      <c r="CN228" s="113">
        <v>0</v>
      </c>
      <c r="CO228" s="113">
        <v>0</v>
      </c>
      <c r="CP228" s="113">
        <v>0</v>
      </c>
      <c r="CQ228" s="113">
        <v>0</v>
      </c>
      <c r="CR228" s="113">
        <v>0</v>
      </c>
      <c r="CS228" s="113">
        <v>0</v>
      </c>
      <c r="CT228" s="113">
        <v>0</v>
      </c>
      <c r="CU228" s="113">
        <v>0</v>
      </c>
      <c r="CV228" s="113">
        <v>0</v>
      </c>
      <c r="CW228" s="113">
        <v>0</v>
      </c>
      <c r="CX228" s="113">
        <v>0</v>
      </c>
      <c r="CY228" s="113">
        <v>0</v>
      </c>
      <c r="CZ228" s="113">
        <v>0</v>
      </c>
      <c r="DA228" s="113">
        <v>0</v>
      </c>
      <c r="DB228" s="113">
        <v>0</v>
      </c>
      <c r="DC228" s="113">
        <v>0</v>
      </c>
      <c r="DD228" s="113">
        <v>0</v>
      </c>
      <c r="DE228" s="113">
        <v>0</v>
      </c>
      <c r="DF228" s="113">
        <v>0</v>
      </c>
      <c r="DG228" s="113">
        <v>0</v>
      </c>
      <c r="DH228" s="113">
        <v>0</v>
      </c>
      <c r="DI228" s="113">
        <v>0</v>
      </c>
      <c r="DJ228" s="113">
        <v>0</v>
      </c>
      <c r="DK228" s="113">
        <v>0</v>
      </c>
      <c r="DL228" s="113">
        <v>0</v>
      </c>
      <c r="DM228" s="113">
        <v>0</v>
      </c>
      <c r="DN228" s="113">
        <v>0</v>
      </c>
      <c r="DO228" s="113">
        <v>0</v>
      </c>
      <c r="DP228" s="113">
        <v>0</v>
      </c>
      <c r="DQ228" s="113">
        <v>0</v>
      </c>
      <c r="DR228" s="113">
        <v>0</v>
      </c>
      <c r="DS228" s="113">
        <v>0</v>
      </c>
      <c r="DT228" s="113">
        <v>0</v>
      </c>
      <c r="DU228" s="113">
        <v>0</v>
      </c>
      <c r="DV228" s="113">
        <v>0</v>
      </c>
      <c r="DW228" s="113">
        <v>0</v>
      </c>
      <c r="DX228" s="113">
        <v>0</v>
      </c>
      <c r="DY228" s="113">
        <v>0</v>
      </c>
      <c r="DZ228" s="113">
        <v>0</v>
      </c>
      <c r="EA228" s="113">
        <v>0</v>
      </c>
      <c r="EB228" s="113">
        <v>0</v>
      </c>
      <c r="EC228" s="113">
        <v>0</v>
      </c>
      <c r="ED228" s="113">
        <v>0</v>
      </c>
      <c r="EE228" s="113">
        <v>0</v>
      </c>
      <c r="EF228" s="113">
        <v>0</v>
      </c>
      <c r="EG228" s="113">
        <v>0</v>
      </c>
      <c r="EH228" s="113">
        <v>0</v>
      </c>
      <c r="EI228" s="113">
        <v>0</v>
      </c>
      <c r="EJ228" s="113">
        <v>0</v>
      </c>
      <c r="EK228" s="113">
        <v>0</v>
      </c>
      <c r="EL228" s="113">
        <v>0</v>
      </c>
      <c r="EM228" s="113">
        <v>0</v>
      </c>
      <c r="EN228" s="113">
        <v>0</v>
      </c>
      <c r="EO228" s="113">
        <v>0</v>
      </c>
      <c r="EP228" s="113">
        <v>0</v>
      </c>
      <c r="EQ228" s="113">
        <v>0</v>
      </c>
      <c r="ER228" s="113">
        <v>0</v>
      </c>
      <c r="ES228" s="113">
        <v>0</v>
      </c>
      <c r="ET228" s="113">
        <v>0</v>
      </c>
      <c r="EU228" s="113">
        <v>0</v>
      </c>
      <c r="EV228" s="113">
        <v>0</v>
      </c>
      <c r="EW228" s="113">
        <v>0</v>
      </c>
      <c r="EX228" s="113">
        <v>0</v>
      </c>
      <c r="EY228" s="113">
        <v>0</v>
      </c>
      <c r="EZ228" s="113">
        <v>0</v>
      </c>
      <c r="FA228" s="113">
        <v>0</v>
      </c>
      <c r="FB228" s="113">
        <v>0</v>
      </c>
      <c r="FC228" s="113">
        <v>0</v>
      </c>
      <c r="FD228" s="113">
        <v>0</v>
      </c>
      <c r="FE228" s="113">
        <v>0</v>
      </c>
      <c r="FF228" s="113">
        <v>0</v>
      </c>
      <c r="FG228" s="113">
        <v>0</v>
      </c>
      <c r="FH228" s="113">
        <v>0</v>
      </c>
      <c r="FI228" s="113">
        <v>0</v>
      </c>
      <c r="FJ228" s="113">
        <v>0</v>
      </c>
      <c r="FK228" s="113">
        <v>0</v>
      </c>
      <c r="FL228" s="113">
        <v>0</v>
      </c>
      <c r="FM228" s="113">
        <v>0</v>
      </c>
      <c r="FN228" s="113">
        <v>0</v>
      </c>
      <c r="FO228" s="113">
        <v>0</v>
      </c>
      <c r="FP228" s="113">
        <v>0</v>
      </c>
      <c r="FQ228" s="113">
        <v>0</v>
      </c>
      <c r="FR228" s="113">
        <v>0</v>
      </c>
      <c r="FS228" s="113">
        <v>0</v>
      </c>
      <c r="FT228" s="113">
        <v>0</v>
      </c>
      <c r="FU228" s="113">
        <v>0</v>
      </c>
      <c r="FV228" s="113">
        <v>0</v>
      </c>
      <c r="FW228" s="113">
        <v>0</v>
      </c>
      <c r="FX228" s="32">
        <v>0</v>
      </c>
      <c r="FY228" s="30">
        <v>0</v>
      </c>
      <c r="FZ228" s="30">
        <v>0</v>
      </c>
    </row>
    <row r="229" spans="1:182" x14ac:dyDescent="0.2">
      <c r="A229" s="28">
        <v>38534</v>
      </c>
      <c r="B229" s="28"/>
      <c r="C229" s="29">
        <v>142614</v>
      </c>
      <c r="D229" s="29">
        <v>173396</v>
      </c>
      <c r="E229" s="29">
        <f t="shared" si="6"/>
        <v>316010</v>
      </c>
      <c r="F229" s="30">
        <v>3227193</v>
      </c>
      <c r="G229" s="30">
        <v>41468</v>
      </c>
      <c r="H229" s="30">
        <f t="shared" si="7"/>
        <v>3268661</v>
      </c>
      <c r="I229" s="42" t="s">
        <v>75</v>
      </c>
      <c r="J229" s="42" t="s">
        <v>75</v>
      </c>
      <c r="K229" s="32">
        <v>3962739</v>
      </c>
      <c r="L229" s="31" t="s">
        <v>75</v>
      </c>
      <c r="M229" s="31" t="s">
        <v>75</v>
      </c>
      <c r="N229" s="30">
        <v>10914025</v>
      </c>
      <c r="O229" s="31" t="s">
        <v>75</v>
      </c>
      <c r="P229" s="31" t="s">
        <v>75</v>
      </c>
      <c r="Q229" s="30">
        <v>12231481</v>
      </c>
      <c r="R229" s="31" t="s">
        <v>75</v>
      </c>
      <c r="S229" s="31" t="s">
        <v>75</v>
      </c>
      <c r="T229" s="32">
        <v>128735</v>
      </c>
      <c r="U229" s="31" t="s">
        <v>75</v>
      </c>
      <c r="V229" s="31" t="s">
        <v>75</v>
      </c>
      <c r="W229" s="30">
        <v>25193</v>
      </c>
      <c r="X229" s="31" t="s">
        <v>75</v>
      </c>
      <c r="Y229" s="31" t="s">
        <v>75</v>
      </c>
      <c r="Z229" s="30">
        <v>61856</v>
      </c>
      <c r="AA229" s="31" t="s">
        <v>75</v>
      </c>
      <c r="AB229" s="31" t="s">
        <v>75</v>
      </c>
      <c r="AC229" s="30">
        <v>90972</v>
      </c>
      <c r="AD229" s="31" t="s">
        <v>75</v>
      </c>
      <c r="AE229" s="31" t="s">
        <v>75</v>
      </c>
      <c r="AF229" s="30">
        <v>4342</v>
      </c>
      <c r="AG229" s="42" t="s">
        <v>75</v>
      </c>
      <c r="AH229" s="42" t="s">
        <v>75</v>
      </c>
      <c r="AI229" s="32">
        <v>24330</v>
      </c>
      <c r="AJ229" s="31" t="s">
        <v>75</v>
      </c>
      <c r="AK229" s="31" t="s">
        <v>75</v>
      </c>
      <c r="AL229" s="31" t="s">
        <v>75</v>
      </c>
      <c r="AM229" s="31"/>
      <c r="AN229" s="31"/>
      <c r="AO229" s="31"/>
      <c r="AP229" s="31"/>
      <c r="AQ229" s="31"/>
      <c r="AR229" s="31"/>
      <c r="AS229" s="31" t="s">
        <v>75</v>
      </c>
      <c r="AT229" s="31" t="s">
        <v>75</v>
      </c>
      <c r="AU229" s="31" t="s">
        <v>75</v>
      </c>
      <c r="AV229" s="31" t="s">
        <v>75</v>
      </c>
      <c r="AW229" s="31" t="s">
        <v>75</v>
      </c>
      <c r="AX229" s="31" t="s">
        <v>75</v>
      </c>
      <c r="AY229" s="31" t="s">
        <v>75</v>
      </c>
      <c r="AZ229" s="31" t="s">
        <v>75</v>
      </c>
      <c r="BA229" s="29">
        <v>9475298</v>
      </c>
      <c r="BB229" s="31" t="s">
        <v>75</v>
      </c>
      <c r="BC229" s="31" t="s">
        <v>75</v>
      </c>
      <c r="BD229" s="29">
        <v>1551696</v>
      </c>
      <c r="BE229" s="113">
        <v>0</v>
      </c>
      <c r="BF229" s="113">
        <v>0</v>
      </c>
      <c r="BG229" s="113">
        <v>0</v>
      </c>
      <c r="BH229" s="113">
        <v>0</v>
      </c>
      <c r="BI229" s="113">
        <v>0</v>
      </c>
      <c r="BJ229" s="113">
        <v>0</v>
      </c>
      <c r="BK229" s="113">
        <v>0</v>
      </c>
      <c r="BL229" s="113">
        <v>0</v>
      </c>
      <c r="BM229" s="113">
        <v>0</v>
      </c>
      <c r="BN229" s="113">
        <v>0</v>
      </c>
      <c r="BO229" s="113">
        <v>0</v>
      </c>
      <c r="BP229" s="113">
        <v>0</v>
      </c>
      <c r="BQ229" s="113">
        <v>0</v>
      </c>
      <c r="BR229" s="113">
        <v>0</v>
      </c>
      <c r="BS229" s="113">
        <v>0</v>
      </c>
      <c r="BT229" s="113">
        <v>0</v>
      </c>
      <c r="BU229" s="113">
        <v>0</v>
      </c>
      <c r="BV229" s="113">
        <v>0</v>
      </c>
      <c r="BW229" s="113"/>
      <c r="BX229" s="113"/>
      <c r="BY229" s="113"/>
      <c r="BZ229" s="113">
        <v>0</v>
      </c>
      <c r="CA229" s="113">
        <v>0</v>
      </c>
      <c r="CB229" s="113">
        <v>0</v>
      </c>
      <c r="CC229" s="113"/>
      <c r="CD229" s="113"/>
      <c r="CE229" s="113"/>
      <c r="CF229" s="113">
        <v>0</v>
      </c>
      <c r="CG229" s="113">
        <v>0</v>
      </c>
      <c r="CH229" s="113">
        <v>0</v>
      </c>
      <c r="CI229" s="113">
        <v>0</v>
      </c>
      <c r="CJ229" s="113">
        <v>0</v>
      </c>
      <c r="CK229" s="113">
        <v>0</v>
      </c>
      <c r="CL229" s="113">
        <v>0</v>
      </c>
      <c r="CM229" s="113">
        <v>0</v>
      </c>
      <c r="CN229" s="113">
        <v>0</v>
      </c>
      <c r="CO229" s="113">
        <v>0</v>
      </c>
      <c r="CP229" s="113">
        <v>0</v>
      </c>
      <c r="CQ229" s="113">
        <v>0</v>
      </c>
      <c r="CR229" s="113">
        <v>0</v>
      </c>
      <c r="CS229" s="113">
        <v>0</v>
      </c>
      <c r="CT229" s="113">
        <v>0</v>
      </c>
      <c r="CU229" s="113">
        <v>0</v>
      </c>
      <c r="CV229" s="113">
        <v>0</v>
      </c>
      <c r="CW229" s="113">
        <v>0</v>
      </c>
      <c r="CX229" s="113">
        <v>0</v>
      </c>
      <c r="CY229" s="113">
        <v>0</v>
      </c>
      <c r="CZ229" s="113">
        <v>0</v>
      </c>
      <c r="DA229" s="113">
        <v>0</v>
      </c>
      <c r="DB229" s="113">
        <v>0</v>
      </c>
      <c r="DC229" s="113">
        <v>0</v>
      </c>
      <c r="DD229" s="113">
        <v>0</v>
      </c>
      <c r="DE229" s="113">
        <v>0</v>
      </c>
      <c r="DF229" s="113">
        <v>0</v>
      </c>
      <c r="DG229" s="113">
        <v>0</v>
      </c>
      <c r="DH229" s="113">
        <v>0</v>
      </c>
      <c r="DI229" s="113">
        <v>0</v>
      </c>
      <c r="DJ229" s="113">
        <v>0</v>
      </c>
      <c r="DK229" s="113">
        <v>0</v>
      </c>
      <c r="DL229" s="113">
        <v>0</v>
      </c>
      <c r="DM229" s="113">
        <v>0</v>
      </c>
      <c r="DN229" s="113">
        <v>0</v>
      </c>
      <c r="DO229" s="113">
        <v>0</v>
      </c>
      <c r="DP229" s="113">
        <v>0</v>
      </c>
      <c r="DQ229" s="113">
        <v>0</v>
      </c>
      <c r="DR229" s="113">
        <v>0</v>
      </c>
      <c r="DS229" s="113">
        <v>0</v>
      </c>
      <c r="DT229" s="113">
        <v>0</v>
      </c>
      <c r="DU229" s="113">
        <v>0</v>
      </c>
      <c r="DV229" s="113">
        <v>0</v>
      </c>
      <c r="DW229" s="113">
        <v>0</v>
      </c>
      <c r="DX229" s="113">
        <v>0</v>
      </c>
      <c r="DY229" s="113">
        <v>0</v>
      </c>
      <c r="DZ229" s="113">
        <v>0</v>
      </c>
      <c r="EA229" s="113">
        <v>0</v>
      </c>
      <c r="EB229" s="113">
        <v>0</v>
      </c>
      <c r="EC229" s="113">
        <v>0</v>
      </c>
      <c r="ED229" s="113">
        <v>0</v>
      </c>
      <c r="EE229" s="113">
        <v>0</v>
      </c>
      <c r="EF229" s="113">
        <v>0</v>
      </c>
      <c r="EG229" s="113">
        <v>0</v>
      </c>
      <c r="EH229" s="113">
        <v>0</v>
      </c>
      <c r="EI229" s="113">
        <v>0</v>
      </c>
      <c r="EJ229" s="113">
        <v>0</v>
      </c>
      <c r="EK229" s="113">
        <v>0</v>
      </c>
      <c r="EL229" s="113">
        <v>0</v>
      </c>
      <c r="EM229" s="113">
        <v>0</v>
      </c>
      <c r="EN229" s="113">
        <v>0</v>
      </c>
      <c r="EO229" s="113">
        <v>0</v>
      </c>
      <c r="EP229" s="113">
        <v>0</v>
      </c>
      <c r="EQ229" s="113">
        <v>0</v>
      </c>
      <c r="ER229" s="113">
        <v>0</v>
      </c>
      <c r="ES229" s="113">
        <v>0</v>
      </c>
      <c r="ET229" s="113">
        <v>0</v>
      </c>
      <c r="EU229" s="113">
        <v>0</v>
      </c>
      <c r="EV229" s="113">
        <v>0</v>
      </c>
      <c r="EW229" s="113">
        <v>0</v>
      </c>
      <c r="EX229" s="113">
        <v>0</v>
      </c>
      <c r="EY229" s="113">
        <v>0</v>
      </c>
      <c r="EZ229" s="113">
        <v>0</v>
      </c>
      <c r="FA229" s="113">
        <v>0</v>
      </c>
      <c r="FB229" s="113">
        <v>0</v>
      </c>
      <c r="FC229" s="113">
        <v>0</v>
      </c>
      <c r="FD229" s="113">
        <v>0</v>
      </c>
      <c r="FE229" s="113">
        <v>0</v>
      </c>
      <c r="FF229" s="113">
        <v>0</v>
      </c>
      <c r="FG229" s="113">
        <v>0</v>
      </c>
      <c r="FH229" s="113">
        <v>0</v>
      </c>
      <c r="FI229" s="113">
        <v>0</v>
      </c>
      <c r="FJ229" s="113">
        <v>0</v>
      </c>
      <c r="FK229" s="113">
        <v>0</v>
      </c>
      <c r="FL229" s="113">
        <v>0</v>
      </c>
      <c r="FM229" s="113">
        <v>0</v>
      </c>
      <c r="FN229" s="113">
        <v>0</v>
      </c>
      <c r="FO229" s="113">
        <v>0</v>
      </c>
      <c r="FP229" s="113">
        <v>0</v>
      </c>
      <c r="FQ229" s="113">
        <v>0</v>
      </c>
      <c r="FR229" s="113">
        <v>0</v>
      </c>
      <c r="FS229" s="113">
        <v>0</v>
      </c>
      <c r="FT229" s="113">
        <v>0</v>
      </c>
      <c r="FU229" s="113">
        <v>0</v>
      </c>
      <c r="FV229" s="113">
        <v>0</v>
      </c>
      <c r="FW229" s="113">
        <v>0</v>
      </c>
      <c r="FX229" s="32">
        <v>0</v>
      </c>
      <c r="FY229" s="30">
        <v>0</v>
      </c>
      <c r="FZ229" s="30">
        <v>0</v>
      </c>
    </row>
    <row r="230" spans="1:182" x14ac:dyDescent="0.2">
      <c r="A230" s="28">
        <v>38565</v>
      </c>
      <c r="B230" s="28"/>
      <c r="C230" s="29">
        <v>216158</v>
      </c>
      <c r="D230" s="29">
        <v>168090</v>
      </c>
      <c r="E230" s="29">
        <f t="shared" si="6"/>
        <v>384248</v>
      </c>
      <c r="F230" s="30">
        <v>3929568</v>
      </c>
      <c r="G230" s="30">
        <v>110712</v>
      </c>
      <c r="H230" s="30">
        <f t="shared" si="7"/>
        <v>4040280</v>
      </c>
      <c r="I230" s="42" t="s">
        <v>75</v>
      </c>
      <c r="J230" s="42" t="s">
        <v>75</v>
      </c>
      <c r="K230" s="32">
        <v>4391176</v>
      </c>
      <c r="L230" s="31" t="s">
        <v>75</v>
      </c>
      <c r="M230" s="31" t="s">
        <v>75</v>
      </c>
      <c r="N230" s="30">
        <v>12300840</v>
      </c>
      <c r="O230" s="31" t="s">
        <v>75</v>
      </c>
      <c r="P230" s="31" t="s">
        <v>75</v>
      </c>
      <c r="Q230" s="30">
        <v>13220234</v>
      </c>
      <c r="R230" s="31" t="s">
        <v>75</v>
      </c>
      <c r="S230" s="31" t="s">
        <v>75</v>
      </c>
      <c r="T230" s="32">
        <v>129974</v>
      </c>
      <c r="U230" s="31" t="s">
        <v>75</v>
      </c>
      <c r="V230" s="31" t="s">
        <v>75</v>
      </c>
      <c r="W230" s="30">
        <v>26036</v>
      </c>
      <c r="X230" s="31" t="s">
        <v>75</v>
      </c>
      <c r="Y230" s="31" t="s">
        <v>75</v>
      </c>
      <c r="Z230" s="30">
        <v>56179</v>
      </c>
      <c r="AA230" s="31" t="s">
        <v>75</v>
      </c>
      <c r="AB230" s="31" t="s">
        <v>75</v>
      </c>
      <c r="AC230" s="30">
        <v>44025</v>
      </c>
      <c r="AD230" s="31" t="s">
        <v>75</v>
      </c>
      <c r="AE230" s="31" t="s">
        <v>75</v>
      </c>
      <c r="AF230" s="30">
        <v>7552</v>
      </c>
      <c r="AG230" s="42" t="s">
        <v>75</v>
      </c>
      <c r="AH230" s="42" t="s">
        <v>75</v>
      </c>
      <c r="AI230" s="32">
        <v>20486</v>
      </c>
      <c r="AJ230" s="31" t="s">
        <v>75</v>
      </c>
      <c r="AK230" s="31" t="s">
        <v>75</v>
      </c>
      <c r="AL230" s="31" t="s">
        <v>75</v>
      </c>
      <c r="AM230" s="31"/>
      <c r="AN230" s="31"/>
      <c r="AO230" s="31"/>
      <c r="AP230" s="31"/>
      <c r="AQ230" s="31"/>
      <c r="AR230" s="31"/>
      <c r="AS230" s="31" t="s">
        <v>75</v>
      </c>
      <c r="AT230" s="31" t="s">
        <v>75</v>
      </c>
      <c r="AU230" s="31" t="s">
        <v>75</v>
      </c>
      <c r="AV230" s="31" t="s">
        <v>75</v>
      </c>
      <c r="AW230" s="31" t="s">
        <v>75</v>
      </c>
      <c r="AX230" s="31" t="s">
        <v>75</v>
      </c>
      <c r="AY230" s="31" t="s">
        <v>75</v>
      </c>
      <c r="AZ230" s="31" t="s">
        <v>75</v>
      </c>
      <c r="BA230" s="29">
        <v>10960912</v>
      </c>
      <c r="BB230" s="31" t="s">
        <v>75</v>
      </c>
      <c r="BC230" s="31" t="s">
        <v>75</v>
      </c>
      <c r="BD230" s="29">
        <v>1604747</v>
      </c>
      <c r="BE230" s="113">
        <v>0</v>
      </c>
      <c r="BF230" s="113">
        <v>0</v>
      </c>
      <c r="BG230" s="113">
        <v>0</v>
      </c>
      <c r="BH230" s="113">
        <v>0</v>
      </c>
      <c r="BI230" s="113">
        <v>0</v>
      </c>
      <c r="BJ230" s="113">
        <v>0</v>
      </c>
      <c r="BK230" s="113">
        <v>0</v>
      </c>
      <c r="BL230" s="113">
        <v>0</v>
      </c>
      <c r="BM230" s="113">
        <v>0</v>
      </c>
      <c r="BN230" s="113">
        <v>0</v>
      </c>
      <c r="BO230" s="113">
        <v>0</v>
      </c>
      <c r="BP230" s="113">
        <v>0</v>
      </c>
      <c r="BQ230" s="113">
        <v>0</v>
      </c>
      <c r="BR230" s="113">
        <v>0</v>
      </c>
      <c r="BS230" s="113">
        <v>0</v>
      </c>
      <c r="BT230" s="113">
        <v>0</v>
      </c>
      <c r="BU230" s="113">
        <v>0</v>
      </c>
      <c r="BV230" s="113">
        <v>0</v>
      </c>
      <c r="BW230" s="113"/>
      <c r="BX230" s="113"/>
      <c r="BY230" s="113"/>
      <c r="BZ230" s="113">
        <v>0</v>
      </c>
      <c r="CA230" s="113">
        <v>0</v>
      </c>
      <c r="CB230" s="113">
        <v>0</v>
      </c>
      <c r="CC230" s="113"/>
      <c r="CD230" s="113"/>
      <c r="CE230" s="113"/>
      <c r="CF230" s="113">
        <v>0</v>
      </c>
      <c r="CG230" s="113">
        <v>0</v>
      </c>
      <c r="CH230" s="113">
        <v>0</v>
      </c>
      <c r="CI230" s="113">
        <v>0</v>
      </c>
      <c r="CJ230" s="113">
        <v>0</v>
      </c>
      <c r="CK230" s="113">
        <v>0</v>
      </c>
      <c r="CL230" s="113">
        <v>0</v>
      </c>
      <c r="CM230" s="113">
        <v>0</v>
      </c>
      <c r="CN230" s="113">
        <v>0</v>
      </c>
      <c r="CO230" s="113">
        <v>0</v>
      </c>
      <c r="CP230" s="113">
        <v>0</v>
      </c>
      <c r="CQ230" s="113">
        <v>0</v>
      </c>
      <c r="CR230" s="113">
        <v>0</v>
      </c>
      <c r="CS230" s="113">
        <v>0</v>
      </c>
      <c r="CT230" s="113">
        <v>0</v>
      </c>
      <c r="CU230" s="113">
        <v>0</v>
      </c>
      <c r="CV230" s="113">
        <v>0</v>
      </c>
      <c r="CW230" s="113">
        <v>0</v>
      </c>
      <c r="CX230" s="113">
        <v>0</v>
      </c>
      <c r="CY230" s="113">
        <v>0</v>
      </c>
      <c r="CZ230" s="113">
        <v>0</v>
      </c>
      <c r="DA230" s="113">
        <v>0</v>
      </c>
      <c r="DB230" s="113">
        <v>0</v>
      </c>
      <c r="DC230" s="113">
        <v>0</v>
      </c>
      <c r="DD230" s="113">
        <v>0</v>
      </c>
      <c r="DE230" s="113">
        <v>0</v>
      </c>
      <c r="DF230" s="113">
        <v>0</v>
      </c>
      <c r="DG230" s="113">
        <v>0</v>
      </c>
      <c r="DH230" s="113">
        <v>0</v>
      </c>
      <c r="DI230" s="113">
        <v>0</v>
      </c>
      <c r="DJ230" s="113">
        <v>0</v>
      </c>
      <c r="DK230" s="113">
        <v>0</v>
      </c>
      <c r="DL230" s="113">
        <v>0</v>
      </c>
      <c r="DM230" s="113">
        <v>0</v>
      </c>
      <c r="DN230" s="113">
        <v>0</v>
      </c>
      <c r="DO230" s="113">
        <v>0</v>
      </c>
      <c r="DP230" s="113">
        <v>0</v>
      </c>
      <c r="DQ230" s="113">
        <v>0</v>
      </c>
      <c r="DR230" s="113">
        <v>0</v>
      </c>
      <c r="DS230" s="113">
        <v>0</v>
      </c>
      <c r="DT230" s="113">
        <v>0</v>
      </c>
      <c r="DU230" s="113">
        <v>0</v>
      </c>
      <c r="DV230" s="113">
        <v>0</v>
      </c>
      <c r="DW230" s="113">
        <v>0</v>
      </c>
      <c r="DX230" s="113">
        <v>0</v>
      </c>
      <c r="DY230" s="113">
        <v>0</v>
      </c>
      <c r="DZ230" s="113">
        <v>0</v>
      </c>
      <c r="EA230" s="113">
        <v>0</v>
      </c>
      <c r="EB230" s="113">
        <v>0</v>
      </c>
      <c r="EC230" s="113">
        <v>0</v>
      </c>
      <c r="ED230" s="113">
        <v>0</v>
      </c>
      <c r="EE230" s="113">
        <v>0</v>
      </c>
      <c r="EF230" s="113">
        <v>0</v>
      </c>
      <c r="EG230" s="113">
        <v>0</v>
      </c>
      <c r="EH230" s="113">
        <v>0</v>
      </c>
      <c r="EI230" s="113">
        <v>0</v>
      </c>
      <c r="EJ230" s="113">
        <v>0</v>
      </c>
      <c r="EK230" s="113">
        <v>0</v>
      </c>
      <c r="EL230" s="113">
        <v>0</v>
      </c>
      <c r="EM230" s="113">
        <v>0</v>
      </c>
      <c r="EN230" s="113">
        <v>0</v>
      </c>
      <c r="EO230" s="113">
        <v>0</v>
      </c>
      <c r="EP230" s="113">
        <v>0</v>
      </c>
      <c r="EQ230" s="113">
        <v>0</v>
      </c>
      <c r="ER230" s="113">
        <v>0</v>
      </c>
      <c r="ES230" s="113">
        <v>0</v>
      </c>
      <c r="ET230" s="113">
        <v>0</v>
      </c>
      <c r="EU230" s="113">
        <v>0</v>
      </c>
      <c r="EV230" s="113">
        <v>0</v>
      </c>
      <c r="EW230" s="113">
        <v>0</v>
      </c>
      <c r="EX230" s="113">
        <v>0</v>
      </c>
      <c r="EY230" s="113">
        <v>0</v>
      </c>
      <c r="EZ230" s="113">
        <v>0</v>
      </c>
      <c r="FA230" s="113">
        <v>0</v>
      </c>
      <c r="FB230" s="113">
        <v>0</v>
      </c>
      <c r="FC230" s="113">
        <v>0</v>
      </c>
      <c r="FD230" s="113">
        <v>0</v>
      </c>
      <c r="FE230" s="113">
        <v>0</v>
      </c>
      <c r="FF230" s="113">
        <v>0</v>
      </c>
      <c r="FG230" s="113">
        <v>0</v>
      </c>
      <c r="FH230" s="113">
        <v>0</v>
      </c>
      <c r="FI230" s="113">
        <v>0</v>
      </c>
      <c r="FJ230" s="113">
        <v>0</v>
      </c>
      <c r="FK230" s="113">
        <v>0</v>
      </c>
      <c r="FL230" s="113">
        <v>0</v>
      </c>
      <c r="FM230" s="113">
        <v>0</v>
      </c>
      <c r="FN230" s="113">
        <v>0</v>
      </c>
      <c r="FO230" s="113">
        <v>0</v>
      </c>
      <c r="FP230" s="113">
        <v>0</v>
      </c>
      <c r="FQ230" s="113">
        <v>0</v>
      </c>
      <c r="FR230" s="113">
        <v>0</v>
      </c>
      <c r="FS230" s="113">
        <v>0</v>
      </c>
      <c r="FT230" s="113">
        <v>0</v>
      </c>
      <c r="FU230" s="113">
        <v>0</v>
      </c>
      <c r="FV230" s="113">
        <v>0</v>
      </c>
      <c r="FW230" s="113">
        <v>0</v>
      </c>
      <c r="FX230" s="32">
        <v>0</v>
      </c>
      <c r="FY230" s="30">
        <v>0</v>
      </c>
      <c r="FZ230" s="30">
        <v>0</v>
      </c>
    </row>
    <row r="231" spans="1:182" x14ac:dyDescent="0.2">
      <c r="A231" s="28">
        <v>38596</v>
      </c>
      <c r="B231" s="28"/>
      <c r="C231" s="29">
        <v>201487</v>
      </c>
      <c r="D231" s="29">
        <v>169610</v>
      </c>
      <c r="E231" s="29">
        <f t="shared" si="6"/>
        <v>371097</v>
      </c>
      <c r="F231" s="30">
        <v>3679115</v>
      </c>
      <c r="G231" s="30">
        <v>57430</v>
      </c>
      <c r="H231" s="30">
        <f t="shared" si="7"/>
        <v>3736545</v>
      </c>
      <c r="I231" s="42" t="s">
        <v>75</v>
      </c>
      <c r="J231" s="42" t="s">
        <v>75</v>
      </c>
      <c r="K231" s="32">
        <v>4524114</v>
      </c>
      <c r="L231" s="31" t="s">
        <v>75</v>
      </c>
      <c r="M231" s="31" t="s">
        <v>75</v>
      </c>
      <c r="N231" s="30">
        <v>11686878</v>
      </c>
      <c r="O231" s="31" t="s">
        <v>75</v>
      </c>
      <c r="P231" s="31" t="s">
        <v>75</v>
      </c>
      <c r="Q231" s="30">
        <v>12076913</v>
      </c>
      <c r="R231" s="31" t="s">
        <v>75</v>
      </c>
      <c r="S231" s="31" t="s">
        <v>75</v>
      </c>
      <c r="T231" s="32">
        <v>132727</v>
      </c>
      <c r="U231" s="31" t="s">
        <v>75</v>
      </c>
      <c r="V231" s="31" t="s">
        <v>75</v>
      </c>
      <c r="W231" s="30">
        <v>0</v>
      </c>
      <c r="X231" s="31" t="s">
        <v>75</v>
      </c>
      <c r="Y231" s="31" t="s">
        <v>75</v>
      </c>
      <c r="Z231" s="30">
        <v>59223</v>
      </c>
      <c r="AA231" s="31" t="s">
        <v>75</v>
      </c>
      <c r="AB231" s="31" t="s">
        <v>75</v>
      </c>
      <c r="AC231" s="30">
        <v>37415</v>
      </c>
      <c r="AD231" s="31" t="s">
        <v>75</v>
      </c>
      <c r="AE231" s="31" t="s">
        <v>75</v>
      </c>
      <c r="AF231" s="30">
        <v>14480</v>
      </c>
      <c r="AG231" s="42" t="s">
        <v>75</v>
      </c>
      <c r="AH231" s="42" t="s">
        <v>75</v>
      </c>
      <c r="AI231" s="32">
        <v>17989</v>
      </c>
      <c r="AJ231" s="31" t="s">
        <v>75</v>
      </c>
      <c r="AK231" s="31" t="s">
        <v>75</v>
      </c>
      <c r="AL231" s="31" t="s">
        <v>75</v>
      </c>
      <c r="AM231" s="31"/>
      <c r="AN231" s="31"/>
      <c r="AO231" s="31"/>
      <c r="AP231" s="31"/>
      <c r="AQ231" s="31"/>
      <c r="AR231" s="31"/>
      <c r="AS231" s="31" t="s">
        <v>75</v>
      </c>
      <c r="AT231" s="31" t="s">
        <v>75</v>
      </c>
      <c r="AU231" s="31" t="s">
        <v>75</v>
      </c>
      <c r="AV231" s="31" t="s">
        <v>75</v>
      </c>
      <c r="AW231" s="31" t="s">
        <v>75</v>
      </c>
      <c r="AX231" s="31" t="s">
        <v>75</v>
      </c>
      <c r="AY231" s="31" t="s">
        <v>75</v>
      </c>
      <c r="AZ231" s="31" t="s">
        <v>75</v>
      </c>
      <c r="BA231" s="29">
        <v>10241988</v>
      </c>
      <c r="BB231" s="31" t="s">
        <v>75</v>
      </c>
      <c r="BC231" s="31" t="s">
        <v>75</v>
      </c>
      <c r="BD231" s="29">
        <v>1665087</v>
      </c>
      <c r="BE231" s="113">
        <v>0</v>
      </c>
      <c r="BF231" s="113">
        <v>0</v>
      </c>
      <c r="BG231" s="113">
        <v>0</v>
      </c>
      <c r="BH231" s="113">
        <v>0</v>
      </c>
      <c r="BI231" s="113">
        <v>0</v>
      </c>
      <c r="BJ231" s="113">
        <v>0</v>
      </c>
      <c r="BK231" s="113">
        <v>0</v>
      </c>
      <c r="BL231" s="113">
        <v>0</v>
      </c>
      <c r="BM231" s="113">
        <v>0</v>
      </c>
      <c r="BN231" s="113">
        <v>0</v>
      </c>
      <c r="BO231" s="113">
        <v>0</v>
      </c>
      <c r="BP231" s="113">
        <v>0</v>
      </c>
      <c r="BQ231" s="113">
        <v>0</v>
      </c>
      <c r="BR231" s="113">
        <v>0</v>
      </c>
      <c r="BS231" s="113">
        <v>0</v>
      </c>
      <c r="BT231" s="113">
        <v>0</v>
      </c>
      <c r="BU231" s="113">
        <v>0</v>
      </c>
      <c r="BV231" s="113">
        <v>0</v>
      </c>
      <c r="BW231" s="113"/>
      <c r="BX231" s="113"/>
      <c r="BY231" s="113"/>
      <c r="BZ231" s="113">
        <v>0</v>
      </c>
      <c r="CA231" s="113">
        <v>0</v>
      </c>
      <c r="CB231" s="113">
        <v>0</v>
      </c>
      <c r="CC231" s="113"/>
      <c r="CD231" s="113"/>
      <c r="CE231" s="113"/>
      <c r="CF231" s="113">
        <v>0</v>
      </c>
      <c r="CG231" s="113">
        <v>0</v>
      </c>
      <c r="CH231" s="113">
        <v>0</v>
      </c>
      <c r="CI231" s="113">
        <v>0</v>
      </c>
      <c r="CJ231" s="113">
        <v>0</v>
      </c>
      <c r="CK231" s="113">
        <v>0</v>
      </c>
      <c r="CL231" s="113">
        <v>0</v>
      </c>
      <c r="CM231" s="113">
        <v>0</v>
      </c>
      <c r="CN231" s="113">
        <v>0</v>
      </c>
      <c r="CO231" s="113">
        <v>0</v>
      </c>
      <c r="CP231" s="113">
        <v>0</v>
      </c>
      <c r="CQ231" s="113">
        <v>0</v>
      </c>
      <c r="CR231" s="113">
        <v>0</v>
      </c>
      <c r="CS231" s="113">
        <v>0</v>
      </c>
      <c r="CT231" s="113">
        <v>0</v>
      </c>
      <c r="CU231" s="113">
        <v>0</v>
      </c>
      <c r="CV231" s="113">
        <v>0</v>
      </c>
      <c r="CW231" s="113">
        <v>0</v>
      </c>
      <c r="CX231" s="113">
        <v>0</v>
      </c>
      <c r="CY231" s="113">
        <v>0</v>
      </c>
      <c r="CZ231" s="113">
        <v>0</v>
      </c>
      <c r="DA231" s="113">
        <v>0</v>
      </c>
      <c r="DB231" s="113">
        <v>0</v>
      </c>
      <c r="DC231" s="113">
        <v>0</v>
      </c>
      <c r="DD231" s="113">
        <v>0</v>
      </c>
      <c r="DE231" s="113">
        <v>0</v>
      </c>
      <c r="DF231" s="113">
        <v>0</v>
      </c>
      <c r="DG231" s="113">
        <v>0</v>
      </c>
      <c r="DH231" s="113">
        <v>0</v>
      </c>
      <c r="DI231" s="113">
        <v>0</v>
      </c>
      <c r="DJ231" s="113">
        <v>0</v>
      </c>
      <c r="DK231" s="113">
        <v>0</v>
      </c>
      <c r="DL231" s="113">
        <v>0</v>
      </c>
      <c r="DM231" s="113">
        <v>0</v>
      </c>
      <c r="DN231" s="113">
        <v>0</v>
      </c>
      <c r="DO231" s="113">
        <v>0</v>
      </c>
      <c r="DP231" s="113">
        <v>0</v>
      </c>
      <c r="DQ231" s="113">
        <v>0</v>
      </c>
      <c r="DR231" s="113">
        <v>0</v>
      </c>
      <c r="DS231" s="113">
        <v>0</v>
      </c>
      <c r="DT231" s="113">
        <v>0</v>
      </c>
      <c r="DU231" s="113">
        <v>0</v>
      </c>
      <c r="DV231" s="113">
        <v>0</v>
      </c>
      <c r="DW231" s="113">
        <v>0</v>
      </c>
      <c r="DX231" s="113">
        <v>0</v>
      </c>
      <c r="DY231" s="113">
        <v>0</v>
      </c>
      <c r="DZ231" s="113">
        <v>0</v>
      </c>
      <c r="EA231" s="113">
        <v>0</v>
      </c>
      <c r="EB231" s="113">
        <v>0</v>
      </c>
      <c r="EC231" s="113">
        <v>0</v>
      </c>
      <c r="ED231" s="113">
        <v>0</v>
      </c>
      <c r="EE231" s="113">
        <v>0</v>
      </c>
      <c r="EF231" s="113">
        <v>0</v>
      </c>
      <c r="EG231" s="113">
        <v>0</v>
      </c>
      <c r="EH231" s="113">
        <v>0</v>
      </c>
      <c r="EI231" s="113">
        <v>0</v>
      </c>
      <c r="EJ231" s="113">
        <v>0</v>
      </c>
      <c r="EK231" s="113">
        <v>0</v>
      </c>
      <c r="EL231" s="113">
        <v>0</v>
      </c>
      <c r="EM231" s="113">
        <v>0</v>
      </c>
      <c r="EN231" s="113">
        <v>0</v>
      </c>
      <c r="EO231" s="113">
        <v>0</v>
      </c>
      <c r="EP231" s="113">
        <v>0</v>
      </c>
      <c r="EQ231" s="113">
        <v>0</v>
      </c>
      <c r="ER231" s="113">
        <v>0</v>
      </c>
      <c r="ES231" s="113">
        <v>0</v>
      </c>
      <c r="ET231" s="113">
        <v>0</v>
      </c>
      <c r="EU231" s="113">
        <v>0</v>
      </c>
      <c r="EV231" s="113">
        <v>0</v>
      </c>
      <c r="EW231" s="113">
        <v>0</v>
      </c>
      <c r="EX231" s="113">
        <v>0</v>
      </c>
      <c r="EY231" s="113">
        <v>0</v>
      </c>
      <c r="EZ231" s="113">
        <v>0</v>
      </c>
      <c r="FA231" s="113">
        <v>0</v>
      </c>
      <c r="FB231" s="113">
        <v>0</v>
      </c>
      <c r="FC231" s="113">
        <v>0</v>
      </c>
      <c r="FD231" s="113">
        <v>0</v>
      </c>
      <c r="FE231" s="113">
        <v>0</v>
      </c>
      <c r="FF231" s="113">
        <v>0</v>
      </c>
      <c r="FG231" s="113">
        <v>0</v>
      </c>
      <c r="FH231" s="113">
        <v>0</v>
      </c>
      <c r="FI231" s="113">
        <v>0</v>
      </c>
      <c r="FJ231" s="113">
        <v>0</v>
      </c>
      <c r="FK231" s="113">
        <v>0</v>
      </c>
      <c r="FL231" s="113">
        <v>0</v>
      </c>
      <c r="FM231" s="113">
        <v>0</v>
      </c>
      <c r="FN231" s="113">
        <v>0</v>
      </c>
      <c r="FO231" s="113">
        <v>0</v>
      </c>
      <c r="FP231" s="113">
        <v>0</v>
      </c>
      <c r="FQ231" s="113">
        <v>0</v>
      </c>
      <c r="FR231" s="113">
        <v>0</v>
      </c>
      <c r="FS231" s="113">
        <v>0</v>
      </c>
      <c r="FT231" s="113">
        <v>0</v>
      </c>
      <c r="FU231" s="113">
        <v>0</v>
      </c>
      <c r="FV231" s="113">
        <v>0</v>
      </c>
      <c r="FW231" s="113">
        <v>0</v>
      </c>
      <c r="FX231" s="32">
        <v>0</v>
      </c>
      <c r="FY231" s="30">
        <v>0</v>
      </c>
      <c r="FZ231" s="30">
        <v>0</v>
      </c>
    </row>
    <row r="232" spans="1:182" x14ac:dyDescent="0.2">
      <c r="A232" s="28">
        <v>38626</v>
      </c>
      <c r="B232" s="28"/>
      <c r="C232" s="29">
        <v>199104</v>
      </c>
      <c r="D232" s="29">
        <v>175583</v>
      </c>
      <c r="E232" s="29">
        <f t="shared" si="6"/>
        <v>374687</v>
      </c>
      <c r="F232" s="30">
        <v>7350463</v>
      </c>
      <c r="G232" s="30">
        <v>70578</v>
      </c>
      <c r="H232" s="30">
        <f t="shared" si="7"/>
        <v>7421041</v>
      </c>
      <c r="I232" s="42" t="s">
        <v>75</v>
      </c>
      <c r="J232" s="42" t="s">
        <v>75</v>
      </c>
      <c r="K232" s="32">
        <v>5278276</v>
      </c>
      <c r="L232" s="31" t="s">
        <v>75</v>
      </c>
      <c r="M232" s="31" t="s">
        <v>75</v>
      </c>
      <c r="N232" s="30">
        <v>13182827</v>
      </c>
      <c r="O232" s="31" t="s">
        <v>75</v>
      </c>
      <c r="P232" s="31" t="s">
        <v>75</v>
      </c>
      <c r="Q232" s="30">
        <v>13699335</v>
      </c>
      <c r="R232" s="31" t="s">
        <v>75</v>
      </c>
      <c r="S232" s="31" t="s">
        <v>75</v>
      </c>
      <c r="T232" s="32">
        <v>116836</v>
      </c>
      <c r="U232" s="31" t="s">
        <v>75</v>
      </c>
      <c r="V232" s="31" t="s">
        <v>75</v>
      </c>
      <c r="W232" s="30">
        <v>29915</v>
      </c>
      <c r="X232" s="31" t="s">
        <v>75</v>
      </c>
      <c r="Y232" s="31" t="s">
        <v>75</v>
      </c>
      <c r="Z232" s="30">
        <v>79573</v>
      </c>
      <c r="AA232" s="31" t="s">
        <v>75</v>
      </c>
      <c r="AB232" s="31" t="s">
        <v>75</v>
      </c>
      <c r="AC232" s="30">
        <v>30944</v>
      </c>
      <c r="AD232" s="31" t="s">
        <v>75</v>
      </c>
      <c r="AE232" s="31" t="s">
        <v>75</v>
      </c>
      <c r="AF232" s="30">
        <v>12196</v>
      </c>
      <c r="AG232" s="42" t="s">
        <v>75</v>
      </c>
      <c r="AH232" s="42" t="s">
        <v>75</v>
      </c>
      <c r="AI232" s="32">
        <v>24587</v>
      </c>
      <c r="AJ232" s="31" t="s">
        <v>75</v>
      </c>
      <c r="AK232" s="31" t="s">
        <v>75</v>
      </c>
      <c r="AL232" s="31" t="s">
        <v>75</v>
      </c>
      <c r="AM232" s="31"/>
      <c r="AN232" s="31"/>
      <c r="AO232" s="31"/>
      <c r="AP232" s="31"/>
      <c r="AQ232" s="31"/>
      <c r="AR232" s="31"/>
      <c r="AS232" s="31" t="s">
        <v>75</v>
      </c>
      <c r="AT232" s="31" t="s">
        <v>75</v>
      </c>
      <c r="AU232" s="31" t="s">
        <v>75</v>
      </c>
      <c r="AV232" s="31" t="s">
        <v>75</v>
      </c>
      <c r="AW232" s="31" t="s">
        <v>75</v>
      </c>
      <c r="AX232" s="31" t="s">
        <v>75</v>
      </c>
      <c r="AY232" s="31" t="s">
        <v>75</v>
      </c>
      <c r="AZ232" s="31" t="s">
        <v>75</v>
      </c>
      <c r="BA232" s="29">
        <v>10746419</v>
      </c>
      <c r="BB232" s="31" t="s">
        <v>75</v>
      </c>
      <c r="BC232" s="31" t="s">
        <v>75</v>
      </c>
      <c r="BD232" s="29">
        <v>1714918</v>
      </c>
      <c r="BE232" s="113">
        <v>0</v>
      </c>
      <c r="BF232" s="113">
        <v>0</v>
      </c>
      <c r="BG232" s="113">
        <v>0</v>
      </c>
      <c r="BH232" s="113">
        <v>0</v>
      </c>
      <c r="BI232" s="113">
        <v>0</v>
      </c>
      <c r="BJ232" s="113">
        <v>0</v>
      </c>
      <c r="BK232" s="113">
        <v>0</v>
      </c>
      <c r="BL232" s="113">
        <v>0</v>
      </c>
      <c r="BM232" s="113">
        <v>0</v>
      </c>
      <c r="BN232" s="113">
        <v>0</v>
      </c>
      <c r="BO232" s="113">
        <v>0</v>
      </c>
      <c r="BP232" s="113">
        <v>0</v>
      </c>
      <c r="BQ232" s="113">
        <v>0</v>
      </c>
      <c r="BR232" s="113">
        <v>0</v>
      </c>
      <c r="BS232" s="113">
        <v>0</v>
      </c>
      <c r="BT232" s="113">
        <v>0</v>
      </c>
      <c r="BU232" s="113">
        <v>0</v>
      </c>
      <c r="BV232" s="113">
        <v>0</v>
      </c>
      <c r="BW232" s="113"/>
      <c r="BX232" s="113"/>
      <c r="BY232" s="113"/>
      <c r="BZ232" s="113">
        <v>0</v>
      </c>
      <c r="CA232" s="113">
        <v>0</v>
      </c>
      <c r="CB232" s="113">
        <v>0</v>
      </c>
      <c r="CC232" s="113"/>
      <c r="CD232" s="113"/>
      <c r="CE232" s="113"/>
      <c r="CF232" s="113">
        <v>0</v>
      </c>
      <c r="CG232" s="113">
        <v>0</v>
      </c>
      <c r="CH232" s="113">
        <v>0</v>
      </c>
      <c r="CI232" s="113">
        <v>0</v>
      </c>
      <c r="CJ232" s="113">
        <v>0</v>
      </c>
      <c r="CK232" s="113">
        <v>0</v>
      </c>
      <c r="CL232" s="113">
        <v>0</v>
      </c>
      <c r="CM232" s="113">
        <v>0</v>
      </c>
      <c r="CN232" s="113">
        <v>0</v>
      </c>
      <c r="CO232" s="113">
        <v>0</v>
      </c>
      <c r="CP232" s="113">
        <v>0</v>
      </c>
      <c r="CQ232" s="113">
        <v>0</v>
      </c>
      <c r="CR232" s="113">
        <v>0</v>
      </c>
      <c r="CS232" s="113">
        <v>0</v>
      </c>
      <c r="CT232" s="113">
        <v>0</v>
      </c>
      <c r="CU232" s="113">
        <v>0</v>
      </c>
      <c r="CV232" s="113">
        <v>0</v>
      </c>
      <c r="CW232" s="113">
        <v>0</v>
      </c>
      <c r="CX232" s="113">
        <v>0</v>
      </c>
      <c r="CY232" s="113">
        <v>0</v>
      </c>
      <c r="CZ232" s="113">
        <v>0</v>
      </c>
      <c r="DA232" s="113">
        <v>0</v>
      </c>
      <c r="DB232" s="113">
        <v>0</v>
      </c>
      <c r="DC232" s="113">
        <v>0</v>
      </c>
      <c r="DD232" s="113">
        <v>0</v>
      </c>
      <c r="DE232" s="113">
        <v>0</v>
      </c>
      <c r="DF232" s="113">
        <v>0</v>
      </c>
      <c r="DG232" s="113">
        <v>0</v>
      </c>
      <c r="DH232" s="113">
        <v>0</v>
      </c>
      <c r="DI232" s="113">
        <v>0</v>
      </c>
      <c r="DJ232" s="113">
        <v>0</v>
      </c>
      <c r="DK232" s="113">
        <v>0</v>
      </c>
      <c r="DL232" s="113">
        <v>0</v>
      </c>
      <c r="DM232" s="113">
        <v>0</v>
      </c>
      <c r="DN232" s="113">
        <v>0</v>
      </c>
      <c r="DO232" s="113">
        <v>0</v>
      </c>
      <c r="DP232" s="113">
        <v>0</v>
      </c>
      <c r="DQ232" s="113">
        <v>0</v>
      </c>
      <c r="DR232" s="113">
        <v>0</v>
      </c>
      <c r="DS232" s="113">
        <v>0</v>
      </c>
      <c r="DT232" s="113">
        <v>0</v>
      </c>
      <c r="DU232" s="113">
        <v>0</v>
      </c>
      <c r="DV232" s="113">
        <v>0</v>
      </c>
      <c r="DW232" s="113">
        <v>0</v>
      </c>
      <c r="DX232" s="113">
        <v>0</v>
      </c>
      <c r="DY232" s="113">
        <v>0</v>
      </c>
      <c r="DZ232" s="113">
        <v>0</v>
      </c>
      <c r="EA232" s="113">
        <v>0</v>
      </c>
      <c r="EB232" s="113">
        <v>0</v>
      </c>
      <c r="EC232" s="113">
        <v>0</v>
      </c>
      <c r="ED232" s="113">
        <v>0</v>
      </c>
      <c r="EE232" s="113">
        <v>0</v>
      </c>
      <c r="EF232" s="113">
        <v>0</v>
      </c>
      <c r="EG232" s="113">
        <v>0</v>
      </c>
      <c r="EH232" s="113">
        <v>0</v>
      </c>
      <c r="EI232" s="113">
        <v>0</v>
      </c>
      <c r="EJ232" s="113">
        <v>0</v>
      </c>
      <c r="EK232" s="113">
        <v>0</v>
      </c>
      <c r="EL232" s="113">
        <v>0</v>
      </c>
      <c r="EM232" s="113">
        <v>0</v>
      </c>
      <c r="EN232" s="113">
        <v>0</v>
      </c>
      <c r="EO232" s="113">
        <v>0</v>
      </c>
      <c r="EP232" s="113">
        <v>0</v>
      </c>
      <c r="EQ232" s="113">
        <v>0</v>
      </c>
      <c r="ER232" s="113">
        <v>0</v>
      </c>
      <c r="ES232" s="113">
        <v>0</v>
      </c>
      <c r="ET232" s="113">
        <v>0</v>
      </c>
      <c r="EU232" s="113">
        <v>0</v>
      </c>
      <c r="EV232" s="113">
        <v>0</v>
      </c>
      <c r="EW232" s="113">
        <v>0</v>
      </c>
      <c r="EX232" s="113">
        <v>0</v>
      </c>
      <c r="EY232" s="113">
        <v>0</v>
      </c>
      <c r="EZ232" s="113">
        <v>0</v>
      </c>
      <c r="FA232" s="113">
        <v>0</v>
      </c>
      <c r="FB232" s="113">
        <v>0</v>
      </c>
      <c r="FC232" s="113">
        <v>0</v>
      </c>
      <c r="FD232" s="113">
        <v>0</v>
      </c>
      <c r="FE232" s="113">
        <v>0</v>
      </c>
      <c r="FF232" s="113">
        <v>0</v>
      </c>
      <c r="FG232" s="113">
        <v>0</v>
      </c>
      <c r="FH232" s="113">
        <v>0</v>
      </c>
      <c r="FI232" s="113">
        <v>0</v>
      </c>
      <c r="FJ232" s="113">
        <v>0</v>
      </c>
      <c r="FK232" s="113">
        <v>0</v>
      </c>
      <c r="FL232" s="113">
        <v>0</v>
      </c>
      <c r="FM232" s="113">
        <v>0</v>
      </c>
      <c r="FN232" s="113">
        <v>0</v>
      </c>
      <c r="FO232" s="113">
        <v>0</v>
      </c>
      <c r="FP232" s="113">
        <v>0</v>
      </c>
      <c r="FQ232" s="113">
        <v>0</v>
      </c>
      <c r="FR232" s="113">
        <v>0</v>
      </c>
      <c r="FS232" s="113">
        <v>0</v>
      </c>
      <c r="FT232" s="113">
        <v>0</v>
      </c>
      <c r="FU232" s="113">
        <v>0</v>
      </c>
      <c r="FV232" s="113">
        <v>0</v>
      </c>
      <c r="FW232" s="113">
        <v>0</v>
      </c>
      <c r="FX232" s="32">
        <v>0</v>
      </c>
      <c r="FY232" s="30">
        <v>0</v>
      </c>
      <c r="FZ232" s="30">
        <v>0</v>
      </c>
    </row>
    <row r="233" spans="1:182" x14ac:dyDescent="0.2">
      <c r="A233" s="28">
        <v>38657</v>
      </c>
      <c r="B233" s="28"/>
      <c r="C233" s="29">
        <v>250277</v>
      </c>
      <c r="D233" s="29">
        <v>204727</v>
      </c>
      <c r="E233" s="29">
        <f t="shared" si="6"/>
        <v>455004</v>
      </c>
      <c r="F233" s="30">
        <v>9144220</v>
      </c>
      <c r="G233" s="30">
        <v>146787</v>
      </c>
      <c r="H233" s="30">
        <f t="shared" si="7"/>
        <v>9291007</v>
      </c>
      <c r="I233" s="42" t="s">
        <v>75</v>
      </c>
      <c r="J233" s="42" t="s">
        <v>75</v>
      </c>
      <c r="K233" s="32">
        <v>7228012</v>
      </c>
      <c r="L233" s="31" t="s">
        <v>75</v>
      </c>
      <c r="M233" s="31" t="s">
        <v>75</v>
      </c>
      <c r="N233" s="30">
        <v>15474864</v>
      </c>
      <c r="O233" s="31" t="s">
        <v>75</v>
      </c>
      <c r="P233" s="31" t="s">
        <v>75</v>
      </c>
      <c r="Q233" s="30">
        <v>19526950</v>
      </c>
      <c r="R233" s="31" t="s">
        <v>75</v>
      </c>
      <c r="S233" s="31" t="s">
        <v>75</v>
      </c>
      <c r="T233" s="32">
        <v>113508</v>
      </c>
      <c r="U233" s="31" t="s">
        <v>75</v>
      </c>
      <c r="V233" s="31" t="s">
        <v>75</v>
      </c>
      <c r="W233" s="30">
        <v>70426</v>
      </c>
      <c r="X233" s="31" t="s">
        <v>75</v>
      </c>
      <c r="Y233" s="31" t="s">
        <v>75</v>
      </c>
      <c r="Z233" s="30">
        <v>129167</v>
      </c>
      <c r="AA233" s="31" t="s">
        <v>75</v>
      </c>
      <c r="AB233" s="31" t="s">
        <v>75</v>
      </c>
      <c r="AC233" s="30">
        <v>37623</v>
      </c>
      <c r="AD233" s="31" t="s">
        <v>75</v>
      </c>
      <c r="AE233" s="31" t="s">
        <v>75</v>
      </c>
      <c r="AF233" s="30">
        <v>16152</v>
      </c>
      <c r="AG233" s="42" t="s">
        <v>75</v>
      </c>
      <c r="AH233" s="42" t="s">
        <v>75</v>
      </c>
      <c r="AI233" s="32">
        <v>29266</v>
      </c>
      <c r="AJ233" s="31" t="s">
        <v>75</v>
      </c>
      <c r="AK233" s="31" t="s">
        <v>75</v>
      </c>
      <c r="AL233" s="31" t="s">
        <v>75</v>
      </c>
      <c r="AM233" s="31"/>
      <c r="AN233" s="31"/>
      <c r="AO233" s="31"/>
      <c r="AP233" s="31"/>
      <c r="AQ233" s="31"/>
      <c r="AR233" s="31"/>
      <c r="AS233" s="31" t="s">
        <v>75</v>
      </c>
      <c r="AT233" s="31" t="s">
        <v>75</v>
      </c>
      <c r="AU233" s="31" t="s">
        <v>75</v>
      </c>
      <c r="AV233" s="31" t="s">
        <v>75</v>
      </c>
      <c r="AW233" s="31" t="s">
        <v>75</v>
      </c>
      <c r="AX233" s="31" t="s">
        <v>75</v>
      </c>
      <c r="AY233" s="31" t="s">
        <v>75</v>
      </c>
      <c r="AZ233" s="31" t="s">
        <v>75</v>
      </c>
      <c r="BA233" s="29">
        <v>11796239</v>
      </c>
      <c r="BB233" s="31" t="s">
        <v>75</v>
      </c>
      <c r="BC233" s="31" t="s">
        <v>75</v>
      </c>
      <c r="BD233" s="29">
        <v>1596288</v>
      </c>
      <c r="BE233" s="113">
        <v>0</v>
      </c>
      <c r="BF233" s="113">
        <v>0</v>
      </c>
      <c r="BG233" s="113">
        <v>0</v>
      </c>
      <c r="BH233" s="113">
        <v>0</v>
      </c>
      <c r="BI233" s="113">
        <v>0</v>
      </c>
      <c r="BJ233" s="113">
        <v>0</v>
      </c>
      <c r="BK233" s="113">
        <v>0</v>
      </c>
      <c r="BL233" s="113">
        <v>0</v>
      </c>
      <c r="BM233" s="113">
        <v>0</v>
      </c>
      <c r="BN233" s="113">
        <v>0</v>
      </c>
      <c r="BO233" s="113">
        <v>0</v>
      </c>
      <c r="BP233" s="113">
        <v>0</v>
      </c>
      <c r="BQ233" s="113">
        <v>0</v>
      </c>
      <c r="BR233" s="113">
        <v>0</v>
      </c>
      <c r="BS233" s="113">
        <v>0</v>
      </c>
      <c r="BT233" s="113">
        <v>0</v>
      </c>
      <c r="BU233" s="113">
        <v>0</v>
      </c>
      <c r="BV233" s="113">
        <v>0</v>
      </c>
      <c r="BW233" s="113"/>
      <c r="BX233" s="113"/>
      <c r="BY233" s="113"/>
      <c r="BZ233" s="113">
        <v>0</v>
      </c>
      <c r="CA233" s="113">
        <v>0</v>
      </c>
      <c r="CB233" s="113">
        <v>0</v>
      </c>
      <c r="CC233" s="113"/>
      <c r="CD233" s="113"/>
      <c r="CE233" s="113"/>
      <c r="CF233" s="113">
        <v>0</v>
      </c>
      <c r="CG233" s="113">
        <v>0</v>
      </c>
      <c r="CH233" s="113">
        <v>0</v>
      </c>
      <c r="CI233" s="113">
        <v>0</v>
      </c>
      <c r="CJ233" s="113">
        <v>0</v>
      </c>
      <c r="CK233" s="113">
        <v>0</v>
      </c>
      <c r="CL233" s="113">
        <v>0</v>
      </c>
      <c r="CM233" s="113">
        <v>0</v>
      </c>
      <c r="CN233" s="113">
        <v>0</v>
      </c>
      <c r="CO233" s="113">
        <v>0</v>
      </c>
      <c r="CP233" s="113">
        <v>0</v>
      </c>
      <c r="CQ233" s="113">
        <v>0</v>
      </c>
      <c r="CR233" s="113">
        <v>0</v>
      </c>
      <c r="CS233" s="113">
        <v>0</v>
      </c>
      <c r="CT233" s="113">
        <v>0</v>
      </c>
      <c r="CU233" s="113">
        <v>0</v>
      </c>
      <c r="CV233" s="113">
        <v>0</v>
      </c>
      <c r="CW233" s="113">
        <v>0</v>
      </c>
      <c r="CX233" s="113">
        <v>0</v>
      </c>
      <c r="CY233" s="113">
        <v>0</v>
      </c>
      <c r="CZ233" s="113">
        <v>0</v>
      </c>
      <c r="DA233" s="113">
        <v>0</v>
      </c>
      <c r="DB233" s="113">
        <v>0</v>
      </c>
      <c r="DC233" s="113">
        <v>0</v>
      </c>
      <c r="DD233" s="113">
        <v>0</v>
      </c>
      <c r="DE233" s="113">
        <v>0</v>
      </c>
      <c r="DF233" s="113">
        <v>0</v>
      </c>
      <c r="DG233" s="113">
        <v>0</v>
      </c>
      <c r="DH233" s="113">
        <v>0</v>
      </c>
      <c r="DI233" s="113">
        <v>0</v>
      </c>
      <c r="DJ233" s="113">
        <v>0</v>
      </c>
      <c r="DK233" s="113">
        <v>0</v>
      </c>
      <c r="DL233" s="113">
        <v>0</v>
      </c>
      <c r="DM233" s="113">
        <v>0</v>
      </c>
      <c r="DN233" s="113">
        <v>0</v>
      </c>
      <c r="DO233" s="113">
        <v>0</v>
      </c>
      <c r="DP233" s="113">
        <v>0</v>
      </c>
      <c r="DQ233" s="113">
        <v>0</v>
      </c>
      <c r="DR233" s="113">
        <v>0</v>
      </c>
      <c r="DS233" s="113">
        <v>0</v>
      </c>
      <c r="DT233" s="113">
        <v>0</v>
      </c>
      <c r="DU233" s="113">
        <v>0</v>
      </c>
      <c r="DV233" s="113">
        <v>0</v>
      </c>
      <c r="DW233" s="113">
        <v>0</v>
      </c>
      <c r="DX233" s="113">
        <v>0</v>
      </c>
      <c r="DY233" s="113">
        <v>0</v>
      </c>
      <c r="DZ233" s="113">
        <v>0</v>
      </c>
      <c r="EA233" s="113">
        <v>0</v>
      </c>
      <c r="EB233" s="113">
        <v>0</v>
      </c>
      <c r="EC233" s="113">
        <v>0</v>
      </c>
      <c r="ED233" s="113">
        <v>0</v>
      </c>
      <c r="EE233" s="113">
        <v>0</v>
      </c>
      <c r="EF233" s="113">
        <v>0</v>
      </c>
      <c r="EG233" s="113">
        <v>0</v>
      </c>
      <c r="EH233" s="113">
        <v>0</v>
      </c>
      <c r="EI233" s="113">
        <v>0</v>
      </c>
      <c r="EJ233" s="113">
        <v>0</v>
      </c>
      <c r="EK233" s="113">
        <v>0</v>
      </c>
      <c r="EL233" s="113">
        <v>0</v>
      </c>
      <c r="EM233" s="113">
        <v>0</v>
      </c>
      <c r="EN233" s="113">
        <v>0</v>
      </c>
      <c r="EO233" s="113">
        <v>0</v>
      </c>
      <c r="EP233" s="113">
        <v>0</v>
      </c>
      <c r="EQ233" s="113">
        <v>0</v>
      </c>
      <c r="ER233" s="113">
        <v>0</v>
      </c>
      <c r="ES233" s="113">
        <v>0</v>
      </c>
      <c r="ET233" s="113">
        <v>0</v>
      </c>
      <c r="EU233" s="113">
        <v>0</v>
      </c>
      <c r="EV233" s="113">
        <v>0</v>
      </c>
      <c r="EW233" s="113">
        <v>0</v>
      </c>
      <c r="EX233" s="113">
        <v>0</v>
      </c>
      <c r="EY233" s="113">
        <v>0</v>
      </c>
      <c r="EZ233" s="113">
        <v>0</v>
      </c>
      <c r="FA233" s="113">
        <v>0</v>
      </c>
      <c r="FB233" s="113">
        <v>0</v>
      </c>
      <c r="FC233" s="113">
        <v>0</v>
      </c>
      <c r="FD233" s="113">
        <v>0</v>
      </c>
      <c r="FE233" s="113">
        <v>0</v>
      </c>
      <c r="FF233" s="113">
        <v>0</v>
      </c>
      <c r="FG233" s="113">
        <v>0</v>
      </c>
      <c r="FH233" s="113">
        <v>0</v>
      </c>
      <c r="FI233" s="113">
        <v>0</v>
      </c>
      <c r="FJ233" s="113">
        <v>0</v>
      </c>
      <c r="FK233" s="113">
        <v>0</v>
      </c>
      <c r="FL233" s="113">
        <v>0</v>
      </c>
      <c r="FM233" s="113">
        <v>0</v>
      </c>
      <c r="FN233" s="113">
        <v>0</v>
      </c>
      <c r="FO233" s="113">
        <v>0</v>
      </c>
      <c r="FP233" s="113">
        <v>0</v>
      </c>
      <c r="FQ233" s="113">
        <v>0</v>
      </c>
      <c r="FR233" s="113">
        <v>0</v>
      </c>
      <c r="FS233" s="113">
        <v>0</v>
      </c>
      <c r="FT233" s="113">
        <v>0</v>
      </c>
      <c r="FU233" s="113">
        <v>0</v>
      </c>
      <c r="FV233" s="113">
        <v>0</v>
      </c>
      <c r="FW233" s="113">
        <v>0</v>
      </c>
      <c r="FX233" s="32">
        <v>0</v>
      </c>
      <c r="FY233" s="30">
        <v>0</v>
      </c>
      <c r="FZ233" s="30">
        <v>0</v>
      </c>
    </row>
    <row r="234" spans="1:182" x14ac:dyDescent="0.2">
      <c r="A234" s="28">
        <v>38687</v>
      </c>
      <c r="B234" s="28"/>
      <c r="C234" s="29">
        <v>397378</v>
      </c>
      <c r="D234" s="29">
        <v>392240</v>
      </c>
      <c r="E234" s="29">
        <f t="shared" si="6"/>
        <v>789618</v>
      </c>
      <c r="F234" s="30">
        <v>9732608</v>
      </c>
      <c r="G234" s="30">
        <v>240723</v>
      </c>
      <c r="H234" s="30">
        <f t="shared" si="7"/>
        <v>9973331</v>
      </c>
      <c r="I234" s="42" t="s">
        <v>75</v>
      </c>
      <c r="J234" s="42" t="s">
        <v>75</v>
      </c>
      <c r="K234" s="32">
        <v>8993056</v>
      </c>
      <c r="L234" s="31" t="s">
        <v>75</v>
      </c>
      <c r="M234" s="31" t="s">
        <v>75</v>
      </c>
      <c r="N234" s="30">
        <v>21774453</v>
      </c>
      <c r="O234" s="31" t="s">
        <v>75</v>
      </c>
      <c r="P234" s="31" t="s">
        <v>75</v>
      </c>
      <c r="Q234" s="30">
        <v>21916663</v>
      </c>
      <c r="R234" s="31" t="s">
        <v>75</v>
      </c>
      <c r="S234" s="31" t="s">
        <v>75</v>
      </c>
      <c r="T234" s="32">
        <v>95180</v>
      </c>
      <c r="U234" s="31" t="s">
        <v>75</v>
      </c>
      <c r="V234" s="31" t="s">
        <v>75</v>
      </c>
      <c r="W234" s="30">
        <v>22954</v>
      </c>
      <c r="X234" s="31" t="s">
        <v>75</v>
      </c>
      <c r="Y234" s="31" t="s">
        <v>75</v>
      </c>
      <c r="Z234" s="30">
        <v>140988</v>
      </c>
      <c r="AA234" s="31" t="s">
        <v>75</v>
      </c>
      <c r="AB234" s="31" t="s">
        <v>75</v>
      </c>
      <c r="AC234" s="30">
        <v>111275</v>
      </c>
      <c r="AD234" s="31" t="s">
        <v>75</v>
      </c>
      <c r="AE234" s="31" t="s">
        <v>75</v>
      </c>
      <c r="AF234" s="30">
        <v>50355</v>
      </c>
      <c r="AG234" s="42" t="s">
        <v>75</v>
      </c>
      <c r="AH234" s="42" t="s">
        <v>75</v>
      </c>
      <c r="AI234" s="32">
        <v>60461</v>
      </c>
      <c r="AJ234" s="31" t="s">
        <v>75</v>
      </c>
      <c r="AK234" s="31" t="s">
        <v>75</v>
      </c>
      <c r="AL234" s="31" t="s">
        <v>75</v>
      </c>
      <c r="AM234" s="31"/>
      <c r="AN234" s="31"/>
      <c r="AO234" s="31"/>
      <c r="AP234" s="31"/>
      <c r="AQ234" s="31"/>
      <c r="AR234" s="31"/>
      <c r="AS234" s="31" t="s">
        <v>75</v>
      </c>
      <c r="AT234" s="31" t="s">
        <v>75</v>
      </c>
      <c r="AU234" s="31" t="s">
        <v>75</v>
      </c>
      <c r="AV234" s="31" t="s">
        <v>75</v>
      </c>
      <c r="AW234" s="31" t="s">
        <v>75</v>
      </c>
      <c r="AX234" s="31" t="s">
        <v>75</v>
      </c>
      <c r="AY234" s="31" t="s">
        <v>75</v>
      </c>
      <c r="AZ234" s="31" t="s">
        <v>75</v>
      </c>
      <c r="BA234" s="29">
        <v>14523948</v>
      </c>
      <c r="BB234" s="31" t="s">
        <v>75</v>
      </c>
      <c r="BC234" s="31" t="s">
        <v>75</v>
      </c>
      <c r="BD234" s="29">
        <v>2103211</v>
      </c>
      <c r="BE234" s="113">
        <v>0</v>
      </c>
      <c r="BF234" s="113">
        <v>0</v>
      </c>
      <c r="BG234" s="113">
        <v>0</v>
      </c>
      <c r="BH234" s="113">
        <v>0</v>
      </c>
      <c r="BI234" s="113">
        <v>0</v>
      </c>
      <c r="BJ234" s="113">
        <v>0</v>
      </c>
      <c r="BK234" s="113">
        <v>0</v>
      </c>
      <c r="BL234" s="113">
        <v>0</v>
      </c>
      <c r="BM234" s="113">
        <v>0</v>
      </c>
      <c r="BN234" s="113">
        <v>0</v>
      </c>
      <c r="BO234" s="113">
        <v>0</v>
      </c>
      <c r="BP234" s="113">
        <v>0</v>
      </c>
      <c r="BQ234" s="113">
        <v>0</v>
      </c>
      <c r="BR234" s="113">
        <v>0</v>
      </c>
      <c r="BS234" s="113">
        <v>0</v>
      </c>
      <c r="BT234" s="113">
        <v>0</v>
      </c>
      <c r="BU234" s="113">
        <v>0</v>
      </c>
      <c r="BV234" s="113">
        <v>0</v>
      </c>
      <c r="BW234" s="113"/>
      <c r="BX234" s="113"/>
      <c r="BY234" s="113"/>
      <c r="BZ234" s="113">
        <v>0</v>
      </c>
      <c r="CA234" s="113">
        <v>0</v>
      </c>
      <c r="CB234" s="113">
        <v>0</v>
      </c>
      <c r="CC234" s="113"/>
      <c r="CD234" s="113"/>
      <c r="CE234" s="113"/>
      <c r="CF234" s="113">
        <v>0</v>
      </c>
      <c r="CG234" s="113">
        <v>0</v>
      </c>
      <c r="CH234" s="113">
        <v>0</v>
      </c>
      <c r="CI234" s="113">
        <v>0</v>
      </c>
      <c r="CJ234" s="113">
        <v>0</v>
      </c>
      <c r="CK234" s="113">
        <v>0</v>
      </c>
      <c r="CL234" s="113">
        <v>0</v>
      </c>
      <c r="CM234" s="113">
        <v>0</v>
      </c>
      <c r="CN234" s="113">
        <v>0</v>
      </c>
      <c r="CO234" s="113">
        <v>0</v>
      </c>
      <c r="CP234" s="113">
        <v>0</v>
      </c>
      <c r="CQ234" s="113">
        <v>0</v>
      </c>
      <c r="CR234" s="113">
        <v>0</v>
      </c>
      <c r="CS234" s="113">
        <v>0</v>
      </c>
      <c r="CT234" s="113">
        <v>0</v>
      </c>
      <c r="CU234" s="113">
        <v>0</v>
      </c>
      <c r="CV234" s="113">
        <v>0</v>
      </c>
      <c r="CW234" s="113">
        <v>0</v>
      </c>
      <c r="CX234" s="113">
        <v>0</v>
      </c>
      <c r="CY234" s="113">
        <v>0</v>
      </c>
      <c r="CZ234" s="113">
        <v>0</v>
      </c>
      <c r="DA234" s="113">
        <v>0</v>
      </c>
      <c r="DB234" s="113">
        <v>0</v>
      </c>
      <c r="DC234" s="113">
        <v>0</v>
      </c>
      <c r="DD234" s="113">
        <v>0</v>
      </c>
      <c r="DE234" s="113">
        <v>0</v>
      </c>
      <c r="DF234" s="113">
        <v>0</v>
      </c>
      <c r="DG234" s="113">
        <v>0</v>
      </c>
      <c r="DH234" s="113">
        <v>0</v>
      </c>
      <c r="DI234" s="113">
        <v>0</v>
      </c>
      <c r="DJ234" s="113">
        <v>0</v>
      </c>
      <c r="DK234" s="113">
        <v>0</v>
      </c>
      <c r="DL234" s="113">
        <v>0</v>
      </c>
      <c r="DM234" s="113">
        <v>0</v>
      </c>
      <c r="DN234" s="113">
        <v>0</v>
      </c>
      <c r="DO234" s="113">
        <v>0</v>
      </c>
      <c r="DP234" s="113">
        <v>0</v>
      </c>
      <c r="DQ234" s="113">
        <v>0</v>
      </c>
      <c r="DR234" s="113">
        <v>0</v>
      </c>
      <c r="DS234" s="113">
        <v>0</v>
      </c>
      <c r="DT234" s="113">
        <v>0</v>
      </c>
      <c r="DU234" s="113">
        <v>0</v>
      </c>
      <c r="DV234" s="113">
        <v>0</v>
      </c>
      <c r="DW234" s="113">
        <v>0</v>
      </c>
      <c r="DX234" s="113">
        <v>0</v>
      </c>
      <c r="DY234" s="113">
        <v>0</v>
      </c>
      <c r="DZ234" s="113">
        <v>0</v>
      </c>
      <c r="EA234" s="113">
        <v>0</v>
      </c>
      <c r="EB234" s="113">
        <v>0</v>
      </c>
      <c r="EC234" s="113">
        <v>0</v>
      </c>
      <c r="ED234" s="113">
        <v>0</v>
      </c>
      <c r="EE234" s="113">
        <v>0</v>
      </c>
      <c r="EF234" s="113">
        <v>0</v>
      </c>
      <c r="EG234" s="113">
        <v>0</v>
      </c>
      <c r="EH234" s="113">
        <v>0</v>
      </c>
      <c r="EI234" s="113">
        <v>0</v>
      </c>
      <c r="EJ234" s="113">
        <v>0</v>
      </c>
      <c r="EK234" s="113">
        <v>0</v>
      </c>
      <c r="EL234" s="113">
        <v>0</v>
      </c>
      <c r="EM234" s="113">
        <v>0</v>
      </c>
      <c r="EN234" s="113">
        <v>0</v>
      </c>
      <c r="EO234" s="113">
        <v>0</v>
      </c>
      <c r="EP234" s="113">
        <v>0</v>
      </c>
      <c r="EQ234" s="113">
        <v>0</v>
      </c>
      <c r="ER234" s="113">
        <v>0</v>
      </c>
      <c r="ES234" s="113">
        <v>0</v>
      </c>
      <c r="ET234" s="113">
        <v>0</v>
      </c>
      <c r="EU234" s="113">
        <v>0</v>
      </c>
      <c r="EV234" s="113">
        <v>0</v>
      </c>
      <c r="EW234" s="113">
        <v>0</v>
      </c>
      <c r="EX234" s="113">
        <v>0</v>
      </c>
      <c r="EY234" s="113">
        <v>0</v>
      </c>
      <c r="EZ234" s="113">
        <v>0</v>
      </c>
      <c r="FA234" s="113">
        <v>0</v>
      </c>
      <c r="FB234" s="113">
        <v>0</v>
      </c>
      <c r="FC234" s="113">
        <v>0</v>
      </c>
      <c r="FD234" s="113">
        <v>0</v>
      </c>
      <c r="FE234" s="113">
        <v>0</v>
      </c>
      <c r="FF234" s="113">
        <v>0</v>
      </c>
      <c r="FG234" s="113">
        <v>0</v>
      </c>
      <c r="FH234" s="113">
        <v>0</v>
      </c>
      <c r="FI234" s="113">
        <v>0</v>
      </c>
      <c r="FJ234" s="113">
        <v>0</v>
      </c>
      <c r="FK234" s="113">
        <v>0</v>
      </c>
      <c r="FL234" s="113">
        <v>0</v>
      </c>
      <c r="FM234" s="113">
        <v>0</v>
      </c>
      <c r="FN234" s="113">
        <v>0</v>
      </c>
      <c r="FO234" s="113">
        <v>0</v>
      </c>
      <c r="FP234" s="113">
        <v>0</v>
      </c>
      <c r="FQ234" s="113">
        <v>0</v>
      </c>
      <c r="FR234" s="113">
        <v>0</v>
      </c>
      <c r="FS234" s="113">
        <v>0</v>
      </c>
      <c r="FT234" s="113">
        <v>0</v>
      </c>
      <c r="FU234" s="113">
        <v>0</v>
      </c>
      <c r="FV234" s="113">
        <v>0</v>
      </c>
      <c r="FW234" s="113">
        <v>0</v>
      </c>
      <c r="FX234" s="32">
        <v>0</v>
      </c>
      <c r="FY234" s="30">
        <v>0</v>
      </c>
      <c r="FZ234" s="30">
        <v>0</v>
      </c>
    </row>
    <row r="235" spans="1:182" x14ac:dyDescent="0.2">
      <c r="A235" s="28">
        <v>38718</v>
      </c>
      <c r="B235" s="28"/>
      <c r="C235" s="29">
        <v>164210</v>
      </c>
      <c r="D235" s="29">
        <v>100715</v>
      </c>
      <c r="E235" s="29">
        <f t="shared" si="6"/>
        <v>264925</v>
      </c>
      <c r="F235" s="30">
        <v>7404952</v>
      </c>
      <c r="G235" s="30">
        <v>131807</v>
      </c>
      <c r="H235" s="30">
        <f t="shared" si="7"/>
        <v>7536759</v>
      </c>
      <c r="I235" s="42" t="s">
        <v>75</v>
      </c>
      <c r="J235" s="42" t="s">
        <v>75</v>
      </c>
      <c r="K235" s="32">
        <v>5807877</v>
      </c>
      <c r="L235" s="31" t="s">
        <v>75</v>
      </c>
      <c r="M235" s="31" t="s">
        <v>75</v>
      </c>
      <c r="N235" s="30">
        <v>13457495</v>
      </c>
      <c r="O235" s="31" t="s">
        <v>75</v>
      </c>
      <c r="P235" s="31" t="s">
        <v>75</v>
      </c>
      <c r="Q235" s="30">
        <v>21047994</v>
      </c>
      <c r="R235" s="31" t="s">
        <v>75</v>
      </c>
      <c r="S235" s="31" t="s">
        <v>75</v>
      </c>
      <c r="T235" s="32">
        <v>97678</v>
      </c>
      <c r="U235" s="31" t="s">
        <v>75</v>
      </c>
      <c r="V235" s="31" t="s">
        <v>75</v>
      </c>
      <c r="W235" s="30">
        <v>32923</v>
      </c>
      <c r="X235" s="31" t="s">
        <v>75</v>
      </c>
      <c r="Y235" s="31" t="s">
        <v>75</v>
      </c>
      <c r="Z235" s="30">
        <v>42186</v>
      </c>
      <c r="AA235" s="31" t="s">
        <v>75</v>
      </c>
      <c r="AB235" s="31" t="s">
        <v>75</v>
      </c>
      <c r="AC235" s="30">
        <v>76017</v>
      </c>
      <c r="AD235" s="31" t="s">
        <v>75</v>
      </c>
      <c r="AE235" s="31" t="s">
        <v>75</v>
      </c>
      <c r="AF235" s="30">
        <v>5807</v>
      </c>
      <c r="AG235" s="42" t="s">
        <v>75</v>
      </c>
      <c r="AH235" s="42" t="s">
        <v>75</v>
      </c>
      <c r="AI235" s="32">
        <v>21109</v>
      </c>
      <c r="AJ235" s="31" t="s">
        <v>75</v>
      </c>
      <c r="AK235" s="31" t="s">
        <v>75</v>
      </c>
      <c r="AL235" s="31" t="s">
        <v>75</v>
      </c>
      <c r="AM235" s="31"/>
      <c r="AN235" s="31"/>
      <c r="AO235" s="31"/>
      <c r="AP235" s="31"/>
      <c r="AQ235" s="31"/>
      <c r="AR235" s="31"/>
      <c r="AS235" s="31" t="s">
        <v>75</v>
      </c>
      <c r="AT235" s="31" t="s">
        <v>75</v>
      </c>
      <c r="AU235" s="31" t="s">
        <v>75</v>
      </c>
      <c r="AV235" s="31" t="s">
        <v>75</v>
      </c>
      <c r="AW235" s="31" t="s">
        <v>75</v>
      </c>
      <c r="AX235" s="31" t="s">
        <v>75</v>
      </c>
      <c r="AY235" s="31" t="s">
        <v>75</v>
      </c>
      <c r="AZ235" s="31" t="s">
        <v>75</v>
      </c>
      <c r="BA235" s="29">
        <v>12157943</v>
      </c>
      <c r="BB235" s="31" t="s">
        <v>75</v>
      </c>
      <c r="BC235" s="31" t="s">
        <v>75</v>
      </c>
      <c r="BD235" s="29">
        <v>1246709</v>
      </c>
      <c r="BE235" s="113">
        <v>0</v>
      </c>
      <c r="BF235" s="113">
        <v>0</v>
      </c>
      <c r="BG235" s="113">
        <v>0</v>
      </c>
      <c r="BH235" s="113">
        <v>0</v>
      </c>
      <c r="BI235" s="113">
        <v>0</v>
      </c>
      <c r="BJ235" s="113">
        <v>0</v>
      </c>
      <c r="BK235" s="113">
        <v>0</v>
      </c>
      <c r="BL235" s="113">
        <v>0</v>
      </c>
      <c r="BM235" s="113">
        <v>0</v>
      </c>
      <c r="BN235" s="113">
        <v>0</v>
      </c>
      <c r="BO235" s="113">
        <v>0</v>
      </c>
      <c r="BP235" s="113">
        <v>0</v>
      </c>
      <c r="BQ235" s="113">
        <v>0</v>
      </c>
      <c r="BR235" s="113">
        <v>0</v>
      </c>
      <c r="BS235" s="113">
        <v>0</v>
      </c>
      <c r="BT235" s="113">
        <v>0</v>
      </c>
      <c r="BU235" s="113">
        <v>0</v>
      </c>
      <c r="BV235" s="113">
        <v>0</v>
      </c>
      <c r="BW235" s="113"/>
      <c r="BX235" s="113"/>
      <c r="BY235" s="113"/>
      <c r="BZ235" s="113">
        <v>0</v>
      </c>
      <c r="CA235" s="113">
        <v>0</v>
      </c>
      <c r="CB235" s="113">
        <v>0</v>
      </c>
      <c r="CC235" s="113"/>
      <c r="CD235" s="113"/>
      <c r="CE235" s="113"/>
      <c r="CF235" s="113">
        <v>0</v>
      </c>
      <c r="CG235" s="113">
        <v>0</v>
      </c>
      <c r="CH235" s="113">
        <v>0</v>
      </c>
      <c r="CI235" s="113">
        <v>0</v>
      </c>
      <c r="CJ235" s="113">
        <v>0</v>
      </c>
      <c r="CK235" s="113">
        <v>0</v>
      </c>
      <c r="CL235" s="113">
        <v>0</v>
      </c>
      <c r="CM235" s="113">
        <v>0</v>
      </c>
      <c r="CN235" s="113">
        <v>0</v>
      </c>
      <c r="CO235" s="113">
        <v>0</v>
      </c>
      <c r="CP235" s="113">
        <v>0</v>
      </c>
      <c r="CQ235" s="113">
        <v>0</v>
      </c>
      <c r="CR235" s="113">
        <v>0</v>
      </c>
      <c r="CS235" s="113">
        <v>0</v>
      </c>
      <c r="CT235" s="113">
        <v>0</v>
      </c>
      <c r="CU235" s="113">
        <v>0</v>
      </c>
      <c r="CV235" s="113">
        <v>0</v>
      </c>
      <c r="CW235" s="113">
        <v>0</v>
      </c>
      <c r="CX235" s="113">
        <v>0</v>
      </c>
      <c r="CY235" s="113">
        <v>0</v>
      </c>
      <c r="CZ235" s="113">
        <v>0</v>
      </c>
      <c r="DA235" s="113">
        <v>0</v>
      </c>
      <c r="DB235" s="113">
        <v>0</v>
      </c>
      <c r="DC235" s="113">
        <v>0</v>
      </c>
      <c r="DD235" s="113">
        <v>0</v>
      </c>
      <c r="DE235" s="113">
        <v>0</v>
      </c>
      <c r="DF235" s="113">
        <v>0</v>
      </c>
      <c r="DG235" s="113">
        <v>0</v>
      </c>
      <c r="DH235" s="113">
        <v>0</v>
      </c>
      <c r="DI235" s="113">
        <v>0</v>
      </c>
      <c r="DJ235" s="113">
        <v>0</v>
      </c>
      <c r="DK235" s="113">
        <v>0</v>
      </c>
      <c r="DL235" s="113">
        <v>0</v>
      </c>
      <c r="DM235" s="113">
        <v>0</v>
      </c>
      <c r="DN235" s="113">
        <v>0</v>
      </c>
      <c r="DO235" s="113">
        <v>0</v>
      </c>
      <c r="DP235" s="113">
        <v>0</v>
      </c>
      <c r="DQ235" s="113">
        <v>0</v>
      </c>
      <c r="DR235" s="113">
        <v>0</v>
      </c>
      <c r="DS235" s="113">
        <v>0</v>
      </c>
      <c r="DT235" s="113">
        <v>0</v>
      </c>
      <c r="DU235" s="113">
        <v>0</v>
      </c>
      <c r="DV235" s="113">
        <v>0</v>
      </c>
      <c r="DW235" s="113">
        <v>0</v>
      </c>
      <c r="DX235" s="113">
        <v>0</v>
      </c>
      <c r="DY235" s="113">
        <v>0</v>
      </c>
      <c r="DZ235" s="113">
        <v>0</v>
      </c>
      <c r="EA235" s="113">
        <v>0</v>
      </c>
      <c r="EB235" s="113">
        <v>0</v>
      </c>
      <c r="EC235" s="113">
        <v>0</v>
      </c>
      <c r="ED235" s="113">
        <v>0</v>
      </c>
      <c r="EE235" s="113">
        <v>0</v>
      </c>
      <c r="EF235" s="113">
        <v>0</v>
      </c>
      <c r="EG235" s="113">
        <v>0</v>
      </c>
      <c r="EH235" s="113">
        <v>0</v>
      </c>
      <c r="EI235" s="113">
        <v>0</v>
      </c>
      <c r="EJ235" s="113">
        <v>0</v>
      </c>
      <c r="EK235" s="113">
        <v>0</v>
      </c>
      <c r="EL235" s="113">
        <v>0</v>
      </c>
      <c r="EM235" s="113">
        <v>0</v>
      </c>
      <c r="EN235" s="113">
        <v>0</v>
      </c>
      <c r="EO235" s="113">
        <v>0</v>
      </c>
      <c r="EP235" s="113">
        <v>0</v>
      </c>
      <c r="EQ235" s="113">
        <v>0</v>
      </c>
      <c r="ER235" s="113">
        <v>0</v>
      </c>
      <c r="ES235" s="113">
        <v>0</v>
      </c>
      <c r="ET235" s="113">
        <v>0</v>
      </c>
      <c r="EU235" s="113">
        <v>0</v>
      </c>
      <c r="EV235" s="113">
        <v>0</v>
      </c>
      <c r="EW235" s="113">
        <v>0</v>
      </c>
      <c r="EX235" s="113">
        <v>0</v>
      </c>
      <c r="EY235" s="113">
        <v>0</v>
      </c>
      <c r="EZ235" s="113">
        <v>0</v>
      </c>
      <c r="FA235" s="113">
        <v>0</v>
      </c>
      <c r="FB235" s="113">
        <v>0</v>
      </c>
      <c r="FC235" s="113">
        <v>0</v>
      </c>
      <c r="FD235" s="113">
        <v>0</v>
      </c>
      <c r="FE235" s="113">
        <v>0</v>
      </c>
      <c r="FF235" s="113">
        <v>0</v>
      </c>
      <c r="FG235" s="113">
        <v>0</v>
      </c>
      <c r="FH235" s="113">
        <v>0</v>
      </c>
      <c r="FI235" s="113">
        <v>0</v>
      </c>
      <c r="FJ235" s="113">
        <v>0</v>
      </c>
      <c r="FK235" s="113">
        <v>0</v>
      </c>
      <c r="FL235" s="113">
        <v>0</v>
      </c>
      <c r="FM235" s="113">
        <v>0</v>
      </c>
      <c r="FN235" s="113">
        <v>0</v>
      </c>
      <c r="FO235" s="113">
        <v>0</v>
      </c>
      <c r="FP235" s="113">
        <v>0</v>
      </c>
      <c r="FQ235" s="113">
        <v>0</v>
      </c>
      <c r="FR235" s="113">
        <v>0</v>
      </c>
      <c r="FS235" s="113">
        <v>0</v>
      </c>
      <c r="FT235" s="113">
        <v>0</v>
      </c>
      <c r="FU235" s="113">
        <v>0</v>
      </c>
      <c r="FV235" s="113">
        <v>0</v>
      </c>
      <c r="FW235" s="113">
        <v>0</v>
      </c>
      <c r="FX235" s="32">
        <v>0</v>
      </c>
      <c r="FY235" s="30">
        <v>0</v>
      </c>
      <c r="FZ235" s="30">
        <v>0</v>
      </c>
    </row>
    <row r="236" spans="1:182" x14ac:dyDescent="0.2">
      <c r="A236" s="28">
        <v>38749</v>
      </c>
      <c r="B236" s="28"/>
      <c r="C236" s="29">
        <v>179036</v>
      </c>
      <c r="D236" s="29">
        <v>119898</v>
      </c>
      <c r="E236" s="29">
        <f t="shared" si="6"/>
        <v>298934</v>
      </c>
      <c r="F236" s="30">
        <v>7149601</v>
      </c>
      <c r="G236" s="30">
        <v>129268</v>
      </c>
      <c r="H236" s="30">
        <f t="shared" si="7"/>
        <v>7278869</v>
      </c>
      <c r="I236" s="42" t="s">
        <v>75</v>
      </c>
      <c r="J236" s="42" t="s">
        <v>75</v>
      </c>
      <c r="K236" s="32">
        <v>6798652</v>
      </c>
      <c r="L236" s="31" t="s">
        <v>75</v>
      </c>
      <c r="M236" s="31" t="s">
        <v>75</v>
      </c>
      <c r="N236" s="30">
        <v>14616967</v>
      </c>
      <c r="O236" s="31" t="s">
        <v>75</v>
      </c>
      <c r="P236" s="31" t="s">
        <v>75</v>
      </c>
      <c r="Q236" s="30">
        <v>15724507</v>
      </c>
      <c r="R236" s="31" t="s">
        <v>75</v>
      </c>
      <c r="S236" s="31" t="s">
        <v>75</v>
      </c>
      <c r="T236" s="32">
        <v>104703</v>
      </c>
      <c r="U236" s="31" t="s">
        <v>75</v>
      </c>
      <c r="V236" s="31" t="s">
        <v>75</v>
      </c>
      <c r="W236" s="30">
        <v>39028</v>
      </c>
      <c r="X236" s="31" t="s">
        <v>75</v>
      </c>
      <c r="Y236" s="31" t="s">
        <v>75</v>
      </c>
      <c r="Z236" s="30">
        <v>42447</v>
      </c>
      <c r="AA236" s="31" t="s">
        <v>75</v>
      </c>
      <c r="AB236" s="31" t="s">
        <v>75</v>
      </c>
      <c r="AC236" s="30">
        <v>78362</v>
      </c>
      <c r="AD236" s="31" t="s">
        <v>75</v>
      </c>
      <c r="AE236" s="31" t="s">
        <v>75</v>
      </c>
      <c r="AF236" s="30">
        <v>6195</v>
      </c>
      <c r="AG236" s="42" t="s">
        <v>75</v>
      </c>
      <c r="AH236" s="42" t="s">
        <v>75</v>
      </c>
      <c r="AI236" s="32">
        <v>25221</v>
      </c>
      <c r="AJ236" s="31" t="s">
        <v>75</v>
      </c>
      <c r="AK236" s="31" t="s">
        <v>75</v>
      </c>
      <c r="AL236" s="31" t="s">
        <v>75</v>
      </c>
      <c r="AM236" s="31"/>
      <c r="AN236" s="31"/>
      <c r="AO236" s="31"/>
      <c r="AP236" s="31"/>
      <c r="AQ236" s="31"/>
      <c r="AR236" s="31"/>
      <c r="AS236" s="31" t="s">
        <v>75</v>
      </c>
      <c r="AT236" s="31" t="s">
        <v>75</v>
      </c>
      <c r="AU236" s="31" t="s">
        <v>75</v>
      </c>
      <c r="AV236" s="31" t="s">
        <v>75</v>
      </c>
      <c r="AW236" s="31" t="s">
        <v>75</v>
      </c>
      <c r="AX236" s="31" t="s">
        <v>75</v>
      </c>
      <c r="AY236" s="31" t="s">
        <v>75</v>
      </c>
      <c r="AZ236" s="31" t="s">
        <v>75</v>
      </c>
      <c r="BA236" s="29">
        <v>11885126</v>
      </c>
      <c r="BB236" s="31" t="s">
        <v>75</v>
      </c>
      <c r="BC236" s="31" t="s">
        <v>75</v>
      </c>
      <c r="BD236" s="29">
        <v>1483796</v>
      </c>
      <c r="BE236" s="113">
        <v>0</v>
      </c>
      <c r="BF236" s="113">
        <v>0</v>
      </c>
      <c r="BG236" s="113">
        <v>0</v>
      </c>
      <c r="BH236" s="113">
        <v>0</v>
      </c>
      <c r="BI236" s="113">
        <v>0</v>
      </c>
      <c r="BJ236" s="113">
        <v>0</v>
      </c>
      <c r="BK236" s="113">
        <v>0</v>
      </c>
      <c r="BL236" s="113">
        <v>0</v>
      </c>
      <c r="BM236" s="113">
        <v>0</v>
      </c>
      <c r="BN236" s="113">
        <v>0</v>
      </c>
      <c r="BO236" s="113">
        <v>0</v>
      </c>
      <c r="BP236" s="113">
        <v>0</v>
      </c>
      <c r="BQ236" s="113">
        <v>0</v>
      </c>
      <c r="BR236" s="113">
        <v>0</v>
      </c>
      <c r="BS236" s="113">
        <v>0</v>
      </c>
      <c r="BT236" s="113">
        <v>0</v>
      </c>
      <c r="BU236" s="113">
        <v>0</v>
      </c>
      <c r="BV236" s="113">
        <v>0</v>
      </c>
      <c r="BW236" s="113"/>
      <c r="BX236" s="113"/>
      <c r="BY236" s="113"/>
      <c r="BZ236" s="113">
        <v>0</v>
      </c>
      <c r="CA236" s="113">
        <v>0</v>
      </c>
      <c r="CB236" s="113">
        <v>0</v>
      </c>
      <c r="CC236" s="113"/>
      <c r="CD236" s="113"/>
      <c r="CE236" s="113"/>
      <c r="CF236" s="113">
        <v>0</v>
      </c>
      <c r="CG236" s="113">
        <v>0</v>
      </c>
      <c r="CH236" s="113">
        <v>0</v>
      </c>
      <c r="CI236" s="113">
        <v>0</v>
      </c>
      <c r="CJ236" s="113">
        <v>0</v>
      </c>
      <c r="CK236" s="113">
        <v>0</v>
      </c>
      <c r="CL236" s="113">
        <v>0</v>
      </c>
      <c r="CM236" s="113">
        <v>0</v>
      </c>
      <c r="CN236" s="113">
        <v>0</v>
      </c>
      <c r="CO236" s="113">
        <v>0</v>
      </c>
      <c r="CP236" s="113">
        <v>0</v>
      </c>
      <c r="CQ236" s="113">
        <v>0</v>
      </c>
      <c r="CR236" s="113">
        <v>0</v>
      </c>
      <c r="CS236" s="113">
        <v>0</v>
      </c>
      <c r="CT236" s="113">
        <v>0</v>
      </c>
      <c r="CU236" s="113">
        <v>0</v>
      </c>
      <c r="CV236" s="113">
        <v>0</v>
      </c>
      <c r="CW236" s="113">
        <v>0</v>
      </c>
      <c r="CX236" s="113">
        <v>0</v>
      </c>
      <c r="CY236" s="113">
        <v>0</v>
      </c>
      <c r="CZ236" s="113">
        <v>0</v>
      </c>
      <c r="DA236" s="113">
        <v>0</v>
      </c>
      <c r="DB236" s="113">
        <v>0</v>
      </c>
      <c r="DC236" s="113">
        <v>0</v>
      </c>
      <c r="DD236" s="113">
        <v>0</v>
      </c>
      <c r="DE236" s="113">
        <v>0</v>
      </c>
      <c r="DF236" s="113">
        <v>0</v>
      </c>
      <c r="DG236" s="113">
        <v>0</v>
      </c>
      <c r="DH236" s="113">
        <v>0</v>
      </c>
      <c r="DI236" s="113">
        <v>0</v>
      </c>
      <c r="DJ236" s="113">
        <v>0</v>
      </c>
      <c r="DK236" s="113">
        <v>0</v>
      </c>
      <c r="DL236" s="113">
        <v>0</v>
      </c>
      <c r="DM236" s="113">
        <v>0</v>
      </c>
      <c r="DN236" s="113">
        <v>0</v>
      </c>
      <c r="DO236" s="113">
        <v>0</v>
      </c>
      <c r="DP236" s="113">
        <v>0</v>
      </c>
      <c r="DQ236" s="113">
        <v>0</v>
      </c>
      <c r="DR236" s="113">
        <v>0</v>
      </c>
      <c r="DS236" s="113">
        <v>0</v>
      </c>
      <c r="DT236" s="113">
        <v>0</v>
      </c>
      <c r="DU236" s="113">
        <v>0</v>
      </c>
      <c r="DV236" s="113">
        <v>0</v>
      </c>
      <c r="DW236" s="113">
        <v>0</v>
      </c>
      <c r="DX236" s="113">
        <v>0</v>
      </c>
      <c r="DY236" s="113">
        <v>0</v>
      </c>
      <c r="DZ236" s="113">
        <v>0</v>
      </c>
      <c r="EA236" s="113">
        <v>0</v>
      </c>
      <c r="EB236" s="113">
        <v>0</v>
      </c>
      <c r="EC236" s="113">
        <v>0</v>
      </c>
      <c r="ED236" s="113">
        <v>0</v>
      </c>
      <c r="EE236" s="113">
        <v>0</v>
      </c>
      <c r="EF236" s="113">
        <v>0</v>
      </c>
      <c r="EG236" s="113">
        <v>0</v>
      </c>
      <c r="EH236" s="113">
        <v>0</v>
      </c>
      <c r="EI236" s="113">
        <v>0</v>
      </c>
      <c r="EJ236" s="113">
        <v>0</v>
      </c>
      <c r="EK236" s="113">
        <v>0</v>
      </c>
      <c r="EL236" s="113">
        <v>0</v>
      </c>
      <c r="EM236" s="113">
        <v>0</v>
      </c>
      <c r="EN236" s="113">
        <v>0</v>
      </c>
      <c r="EO236" s="113">
        <v>0</v>
      </c>
      <c r="EP236" s="113">
        <v>0</v>
      </c>
      <c r="EQ236" s="113">
        <v>0</v>
      </c>
      <c r="ER236" s="113">
        <v>0</v>
      </c>
      <c r="ES236" s="113">
        <v>0</v>
      </c>
      <c r="ET236" s="113">
        <v>0</v>
      </c>
      <c r="EU236" s="113">
        <v>0</v>
      </c>
      <c r="EV236" s="113">
        <v>0</v>
      </c>
      <c r="EW236" s="113">
        <v>0</v>
      </c>
      <c r="EX236" s="113">
        <v>0</v>
      </c>
      <c r="EY236" s="113">
        <v>0</v>
      </c>
      <c r="EZ236" s="113">
        <v>0</v>
      </c>
      <c r="FA236" s="113">
        <v>0</v>
      </c>
      <c r="FB236" s="113">
        <v>0</v>
      </c>
      <c r="FC236" s="113">
        <v>0</v>
      </c>
      <c r="FD236" s="113">
        <v>0</v>
      </c>
      <c r="FE236" s="113">
        <v>0</v>
      </c>
      <c r="FF236" s="113">
        <v>0</v>
      </c>
      <c r="FG236" s="113">
        <v>0</v>
      </c>
      <c r="FH236" s="113">
        <v>0</v>
      </c>
      <c r="FI236" s="113">
        <v>0</v>
      </c>
      <c r="FJ236" s="113">
        <v>0</v>
      </c>
      <c r="FK236" s="113">
        <v>0</v>
      </c>
      <c r="FL236" s="113">
        <v>0</v>
      </c>
      <c r="FM236" s="113">
        <v>0</v>
      </c>
      <c r="FN236" s="113">
        <v>0</v>
      </c>
      <c r="FO236" s="113">
        <v>0</v>
      </c>
      <c r="FP236" s="113">
        <v>0</v>
      </c>
      <c r="FQ236" s="113">
        <v>0</v>
      </c>
      <c r="FR236" s="113">
        <v>0</v>
      </c>
      <c r="FS236" s="113">
        <v>0</v>
      </c>
      <c r="FT236" s="113">
        <v>0</v>
      </c>
      <c r="FU236" s="113">
        <v>0</v>
      </c>
      <c r="FV236" s="113">
        <v>0</v>
      </c>
      <c r="FW236" s="113">
        <v>0</v>
      </c>
      <c r="FX236" s="32">
        <v>0</v>
      </c>
      <c r="FY236" s="30">
        <v>0</v>
      </c>
      <c r="FZ236" s="30">
        <v>0</v>
      </c>
    </row>
    <row r="237" spans="1:182" x14ac:dyDescent="0.2">
      <c r="A237" s="28">
        <v>38777</v>
      </c>
      <c r="B237" s="28"/>
      <c r="C237" s="29">
        <v>267543</v>
      </c>
      <c r="D237" s="29">
        <v>195524</v>
      </c>
      <c r="E237" s="29">
        <f t="shared" si="6"/>
        <v>463067</v>
      </c>
      <c r="F237" s="30">
        <v>6053132</v>
      </c>
      <c r="G237" s="30">
        <v>29055</v>
      </c>
      <c r="H237" s="30">
        <f t="shared" si="7"/>
        <v>6082187</v>
      </c>
      <c r="I237" s="42" t="s">
        <v>75</v>
      </c>
      <c r="J237" s="42" t="s">
        <v>75</v>
      </c>
      <c r="K237" s="32">
        <v>6612407</v>
      </c>
      <c r="L237" s="31" t="s">
        <v>75</v>
      </c>
      <c r="M237" s="31" t="s">
        <v>75</v>
      </c>
      <c r="N237" s="30">
        <v>14141556</v>
      </c>
      <c r="O237" s="31" t="s">
        <v>75</v>
      </c>
      <c r="P237" s="31" t="s">
        <v>75</v>
      </c>
      <c r="Q237" s="30">
        <v>18574431</v>
      </c>
      <c r="R237" s="31" t="s">
        <v>75</v>
      </c>
      <c r="S237" s="31" t="s">
        <v>75</v>
      </c>
      <c r="T237" s="32">
        <v>114424</v>
      </c>
      <c r="U237" s="31" t="s">
        <v>75</v>
      </c>
      <c r="V237" s="31" t="s">
        <v>75</v>
      </c>
      <c r="W237" s="30">
        <v>31076</v>
      </c>
      <c r="X237" s="31" t="s">
        <v>75</v>
      </c>
      <c r="Y237" s="31" t="s">
        <v>75</v>
      </c>
      <c r="Z237" s="30">
        <v>42502</v>
      </c>
      <c r="AA237" s="31" t="s">
        <v>75</v>
      </c>
      <c r="AB237" s="31" t="s">
        <v>75</v>
      </c>
      <c r="AC237" s="30">
        <v>131949</v>
      </c>
      <c r="AD237" s="31" t="s">
        <v>75</v>
      </c>
      <c r="AE237" s="31" t="s">
        <v>75</v>
      </c>
      <c r="AF237" s="30">
        <v>6153</v>
      </c>
      <c r="AG237" s="42" t="s">
        <v>75</v>
      </c>
      <c r="AH237" s="42" t="s">
        <v>75</v>
      </c>
      <c r="AI237" s="32">
        <v>24062</v>
      </c>
      <c r="AJ237" s="31" t="s">
        <v>75</v>
      </c>
      <c r="AK237" s="31" t="s">
        <v>75</v>
      </c>
      <c r="AL237" s="31" t="s">
        <v>75</v>
      </c>
      <c r="AM237" s="31"/>
      <c r="AN237" s="31"/>
      <c r="AO237" s="31"/>
      <c r="AP237" s="31"/>
      <c r="AQ237" s="31"/>
      <c r="AR237" s="31"/>
      <c r="AS237" s="31" t="s">
        <v>75</v>
      </c>
      <c r="AT237" s="31" t="s">
        <v>75</v>
      </c>
      <c r="AU237" s="31" t="s">
        <v>75</v>
      </c>
      <c r="AV237" s="31" t="s">
        <v>75</v>
      </c>
      <c r="AW237" s="31" t="s">
        <v>75</v>
      </c>
      <c r="AX237" s="31" t="s">
        <v>75</v>
      </c>
      <c r="AY237" s="31" t="s">
        <v>75</v>
      </c>
      <c r="AZ237" s="31" t="s">
        <v>75</v>
      </c>
      <c r="BA237" s="29">
        <v>12195585</v>
      </c>
      <c r="BB237" s="31" t="s">
        <v>75</v>
      </c>
      <c r="BC237" s="31" t="s">
        <v>75</v>
      </c>
      <c r="BD237" s="29">
        <v>1617943</v>
      </c>
      <c r="BE237" s="113">
        <v>0</v>
      </c>
      <c r="BF237" s="113">
        <v>0</v>
      </c>
      <c r="BG237" s="113">
        <v>0</v>
      </c>
      <c r="BH237" s="113">
        <v>0</v>
      </c>
      <c r="BI237" s="113">
        <v>0</v>
      </c>
      <c r="BJ237" s="113">
        <v>0</v>
      </c>
      <c r="BK237" s="113">
        <v>0</v>
      </c>
      <c r="BL237" s="113">
        <v>0</v>
      </c>
      <c r="BM237" s="113">
        <v>0</v>
      </c>
      <c r="BN237" s="113">
        <v>0</v>
      </c>
      <c r="BO237" s="113">
        <v>0</v>
      </c>
      <c r="BP237" s="113">
        <v>0</v>
      </c>
      <c r="BQ237" s="113">
        <v>0</v>
      </c>
      <c r="BR237" s="113">
        <v>0</v>
      </c>
      <c r="BS237" s="113">
        <v>0</v>
      </c>
      <c r="BT237" s="113">
        <v>0</v>
      </c>
      <c r="BU237" s="113">
        <v>0</v>
      </c>
      <c r="BV237" s="113">
        <v>0</v>
      </c>
      <c r="BW237" s="113"/>
      <c r="BX237" s="113"/>
      <c r="BY237" s="113"/>
      <c r="BZ237" s="113">
        <v>0</v>
      </c>
      <c r="CA237" s="113">
        <v>0</v>
      </c>
      <c r="CB237" s="113">
        <v>0</v>
      </c>
      <c r="CC237" s="113"/>
      <c r="CD237" s="113"/>
      <c r="CE237" s="113"/>
      <c r="CF237" s="113">
        <v>0</v>
      </c>
      <c r="CG237" s="113">
        <v>0</v>
      </c>
      <c r="CH237" s="113">
        <v>0</v>
      </c>
      <c r="CI237" s="113">
        <v>0</v>
      </c>
      <c r="CJ237" s="113">
        <v>0</v>
      </c>
      <c r="CK237" s="113">
        <v>0</v>
      </c>
      <c r="CL237" s="113">
        <v>0</v>
      </c>
      <c r="CM237" s="113">
        <v>0</v>
      </c>
      <c r="CN237" s="113">
        <v>0</v>
      </c>
      <c r="CO237" s="113">
        <v>0</v>
      </c>
      <c r="CP237" s="113">
        <v>0</v>
      </c>
      <c r="CQ237" s="113">
        <v>0</v>
      </c>
      <c r="CR237" s="113">
        <v>0</v>
      </c>
      <c r="CS237" s="113">
        <v>0</v>
      </c>
      <c r="CT237" s="113">
        <v>0</v>
      </c>
      <c r="CU237" s="113">
        <v>0</v>
      </c>
      <c r="CV237" s="113">
        <v>0</v>
      </c>
      <c r="CW237" s="113">
        <v>0</v>
      </c>
      <c r="CX237" s="113">
        <v>0</v>
      </c>
      <c r="CY237" s="113">
        <v>0</v>
      </c>
      <c r="CZ237" s="113">
        <v>0</v>
      </c>
      <c r="DA237" s="113">
        <v>0</v>
      </c>
      <c r="DB237" s="113">
        <v>0</v>
      </c>
      <c r="DC237" s="113">
        <v>0</v>
      </c>
      <c r="DD237" s="113">
        <v>0</v>
      </c>
      <c r="DE237" s="113">
        <v>0</v>
      </c>
      <c r="DF237" s="113">
        <v>0</v>
      </c>
      <c r="DG237" s="113">
        <v>0</v>
      </c>
      <c r="DH237" s="113">
        <v>0</v>
      </c>
      <c r="DI237" s="113">
        <v>0</v>
      </c>
      <c r="DJ237" s="113">
        <v>0</v>
      </c>
      <c r="DK237" s="113">
        <v>0</v>
      </c>
      <c r="DL237" s="113">
        <v>0</v>
      </c>
      <c r="DM237" s="113">
        <v>0</v>
      </c>
      <c r="DN237" s="113">
        <v>0</v>
      </c>
      <c r="DO237" s="113">
        <v>0</v>
      </c>
      <c r="DP237" s="113">
        <v>0</v>
      </c>
      <c r="DQ237" s="113">
        <v>0</v>
      </c>
      <c r="DR237" s="113">
        <v>0</v>
      </c>
      <c r="DS237" s="113">
        <v>0</v>
      </c>
      <c r="DT237" s="113">
        <v>0</v>
      </c>
      <c r="DU237" s="113">
        <v>0</v>
      </c>
      <c r="DV237" s="113">
        <v>0</v>
      </c>
      <c r="DW237" s="113">
        <v>0</v>
      </c>
      <c r="DX237" s="113">
        <v>0</v>
      </c>
      <c r="DY237" s="113">
        <v>0</v>
      </c>
      <c r="DZ237" s="113">
        <v>0</v>
      </c>
      <c r="EA237" s="113">
        <v>0</v>
      </c>
      <c r="EB237" s="113">
        <v>0</v>
      </c>
      <c r="EC237" s="113">
        <v>0</v>
      </c>
      <c r="ED237" s="113">
        <v>0</v>
      </c>
      <c r="EE237" s="113">
        <v>0</v>
      </c>
      <c r="EF237" s="113">
        <v>0</v>
      </c>
      <c r="EG237" s="113">
        <v>0</v>
      </c>
      <c r="EH237" s="113">
        <v>0</v>
      </c>
      <c r="EI237" s="113">
        <v>0</v>
      </c>
      <c r="EJ237" s="113">
        <v>0</v>
      </c>
      <c r="EK237" s="113">
        <v>0</v>
      </c>
      <c r="EL237" s="113">
        <v>0</v>
      </c>
      <c r="EM237" s="113">
        <v>0</v>
      </c>
      <c r="EN237" s="113">
        <v>0</v>
      </c>
      <c r="EO237" s="113">
        <v>0</v>
      </c>
      <c r="EP237" s="113">
        <v>0</v>
      </c>
      <c r="EQ237" s="113">
        <v>0</v>
      </c>
      <c r="ER237" s="113">
        <v>0</v>
      </c>
      <c r="ES237" s="113">
        <v>0</v>
      </c>
      <c r="ET237" s="113">
        <v>0</v>
      </c>
      <c r="EU237" s="113">
        <v>0</v>
      </c>
      <c r="EV237" s="113">
        <v>0</v>
      </c>
      <c r="EW237" s="113">
        <v>0</v>
      </c>
      <c r="EX237" s="113">
        <v>0</v>
      </c>
      <c r="EY237" s="113">
        <v>0</v>
      </c>
      <c r="EZ237" s="113">
        <v>0</v>
      </c>
      <c r="FA237" s="113">
        <v>0</v>
      </c>
      <c r="FB237" s="113">
        <v>0</v>
      </c>
      <c r="FC237" s="113">
        <v>0</v>
      </c>
      <c r="FD237" s="113">
        <v>0</v>
      </c>
      <c r="FE237" s="113">
        <v>0</v>
      </c>
      <c r="FF237" s="113">
        <v>0</v>
      </c>
      <c r="FG237" s="113">
        <v>0</v>
      </c>
      <c r="FH237" s="113">
        <v>0</v>
      </c>
      <c r="FI237" s="113">
        <v>0</v>
      </c>
      <c r="FJ237" s="113">
        <v>0</v>
      </c>
      <c r="FK237" s="113">
        <v>0</v>
      </c>
      <c r="FL237" s="113">
        <v>0</v>
      </c>
      <c r="FM237" s="113">
        <v>0</v>
      </c>
      <c r="FN237" s="113">
        <v>0</v>
      </c>
      <c r="FO237" s="113">
        <v>0</v>
      </c>
      <c r="FP237" s="113">
        <v>0</v>
      </c>
      <c r="FQ237" s="113">
        <v>0</v>
      </c>
      <c r="FR237" s="113">
        <v>0</v>
      </c>
      <c r="FS237" s="113">
        <v>0</v>
      </c>
      <c r="FT237" s="113">
        <v>0</v>
      </c>
      <c r="FU237" s="113">
        <v>0</v>
      </c>
      <c r="FV237" s="113">
        <v>0</v>
      </c>
      <c r="FW237" s="113">
        <v>0</v>
      </c>
      <c r="FX237" s="32">
        <v>0</v>
      </c>
      <c r="FY237" s="30">
        <v>0</v>
      </c>
      <c r="FZ237" s="30">
        <v>0</v>
      </c>
    </row>
    <row r="238" spans="1:182" x14ac:dyDescent="0.2">
      <c r="A238" s="28">
        <v>38808</v>
      </c>
      <c r="B238" s="28"/>
      <c r="C238" s="29">
        <v>219739</v>
      </c>
      <c r="D238" s="29">
        <v>159641</v>
      </c>
      <c r="E238" s="29">
        <f t="shared" si="6"/>
        <v>379380</v>
      </c>
      <c r="F238" s="30">
        <v>4704789</v>
      </c>
      <c r="G238" s="30">
        <v>180961</v>
      </c>
      <c r="H238" s="30">
        <f t="shared" si="7"/>
        <v>4885750</v>
      </c>
      <c r="I238" s="42" t="s">
        <v>75</v>
      </c>
      <c r="J238" s="42" t="s">
        <v>75</v>
      </c>
      <c r="K238" s="32">
        <v>5451903</v>
      </c>
      <c r="L238" s="31" t="s">
        <v>75</v>
      </c>
      <c r="M238" s="31" t="s">
        <v>75</v>
      </c>
      <c r="N238" s="30">
        <v>13090568</v>
      </c>
      <c r="O238" s="31" t="s">
        <v>75</v>
      </c>
      <c r="P238" s="31" t="s">
        <v>75</v>
      </c>
      <c r="Q238" s="30">
        <v>13835282</v>
      </c>
      <c r="R238" s="31" t="s">
        <v>75</v>
      </c>
      <c r="S238" s="31" t="s">
        <v>75</v>
      </c>
      <c r="T238" s="32">
        <v>122292</v>
      </c>
      <c r="U238" s="31" t="s">
        <v>75</v>
      </c>
      <c r="V238" s="31" t="s">
        <v>75</v>
      </c>
      <c r="W238" s="30">
        <v>28759</v>
      </c>
      <c r="X238" s="31" t="s">
        <v>75</v>
      </c>
      <c r="Y238" s="31" t="s">
        <v>75</v>
      </c>
      <c r="Z238" s="30">
        <v>42944</v>
      </c>
      <c r="AA238" s="31" t="s">
        <v>75</v>
      </c>
      <c r="AB238" s="31" t="s">
        <v>75</v>
      </c>
      <c r="AC238" s="30">
        <v>124198</v>
      </c>
      <c r="AD238" s="31" t="s">
        <v>75</v>
      </c>
      <c r="AE238" s="31" t="s">
        <v>75</v>
      </c>
      <c r="AF238" s="30">
        <v>6652</v>
      </c>
      <c r="AG238" s="42" t="s">
        <v>75</v>
      </c>
      <c r="AH238" s="42" t="s">
        <v>75</v>
      </c>
      <c r="AI238" s="32">
        <v>26726</v>
      </c>
      <c r="AJ238" s="31" t="s">
        <v>75</v>
      </c>
      <c r="AK238" s="31" t="s">
        <v>75</v>
      </c>
      <c r="AL238" s="31" t="s">
        <v>75</v>
      </c>
      <c r="AM238" s="31"/>
      <c r="AN238" s="31"/>
      <c r="AO238" s="31"/>
      <c r="AP238" s="31"/>
      <c r="AQ238" s="31"/>
      <c r="AR238" s="31"/>
      <c r="AS238" s="31" t="s">
        <v>75</v>
      </c>
      <c r="AT238" s="31" t="s">
        <v>75</v>
      </c>
      <c r="AU238" s="31" t="s">
        <v>75</v>
      </c>
      <c r="AV238" s="31" t="s">
        <v>75</v>
      </c>
      <c r="AW238" s="31" t="s">
        <v>75</v>
      </c>
      <c r="AX238" s="31" t="s">
        <v>75</v>
      </c>
      <c r="AY238" s="31" t="s">
        <v>75</v>
      </c>
      <c r="AZ238" s="31" t="s">
        <v>75</v>
      </c>
      <c r="BA238" s="29">
        <v>10641788</v>
      </c>
      <c r="BB238" s="31" t="s">
        <v>75</v>
      </c>
      <c r="BC238" s="31" t="s">
        <v>75</v>
      </c>
      <c r="BD238" s="29">
        <v>1502821</v>
      </c>
      <c r="BE238" s="113">
        <v>0</v>
      </c>
      <c r="BF238" s="113">
        <v>0</v>
      </c>
      <c r="BG238" s="113">
        <v>0</v>
      </c>
      <c r="BH238" s="113">
        <v>0</v>
      </c>
      <c r="BI238" s="113">
        <v>0</v>
      </c>
      <c r="BJ238" s="113">
        <v>0</v>
      </c>
      <c r="BK238" s="113">
        <v>0</v>
      </c>
      <c r="BL238" s="113">
        <v>0</v>
      </c>
      <c r="BM238" s="113">
        <v>0</v>
      </c>
      <c r="BN238" s="113">
        <v>0</v>
      </c>
      <c r="BO238" s="113">
        <v>0</v>
      </c>
      <c r="BP238" s="113">
        <v>0</v>
      </c>
      <c r="BQ238" s="113">
        <v>0</v>
      </c>
      <c r="BR238" s="113">
        <v>0</v>
      </c>
      <c r="BS238" s="113">
        <v>0</v>
      </c>
      <c r="BT238" s="113">
        <v>0</v>
      </c>
      <c r="BU238" s="113">
        <v>0</v>
      </c>
      <c r="BV238" s="113">
        <v>0</v>
      </c>
      <c r="BW238" s="113"/>
      <c r="BX238" s="113"/>
      <c r="BY238" s="113"/>
      <c r="BZ238" s="113">
        <v>0</v>
      </c>
      <c r="CA238" s="113">
        <v>0</v>
      </c>
      <c r="CB238" s="113">
        <v>0</v>
      </c>
      <c r="CC238" s="113"/>
      <c r="CD238" s="113"/>
      <c r="CE238" s="113"/>
      <c r="CF238" s="113">
        <v>0</v>
      </c>
      <c r="CG238" s="113">
        <v>0</v>
      </c>
      <c r="CH238" s="113">
        <v>0</v>
      </c>
      <c r="CI238" s="113">
        <v>0</v>
      </c>
      <c r="CJ238" s="113">
        <v>0</v>
      </c>
      <c r="CK238" s="113">
        <v>0</v>
      </c>
      <c r="CL238" s="113">
        <v>0</v>
      </c>
      <c r="CM238" s="113">
        <v>0</v>
      </c>
      <c r="CN238" s="113">
        <v>0</v>
      </c>
      <c r="CO238" s="113">
        <v>0</v>
      </c>
      <c r="CP238" s="113">
        <v>0</v>
      </c>
      <c r="CQ238" s="113">
        <v>0</v>
      </c>
      <c r="CR238" s="113">
        <v>0</v>
      </c>
      <c r="CS238" s="113">
        <v>0</v>
      </c>
      <c r="CT238" s="113">
        <v>0</v>
      </c>
      <c r="CU238" s="113">
        <v>0</v>
      </c>
      <c r="CV238" s="113">
        <v>0</v>
      </c>
      <c r="CW238" s="113">
        <v>0</v>
      </c>
      <c r="CX238" s="113">
        <v>0</v>
      </c>
      <c r="CY238" s="113">
        <v>0</v>
      </c>
      <c r="CZ238" s="113">
        <v>0</v>
      </c>
      <c r="DA238" s="113">
        <v>0</v>
      </c>
      <c r="DB238" s="113">
        <v>0</v>
      </c>
      <c r="DC238" s="113">
        <v>0</v>
      </c>
      <c r="DD238" s="113">
        <v>0</v>
      </c>
      <c r="DE238" s="113">
        <v>0</v>
      </c>
      <c r="DF238" s="113">
        <v>0</v>
      </c>
      <c r="DG238" s="113">
        <v>0</v>
      </c>
      <c r="DH238" s="113">
        <v>0</v>
      </c>
      <c r="DI238" s="113">
        <v>0</v>
      </c>
      <c r="DJ238" s="113">
        <v>0</v>
      </c>
      <c r="DK238" s="113">
        <v>0</v>
      </c>
      <c r="DL238" s="113">
        <v>0</v>
      </c>
      <c r="DM238" s="113">
        <v>0</v>
      </c>
      <c r="DN238" s="113">
        <v>0</v>
      </c>
      <c r="DO238" s="113">
        <v>0</v>
      </c>
      <c r="DP238" s="113">
        <v>0</v>
      </c>
      <c r="DQ238" s="113">
        <v>0</v>
      </c>
      <c r="DR238" s="113">
        <v>0</v>
      </c>
      <c r="DS238" s="113">
        <v>0</v>
      </c>
      <c r="DT238" s="113">
        <v>0</v>
      </c>
      <c r="DU238" s="113">
        <v>0</v>
      </c>
      <c r="DV238" s="113">
        <v>0</v>
      </c>
      <c r="DW238" s="113">
        <v>0</v>
      </c>
      <c r="DX238" s="113">
        <v>0</v>
      </c>
      <c r="DY238" s="113">
        <v>0</v>
      </c>
      <c r="DZ238" s="113">
        <v>0</v>
      </c>
      <c r="EA238" s="113">
        <v>0</v>
      </c>
      <c r="EB238" s="113">
        <v>0</v>
      </c>
      <c r="EC238" s="113">
        <v>0</v>
      </c>
      <c r="ED238" s="113">
        <v>0</v>
      </c>
      <c r="EE238" s="113">
        <v>0</v>
      </c>
      <c r="EF238" s="113">
        <v>0</v>
      </c>
      <c r="EG238" s="113">
        <v>0</v>
      </c>
      <c r="EH238" s="113">
        <v>0</v>
      </c>
      <c r="EI238" s="113">
        <v>0</v>
      </c>
      <c r="EJ238" s="113">
        <v>0</v>
      </c>
      <c r="EK238" s="113">
        <v>0</v>
      </c>
      <c r="EL238" s="113">
        <v>0</v>
      </c>
      <c r="EM238" s="113">
        <v>0</v>
      </c>
      <c r="EN238" s="113">
        <v>0</v>
      </c>
      <c r="EO238" s="113">
        <v>0</v>
      </c>
      <c r="EP238" s="113">
        <v>0</v>
      </c>
      <c r="EQ238" s="113">
        <v>0</v>
      </c>
      <c r="ER238" s="113">
        <v>0</v>
      </c>
      <c r="ES238" s="113">
        <v>0</v>
      </c>
      <c r="ET238" s="113">
        <v>0</v>
      </c>
      <c r="EU238" s="113">
        <v>0</v>
      </c>
      <c r="EV238" s="113">
        <v>0</v>
      </c>
      <c r="EW238" s="113">
        <v>0</v>
      </c>
      <c r="EX238" s="113">
        <v>0</v>
      </c>
      <c r="EY238" s="113">
        <v>0</v>
      </c>
      <c r="EZ238" s="113">
        <v>0</v>
      </c>
      <c r="FA238" s="113">
        <v>0</v>
      </c>
      <c r="FB238" s="113">
        <v>0</v>
      </c>
      <c r="FC238" s="113">
        <v>0</v>
      </c>
      <c r="FD238" s="113">
        <v>0</v>
      </c>
      <c r="FE238" s="113">
        <v>0</v>
      </c>
      <c r="FF238" s="113">
        <v>0</v>
      </c>
      <c r="FG238" s="113">
        <v>0</v>
      </c>
      <c r="FH238" s="113">
        <v>0</v>
      </c>
      <c r="FI238" s="113">
        <v>0</v>
      </c>
      <c r="FJ238" s="113">
        <v>0</v>
      </c>
      <c r="FK238" s="113">
        <v>0</v>
      </c>
      <c r="FL238" s="113">
        <v>0</v>
      </c>
      <c r="FM238" s="113">
        <v>0</v>
      </c>
      <c r="FN238" s="113">
        <v>0</v>
      </c>
      <c r="FO238" s="113">
        <v>0</v>
      </c>
      <c r="FP238" s="113">
        <v>0</v>
      </c>
      <c r="FQ238" s="113">
        <v>0</v>
      </c>
      <c r="FR238" s="113">
        <v>0</v>
      </c>
      <c r="FS238" s="113">
        <v>0</v>
      </c>
      <c r="FT238" s="113">
        <v>0</v>
      </c>
      <c r="FU238" s="113">
        <v>0</v>
      </c>
      <c r="FV238" s="113">
        <v>0</v>
      </c>
      <c r="FW238" s="113">
        <v>0</v>
      </c>
      <c r="FX238" s="32">
        <v>0</v>
      </c>
      <c r="FY238" s="30">
        <v>0</v>
      </c>
      <c r="FZ238" s="30">
        <v>0</v>
      </c>
    </row>
    <row r="239" spans="1:182" x14ac:dyDescent="0.2">
      <c r="A239" s="28">
        <v>38838</v>
      </c>
      <c r="B239" s="28"/>
      <c r="C239" s="29">
        <v>271696</v>
      </c>
      <c r="D239" s="29">
        <v>174454</v>
      </c>
      <c r="E239" s="29">
        <f t="shared" si="6"/>
        <v>446150</v>
      </c>
      <c r="F239" s="30">
        <v>2978398</v>
      </c>
      <c r="G239" s="30">
        <v>57144</v>
      </c>
      <c r="H239" s="30">
        <f t="shared" si="7"/>
        <v>3035542</v>
      </c>
      <c r="I239" s="42" t="s">
        <v>75</v>
      </c>
      <c r="J239" s="42" t="s">
        <v>75</v>
      </c>
      <c r="K239" s="32">
        <v>4833147</v>
      </c>
      <c r="L239" s="31" t="s">
        <v>75</v>
      </c>
      <c r="M239" s="31" t="s">
        <v>75</v>
      </c>
      <c r="N239" s="30">
        <v>12645160</v>
      </c>
      <c r="O239" s="31" t="s">
        <v>75</v>
      </c>
      <c r="P239" s="31" t="s">
        <v>75</v>
      </c>
      <c r="Q239" s="30">
        <v>13839894</v>
      </c>
      <c r="R239" s="31" t="s">
        <v>75</v>
      </c>
      <c r="S239" s="31" t="s">
        <v>75</v>
      </c>
      <c r="T239" s="32">
        <v>135964</v>
      </c>
      <c r="U239" s="31" t="s">
        <v>75</v>
      </c>
      <c r="V239" s="31" t="s">
        <v>75</v>
      </c>
      <c r="W239" s="30">
        <v>29655</v>
      </c>
      <c r="X239" s="31" t="s">
        <v>75</v>
      </c>
      <c r="Y239" s="31" t="s">
        <v>75</v>
      </c>
      <c r="Z239" s="30">
        <v>71241</v>
      </c>
      <c r="AA239" s="31" t="s">
        <v>75</v>
      </c>
      <c r="AB239" s="31" t="s">
        <v>75</v>
      </c>
      <c r="AC239" s="30">
        <v>157922</v>
      </c>
      <c r="AD239" s="31" t="s">
        <v>75</v>
      </c>
      <c r="AE239" s="31" t="s">
        <v>75</v>
      </c>
      <c r="AF239" s="30">
        <v>9389</v>
      </c>
      <c r="AG239" s="42" t="s">
        <v>75</v>
      </c>
      <c r="AH239" s="42" t="s">
        <v>75</v>
      </c>
      <c r="AI239" s="32">
        <v>32333</v>
      </c>
      <c r="AJ239" s="31" t="s">
        <v>75</v>
      </c>
      <c r="AK239" s="31" t="s">
        <v>75</v>
      </c>
      <c r="AL239" s="31" t="s">
        <v>75</v>
      </c>
      <c r="AM239" s="31"/>
      <c r="AN239" s="31"/>
      <c r="AO239" s="31"/>
      <c r="AP239" s="31"/>
      <c r="AQ239" s="31"/>
      <c r="AR239" s="31"/>
      <c r="AS239" s="31" t="s">
        <v>75</v>
      </c>
      <c r="AT239" s="31" t="s">
        <v>75</v>
      </c>
      <c r="AU239" s="31" t="s">
        <v>75</v>
      </c>
      <c r="AV239" s="31" t="s">
        <v>75</v>
      </c>
      <c r="AW239" s="31" t="s">
        <v>75</v>
      </c>
      <c r="AX239" s="31" t="s">
        <v>75</v>
      </c>
      <c r="AY239" s="31" t="s">
        <v>75</v>
      </c>
      <c r="AZ239" s="31" t="s">
        <v>75</v>
      </c>
      <c r="BA239" s="29">
        <v>10721105</v>
      </c>
      <c r="BB239" s="31" t="s">
        <v>75</v>
      </c>
      <c r="BC239" s="31" t="s">
        <v>75</v>
      </c>
      <c r="BD239" s="29">
        <v>1456968</v>
      </c>
      <c r="BE239" s="113">
        <v>0</v>
      </c>
      <c r="BF239" s="113">
        <v>0</v>
      </c>
      <c r="BG239" s="113">
        <v>0</v>
      </c>
      <c r="BH239" s="113">
        <v>0</v>
      </c>
      <c r="BI239" s="113">
        <v>0</v>
      </c>
      <c r="BJ239" s="113">
        <v>0</v>
      </c>
      <c r="BK239" s="113">
        <v>0</v>
      </c>
      <c r="BL239" s="113">
        <v>0</v>
      </c>
      <c r="BM239" s="113">
        <v>0</v>
      </c>
      <c r="BN239" s="113">
        <v>0</v>
      </c>
      <c r="BO239" s="113">
        <v>0</v>
      </c>
      <c r="BP239" s="113">
        <v>0</v>
      </c>
      <c r="BQ239" s="113">
        <v>0</v>
      </c>
      <c r="BR239" s="113">
        <v>0</v>
      </c>
      <c r="BS239" s="113">
        <v>0</v>
      </c>
      <c r="BT239" s="113">
        <v>0</v>
      </c>
      <c r="BU239" s="113">
        <v>0</v>
      </c>
      <c r="BV239" s="113">
        <v>0</v>
      </c>
      <c r="BW239" s="113"/>
      <c r="BX239" s="113"/>
      <c r="BY239" s="113"/>
      <c r="BZ239" s="113">
        <v>0</v>
      </c>
      <c r="CA239" s="113">
        <v>0</v>
      </c>
      <c r="CB239" s="113">
        <v>0</v>
      </c>
      <c r="CC239" s="113"/>
      <c r="CD239" s="113"/>
      <c r="CE239" s="113"/>
      <c r="CF239" s="113">
        <v>0</v>
      </c>
      <c r="CG239" s="113">
        <v>0</v>
      </c>
      <c r="CH239" s="113">
        <v>0</v>
      </c>
      <c r="CI239" s="113">
        <v>0</v>
      </c>
      <c r="CJ239" s="113">
        <v>0</v>
      </c>
      <c r="CK239" s="113">
        <v>0</v>
      </c>
      <c r="CL239" s="113">
        <v>0</v>
      </c>
      <c r="CM239" s="113">
        <v>0</v>
      </c>
      <c r="CN239" s="113">
        <v>0</v>
      </c>
      <c r="CO239" s="113">
        <v>0</v>
      </c>
      <c r="CP239" s="113">
        <v>0</v>
      </c>
      <c r="CQ239" s="113">
        <v>0</v>
      </c>
      <c r="CR239" s="113">
        <v>0</v>
      </c>
      <c r="CS239" s="113">
        <v>0</v>
      </c>
      <c r="CT239" s="113">
        <v>0</v>
      </c>
      <c r="CU239" s="113">
        <v>0</v>
      </c>
      <c r="CV239" s="113">
        <v>0</v>
      </c>
      <c r="CW239" s="113">
        <v>0</v>
      </c>
      <c r="CX239" s="113">
        <v>0</v>
      </c>
      <c r="CY239" s="113">
        <v>0</v>
      </c>
      <c r="CZ239" s="113">
        <v>0</v>
      </c>
      <c r="DA239" s="113">
        <v>0</v>
      </c>
      <c r="DB239" s="113">
        <v>0</v>
      </c>
      <c r="DC239" s="113">
        <v>0</v>
      </c>
      <c r="DD239" s="113">
        <v>0</v>
      </c>
      <c r="DE239" s="113">
        <v>0</v>
      </c>
      <c r="DF239" s="113">
        <v>0</v>
      </c>
      <c r="DG239" s="113">
        <v>0</v>
      </c>
      <c r="DH239" s="113">
        <v>0</v>
      </c>
      <c r="DI239" s="113">
        <v>0</v>
      </c>
      <c r="DJ239" s="113">
        <v>0</v>
      </c>
      <c r="DK239" s="113">
        <v>0</v>
      </c>
      <c r="DL239" s="113">
        <v>0</v>
      </c>
      <c r="DM239" s="113">
        <v>0</v>
      </c>
      <c r="DN239" s="113">
        <v>0</v>
      </c>
      <c r="DO239" s="113">
        <v>0</v>
      </c>
      <c r="DP239" s="113">
        <v>0</v>
      </c>
      <c r="DQ239" s="113">
        <v>0</v>
      </c>
      <c r="DR239" s="113">
        <v>0</v>
      </c>
      <c r="DS239" s="113">
        <v>0</v>
      </c>
      <c r="DT239" s="113">
        <v>0</v>
      </c>
      <c r="DU239" s="113">
        <v>0</v>
      </c>
      <c r="DV239" s="113">
        <v>0</v>
      </c>
      <c r="DW239" s="113">
        <v>0</v>
      </c>
      <c r="DX239" s="113">
        <v>0</v>
      </c>
      <c r="DY239" s="113">
        <v>0</v>
      </c>
      <c r="DZ239" s="113">
        <v>0</v>
      </c>
      <c r="EA239" s="113">
        <v>0</v>
      </c>
      <c r="EB239" s="113">
        <v>0</v>
      </c>
      <c r="EC239" s="113">
        <v>0</v>
      </c>
      <c r="ED239" s="113">
        <v>0</v>
      </c>
      <c r="EE239" s="113">
        <v>0</v>
      </c>
      <c r="EF239" s="113">
        <v>0</v>
      </c>
      <c r="EG239" s="113">
        <v>0</v>
      </c>
      <c r="EH239" s="113">
        <v>0</v>
      </c>
      <c r="EI239" s="113">
        <v>0</v>
      </c>
      <c r="EJ239" s="113">
        <v>0</v>
      </c>
      <c r="EK239" s="113">
        <v>0</v>
      </c>
      <c r="EL239" s="113">
        <v>0</v>
      </c>
      <c r="EM239" s="113">
        <v>0</v>
      </c>
      <c r="EN239" s="113">
        <v>0</v>
      </c>
      <c r="EO239" s="113">
        <v>0</v>
      </c>
      <c r="EP239" s="113">
        <v>0</v>
      </c>
      <c r="EQ239" s="113">
        <v>0</v>
      </c>
      <c r="ER239" s="113">
        <v>0</v>
      </c>
      <c r="ES239" s="113">
        <v>0</v>
      </c>
      <c r="ET239" s="113">
        <v>0</v>
      </c>
      <c r="EU239" s="113">
        <v>0</v>
      </c>
      <c r="EV239" s="113">
        <v>0</v>
      </c>
      <c r="EW239" s="113">
        <v>0</v>
      </c>
      <c r="EX239" s="113">
        <v>0</v>
      </c>
      <c r="EY239" s="113">
        <v>0</v>
      </c>
      <c r="EZ239" s="113">
        <v>0</v>
      </c>
      <c r="FA239" s="113">
        <v>0</v>
      </c>
      <c r="FB239" s="113">
        <v>0</v>
      </c>
      <c r="FC239" s="113">
        <v>0</v>
      </c>
      <c r="FD239" s="113">
        <v>0</v>
      </c>
      <c r="FE239" s="113">
        <v>0</v>
      </c>
      <c r="FF239" s="113">
        <v>0</v>
      </c>
      <c r="FG239" s="113">
        <v>0</v>
      </c>
      <c r="FH239" s="113">
        <v>0</v>
      </c>
      <c r="FI239" s="113">
        <v>0</v>
      </c>
      <c r="FJ239" s="113">
        <v>0</v>
      </c>
      <c r="FK239" s="113">
        <v>0</v>
      </c>
      <c r="FL239" s="113">
        <v>0</v>
      </c>
      <c r="FM239" s="113">
        <v>0</v>
      </c>
      <c r="FN239" s="113">
        <v>0</v>
      </c>
      <c r="FO239" s="113">
        <v>0</v>
      </c>
      <c r="FP239" s="113">
        <v>0</v>
      </c>
      <c r="FQ239" s="113">
        <v>0</v>
      </c>
      <c r="FR239" s="113">
        <v>0</v>
      </c>
      <c r="FS239" s="113">
        <v>0</v>
      </c>
      <c r="FT239" s="113">
        <v>0</v>
      </c>
      <c r="FU239" s="113">
        <v>0</v>
      </c>
      <c r="FV239" s="113">
        <v>0</v>
      </c>
      <c r="FW239" s="113">
        <v>0</v>
      </c>
      <c r="FX239" s="32">
        <v>0</v>
      </c>
      <c r="FY239" s="30">
        <v>0</v>
      </c>
      <c r="FZ239" s="30">
        <v>0</v>
      </c>
    </row>
    <row r="240" spans="1:182" x14ac:dyDescent="0.2">
      <c r="A240" s="28">
        <v>38869</v>
      </c>
      <c r="B240" s="28"/>
      <c r="C240" s="29">
        <v>278625</v>
      </c>
      <c r="D240" s="29">
        <v>194758</v>
      </c>
      <c r="E240" s="29">
        <f t="shared" si="6"/>
        <v>473383</v>
      </c>
      <c r="F240" s="30">
        <v>2971322</v>
      </c>
      <c r="G240" s="30">
        <v>79024</v>
      </c>
      <c r="H240" s="30">
        <f t="shared" si="7"/>
        <v>3050346</v>
      </c>
      <c r="I240" s="42" t="s">
        <v>75</v>
      </c>
      <c r="J240" s="42" t="s">
        <v>75</v>
      </c>
      <c r="K240" s="32">
        <v>3796446</v>
      </c>
      <c r="L240" s="31" t="s">
        <v>75</v>
      </c>
      <c r="M240" s="31" t="s">
        <v>75</v>
      </c>
      <c r="N240" s="30">
        <v>12141320</v>
      </c>
      <c r="O240" s="31" t="s">
        <v>75</v>
      </c>
      <c r="P240" s="31" t="s">
        <v>75</v>
      </c>
      <c r="Q240" s="30">
        <v>11569672</v>
      </c>
      <c r="R240" s="31" t="s">
        <v>75</v>
      </c>
      <c r="S240" s="31" t="s">
        <v>75</v>
      </c>
      <c r="T240" s="32">
        <v>149685</v>
      </c>
      <c r="U240" s="31" t="s">
        <v>75</v>
      </c>
      <c r="V240" s="31" t="s">
        <v>75</v>
      </c>
      <c r="W240" s="30">
        <v>28122</v>
      </c>
      <c r="X240" s="31" t="s">
        <v>75</v>
      </c>
      <c r="Y240" s="31" t="s">
        <v>75</v>
      </c>
      <c r="Z240" s="30">
        <v>36120</v>
      </c>
      <c r="AA240" s="31" t="s">
        <v>75</v>
      </c>
      <c r="AB240" s="31" t="s">
        <v>75</v>
      </c>
      <c r="AC240" s="30">
        <v>122197</v>
      </c>
      <c r="AD240" s="31" t="s">
        <v>75</v>
      </c>
      <c r="AE240" s="31" t="s">
        <v>75</v>
      </c>
      <c r="AF240" s="30">
        <v>4561</v>
      </c>
      <c r="AG240" s="42" t="s">
        <v>75</v>
      </c>
      <c r="AH240" s="42" t="s">
        <v>75</v>
      </c>
      <c r="AI240" s="32">
        <v>28061</v>
      </c>
      <c r="AJ240" s="31" t="s">
        <v>75</v>
      </c>
      <c r="AK240" s="31" t="s">
        <v>75</v>
      </c>
      <c r="AL240" s="31" t="s">
        <v>75</v>
      </c>
      <c r="AM240" s="31"/>
      <c r="AN240" s="31"/>
      <c r="AO240" s="31"/>
      <c r="AP240" s="31"/>
      <c r="AQ240" s="31"/>
      <c r="AR240" s="31"/>
      <c r="AS240" s="31" t="s">
        <v>75</v>
      </c>
      <c r="AT240" s="31" t="s">
        <v>75</v>
      </c>
      <c r="AU240" s="31" t="s">
        <v>75</v>
      </c>
      <c r="AV240" s="31" t="s">
        <v>75</v>
      </c>
      <c r="AW240" s="31" t="s">
        <v>75</v>
      </c>
      <c r="AX240" s="31" t="s">
        <v>75</v>
      </c>
      <c r="AY240" s="31" t="s">
        <v>75</v>
      </c>
      <c r="AZ240" s="31" t="s">
        <v>75</v>
      </c>
      <c r="BA240" s="29">
        <v>10577160</v>
      </c>
      <c r="BB240" s="31" t="s">
        <v>75</v>
      </c>
      <c r="BC240" s="31" t="s">
        <v>75</v>
      </c>
      <c r="BD240" s="29">
        <v>1609906</v>
      </c>
      <c r="BE240" s="113">
        <v>0</v>
      </c>
      <c r="BF240" s="113">
        <v>0</v>
      </c>
      <c r="BG240" s="113">
        <v>0</v>
      </c>
      <c r="BH240" s="113">
        <v>0</v>
      </c>
      <c r="BI240" s="113">
        <v>0</v>
      </c>
      <c r="BJ240" s="113">
        <v>0</v>
      </c>
      <c r="BK240" s="113">
        <v>0</v>
      </c>
      <c r="BL240" s="113">
        <v>0</v>
      </c>
      <c r="BM240" s="113">
        <v>0</v>
      </c>
      <c r="BN240" s="113">
        <v>0</v>
      </c>
      <c r="BO240" s="113">
        <v>0</v>
      </c>
      <c r="BP240" s="113">
        <v>0</v>
      </c>
      <c r="BQ240" s="113">
        <v>0</v>
      </c>
      <c r="BR240" s="113">
        <v>0</v>
      </c>
      <c r="BS240" s="113">
        <v>0</v>
      </c>
      <c r="BT240" s="113">
        <v>0</v>
      </c>
      <c r="BU240" s="113">
        <v>0</v>
      </c>
      <c r="BV240" s="113">
        <v>0</v>
      </c>
      <c r="BW240" s="113"/>
      <c r="BX240" s="113"/>
      <c r="BY240" s="113"/>
      <c r="BZ240" s="113">
        <v>0</v>
      </c>
      <c r="CA240" s="113">
        <v>0</v>
      </c>
      <c r="CB240" s="113">
        <v>0</v>
      </c>
      <c r="CC240" s="113"/>
      <c r="CD240" s="113"/>
      <c r="CE240" s="113"/>
      <c r="CF240" s="113">
        <v>0</v>
      </c>
      <c r="CG240" s="113">
        <v>0</v>
      </c>
      <c r="CH240" s="113">
        <v>0</v>
      </c>
      <c r="CI240" s="113">
        <v>0</v>
      </c>
      <c r="CJ240" s="113">
        <v>0</v>
      </c>
      <c r="CK240" s="113">
        <v>0</v>
      </c>
      <c r="CL240" s="113">
        <v>0</v>
      </c>
      <c r="CM240" s="113">
        <v>0</v>
      </c>
      <c r="CN240" s="113">
        <v>0</v>
      </c>
      <c r="CO240" s="113">
        <v>0</v>
      </c>
      <c r="CP240" s="113">
        <v>0</v>
      </c>
      <c r="CQ240" s="113">
        <v>0</v>
      </c>
      <c r="CR240" s="113">
        <v>0</v>
      </c>
      <c r="CS240" s="113">
        <v>0</v>
      </c>
      <c r="CT240" s="113">
        <v>0</v>
      </c>
      <c r="CU240" s="113">
        <v>0</v>
      </c>
      <c r="CV240" s="113">
        <v>0</v>
      </c>
      <c r="CW240" s="113">
        <v>0</v>
      </c>
      <c r="CX240" s="113">
        <v>0</v>
      </c>
      <c r="CY240" s="113">
        <v>0</v>
      </c>
      <c r="CZ240" s="113">
        <v>0</v>
      </c>
      <c r="DA240" s="113">
        <v>0</v>
      </c>
      <c r="DB240" s="113">
        <v>0</v>
      </c>
      <c r="DC240" s="113">
        <v>0</v>
      </c>
      <c r="DD240" s="113">
        <v>0</v>
      </c>
      <c r="DE240" s="113">
        <v>0</v>
      </c>
      <c r="DF240" s="113">
        <v>0</v>
      </c>
      <c r="DG240" s="113">
        <v>0</v>
      </c>
      <c r="DH240" s="113">
        <v>0</v>
      </c>
      <c r="DI240" s="113">
        <v>0</v>
      </c>
      <c r="DJ240" s="113">
        <v>0</v>
      </c>
      <c r="DK240" s="113">
        <v>0</v>
      </c>
      <c r="DL240" s="113">
        <v>0</v>
      </c>
      <c r="DM240" s="113">
        <v>0</v>
      </c>
      <c r="DN240" s="113">
        <v>0</v>
      </c>
      <c r="DO240" s="113">
        <v>0</v>
      </c>
      <c r="DP240" s="113">
        <v>0</v>
      </c>
      <c r="DQ240" s="113">
        <v>0</v>
      </c>
      <c r="DR240" s="113">
        <v>0</v>
      </c>
      <c r="DS240" s="113">
        <v>0</v>
      </c>
      <c r="DT240" s="113">
        <v>0</v>
      </c>
      <c r="DU240" s="113">
        <v>0</v>
      </c>
      <c r="DV240" s="113">
        <v>0</v>
      </c>
      <c r="DW240" s="113">
        <v>0</v>
      </c>
      <c r="DX240" s="113">
        <v>0</v>
      </c>
      <c r="DY240" s="113">
        <v>0</v>
      </c>
      <c r="DZ240" s="113">
        <v>0</v>
      </c>
      <c r="EA240" s="113">
        <v>0</v>
      </c>
      <c r="EB240" s="113">
        <v>0</v>
      </c>
      <c r="EC240" s="113">
        <v>0</v>
      </c>
      <c r="ED240" s="113">
        <v>0</v>
      </c>
      <c r="EE240" s="113">
        <v>0</v>
      </c>
      <c r="EF240" s="113">
        <v>0</v>
      </c>
      <c r="EG240" s="113">
        <v>0</v>
      </c>
      <c r="EH240" s="113">
        <v>0</v>
      </c>
      <c r="EI240" s="113">
        <v>0</v>
      </c>
      <c r="EJ240" s="113">
        <v>0</v>
      </c>
      <c r="EK240" s="113">
        <v>0</v>
      </c>
      <c r="EL240" s="113">
        <v>0</v>
      </c>
      <c r="EM240" s="113">
        <v>0</v>
      </c>
      <c r="EN240" s="113">
        <v>0</v>
      </c>
      <c r="EO240" s="113">
        <v>0</v>
      </c>
      <c r="EP240" s="113">
        <v>0</v>
      </c>
      <c r="EQ240" s="113">
        <v>0</v>
      </c>
      <c r="ER240" s="113">
        <v>0</v>
      </c>
      <c r="ES240" s="113">
        <v>0</v>
      </c>
      <c r="ET240" s="113">
        <v>0</v>
      </c>
      <c r="EU240" s="113">
        <v>0</v>
      </c>
      <c r="EV240" s="113">
        <v>0</v>
      </c>
      <c r="EW240" s="113">
        <v>0</v>
      </c>
      <c r="EX240" s="113">
        <v>0</v>
      </c>
      <c r="EY240" s="113">
        <v>0</v>
      </c>
      <c r="EZ240" s="113">
        <v>0</v>
      </c>
      <c r="FA240" s="113">
        <v>0</v>
      </c>
      <c r="FB240" s="113">
        <v>0</v>
      </c>
      <c r="FC240" s="113">
        <v>0</v>
      </c>
      <c r="FD240" s="113">
        <v>0</v>
      </c>
      <c r="FE240" s="113">
        <v>0</v>
      </c>
      <c r="FF240" s="113">
        <v>0</v>
      </c>
      <c r="FG240" s="113">
        <v>0</v>
      </c>
      <c r="FH240" s="113">
        <v>0</v>
      </c>
      <c r="FI240" s="113">
        <v>0</v>
      </c>
      <c r="FJ240" s="113">
        <v>0</v>
      </c>
      <c r="FK240" s="113">
        <v>0</v>
      </c>
      <c r="FL240" s="113">
        <v>0</v>
      </c>
      <c r="FM240" s="113">
        <v>0</v>
      </c>
      <c r="FN240" s="113">
        <v>0</v>
      </c>
      <c r="FO240" s="113">
        <v>0</v>
      </c>
      <c r="FP240" s="113">
        <v>0</v>
      </c>
      <c r="FQ240" s="113">
        <v>0</v>
      </c>
      <c r="FR240" s="113">
        <v>0</v>
      </c>
      <c r="FS240" s="113">
        <v>0</v>
      </c>
      <c r="FT240" s="113">
        <v>0</v>
      </c>
      <c r="FU240" s="113">
        <v>0</v>
      </c>
      <c r="FV240" s="113">
        <v>0</v>
      </c>
      <c r="FW240" s="113">
        <v>0</v>
      </c>
      <c r="FX240" s="32">
        <v>0</v>
      </c>
      <c r="FY240" s="30">
        <v>0</v>
      </c>
      <c r="FZ240" s="30">
        <v>0</v>
      </c>
    </row>
    <row r="241" spans="1:182" x14ac:dyDescent="0.2">
      <c r="A241" s="28">
        <v>38899</v>
      </c>
      <c r="B241" s="28"/>
      <c r="C241" s="29">
        <v>238515</v>
      </c>
      <c r="D241" s="29">
        <v>203509</v>
      </c>
      <c r="E241" s="29">
        <f t="shared" si="6"/>
        <v>442024</v>
      </c>
      <c r="F241" s="30">
        <v>3700326</v>
      </c>
      <c r="G241" s="30">
        <v>118333</v>
      </c>
      <c r="H241" s="30">
        <f t="shared" si="7"/>
        <v>3818659</v>
      </c>
      <c r="I241" s="42" t="s">
        <v>75</v>
      </c>
      <c r="J241" s="42" t="s">
        <v>75</v>
      </c>
      <c r="K241" s="32">
        <v>4597050</v>
      </c>
      <c r="L241" s="31" t="s">
        <v>75</v>
      </c>
      <c r="M241" s="31" t="s">
        <v>75</v>
      </c>
      <c r="N241" s="30">
        <v>13015632</v>
      </c>
      <c r="O241" s="31" t="s">
        <v>75</v>
      </c>
      <c r="P241" s="31" t="s">
        <v>75</v>
      </c>
      <c r="Q241" s="30">
        <v>11999962</v>
      </c>
      <c r="R241" s="31" t="s">
        <v>75</v>
      </c>
      <c r="S241" s="31" t="s">
        <v>75</v>
      </c>
      <c r="T241" s="32">
        <v>143302</v>
      </c>
      <c r="U241" s="31" t="s">
        <v>75</v>
      </c>
      <c r="V241" s="31" t="s">
        <v>75</v>
      </c>
      <c r="W241" s="30">
        <v>31451</v>
      </c>
      <c r="X241" s="31" t="s">
        <v>75</v>
      </c>
      <c r="Y241" s="31" t="s">
        <v>75</v>
      </c>
      <c r="Z241" s="30">
        <v>53173</v>
      </c>
      <c r="AA241" s="31" t="s">
        <v>75</v>
      </c>
      <c r="AB241" s="31" t="s">
        <v>75</v>
      </c>
      <c r="AC241" s="30">
        <v>118117</v>
      </c>
      <c r="AD241" s="31" t="s">
        <v>75</v>
      </c>
      <c r="AE241" s="31" t="s">
        <v>75</v>
      </c>
      <c r="AF241" s="30">
        <v>3975</v>
      </c>
      <c r="AG241" s="42" t="s">
        <v>75</v>
      </c>
      <c r="AH241" s="42" t="s">
        <v>75</v>
      </c>
      <c r="AI241" s="32">
        <v>37959</v>
      </c>
      <c r="AJ241" s="31" t="s">
        <v>75</v>
      </c>
      <c r="AK241" s="31" t="s">
        <v>75</v>
      </c>
      <c r="AL241" s="31" t="s">
        <v>75</v>
      </c>
      <c r="AM241" s="31"/>
      <c r="AN241" s="31"/>
      <c r="AO241" s="31"/>
      <c r="AP241" s="31"/>
      <c r="AQ241" s="31"/>
      <c r="AR241" s="31"/>
      <c r="AS241" s="31" t="s">
        <v>75</v>
      </c>
      <c r="AT241" s="31" t="s">
        <v>75</v>
      </c>
      <c r="AU241" s="31" t="s">
        <v>75</v>
      </c>
      <c r="AV241" s="31" t="s">
        <v>75</v>
      </c>
      <c r="AW241" s="31" t="s">
        <v>75</v>
      </c>
      <c r="AX241" s="31" t="s">
        <v>75</v>
      </c>
      <c r="AY241" s="31" t="s">
        <v>75</v>
      </c>
      <c r="AZ241" s="31" t="s">
        <v>75</v>
      </c>
      <c r="BA241" s="29">
        <v>10603653</v>
      </c>
      <c r="BB241" s="31" t="s">
        <v>75</v>
      </c>
      <c r="BC241" s="31" t="s">
        <v>75</v>
      </c>
      <c r="BD241" s="29">
        <v>1450379</v>
      </c>
      <c r="BE241" s="113">
        <v>0</v>
      </c>
      <c r="BF241" s="113">
        <v>0</v>
      </c>
      <c r="BG241" s="113">
        <v>0</v>
      </c>
      <c r="BH241" s="113">
        <v>0</v>
      </c>
      <c r="BI241" s="113">
        <v>0</v>
      </c>
      <c r="BJ241" s="113">
        <v>0</v>
      </c>
      <c r="BK241" s="113">
        <v>0</v>
      </c>
      <c r="BL241" s="113">
        <v>0</v>
      </c>
      <c r="BM241" s="113">
        <v>0</v>
      </c>
      <c r="BN241" s="113">
        <v>0</v>
      </c>
      <c r="BO241" s="113">
        <v>0</v>
      </c>
      <c r="BP241" s="113">
        <v>0</v>
      </c>
      <c r="BQ241" s="113">
        <v>0</v>
      </c>
      <c r="BR241" s="113">
        <v>0</v>
      </c>
      <c r="BS241" s="113">
        <v>0</v>
      </c>
      <c r="BT241" s="113">
        <v>0</v>
      </c>
      <c r="BU241" s="113">
        <v>0</v>
      </c>
      <c r="BV241" s="113">
        <v>0</v>
      </c>
      <c r="BW241" s="113"/>
      <c r="BX241" s="113"/>
      <c r="BY241" s="113"/>
      <c r="BZ241" s="113">
        <v>0</v>
      </c>
      <c r="CA241" s="113">
        <v>0</v>
      </c>
      <c r="CB241" s="113">
        <v>0</v>
      </c>
      <c r="CC241" s="113"/>
      <c r="CD241" s="113"/>
      <c r="CE241" s="113"/>
      <c r="CF241" s="113">
        <v>0</v>
      </c>
      <c r="CG241" s="113">
        <v>0</v>
      </c>
      <c r="CH241" s="113">
        <v>0</v>
      </c>
      <c r="CI241" s="113">
        <v>0</v>
      </c>
      <c r="CJ241" s="113">
        <v>0</v>
      </c>
      <c r="CK241" s="113">
        <v>0</v>
      </c>
      <c r="CL241" s="113">
        <v>0</v>
      </c>
      <c r="CM241" s="113">
        <v>0</v>
      </c>
      <c r="CN241" s="113">
        <v>0</v>
      </c>
      <c r="CO241" s="113">
        <v>0</v>
      </c>
      <c r="CP241" s="113">
        <v>0</v>
      </c>
      <c r="CQ241" s="113">
        <v>0</v>
      </c>
      <c r="CR241" s="113">
        <v>0</v>
      </c>
      <c r="CS241" s="113">
        <v>0</v>
      </c>
      <c r="CT241" s="113">
        <v>0</v>
      </c>
      <c r="CU241" s="113">
        <v>0</v>
      </c>
      <c r="CV241" s="113">
        <v>0</v>
      </c>
      <c r="CW241" s="113">
        <v>0</v>
      </c>
      <c r="CX241" s="113">
        <v>0</v>
      </c>
      <c r="CY241" s="113">
        <v>0</v>
      </c>
      <c r="CZ241" s="113">
        <v>0</v>
      </c>
      <c r="DA241" s="113">
        <v>0</v>
      </c>
      <c r="DB241" s="113">
        <v>0</v>
      </c>
      <c r="DC241" s="113">
        <v>0</v>
      </c>
      <c r="DD241" s="113">
        <v>0</v>
      </c>
      <c r="DE241" s="113">
        <v>0</v>
      </c>
      <c r="DF241" s="113">
        <v>0</v>
      </c>
      <c r="DG241" s="113">
        <v>0</v>
      </c>
      <c r="DH241" s="113">
        <v>0</v>
      </c>
      <c r="DI241" s="113">
        <v>0</v>
      </c>
      <c r="DJ241" s="113">
        <v>0</v>
      </c>
      <c r="DK241" s="113">
        <v>0</v>
      </c>
      <c r="DL241" s="113">
        <v>0</v>
      </c>
      <c r="DM241" s="113">
        <v>0</v>
      </c>
      <c r="DN241" s="113">
        <v>0</v>
      </c>
      <c r="DO241" s="113">
        <v>0</v>
      </c>
      <c r="DP241" s="113">
        <v>0</v>
      </c>
      <c r="DQ241" s="113">
        <v>0</v>
      </c>
      <c r="DR241" s="113">
        <v>0</v>
      </c>
      <c r="DS241" s="113">
        <v>0</v>
      </c>
      <c r="DT241" s="113">
        <v>0</v>
      </c>
      <c r="DU241" s="113">
        <v>0</v>
      </c>
      <c r="DV241" s="113">
        <v>0</v>
      </c>
      <c r="DW241" s="113">
        <v>0</v>
      </c>
      <c r="DX241" s="113">
        <v>0</v>
      </c>
      <c r="DY241" s="113">
        <v>0</v>
      </c>
      <c r="DZ241" s="113">
        <v>0</v>
      </c>
      <c r="EA241" s="113">
        <v>0</v>
      </c>
      <c r="EB241" s="113">
        <v>0</v>
      </c>
      <c r="EC241" s="113">
        <v>0</v>
      </c>
      <c r="ED241" s="113">
        <v>0</v>
      </c>
      <c r="EE241" s="113">
        <v>0</v>
      </c>
      <c r="EF241" s="113">
        <v>0</v>
      </c>
      <c r="EG241" s="113">
        <v>0</v>
      </c>
      <c r="EH241" s="113">
        <v>0</v>
      </c>
      <c r="EI241" s="113">
        <v>0</v>
      </c>
      <c r="EJ241" s="113">
        <v>0</v>
      </c>
      <c r="EK241" s="113">
        <v>0</v>
      </c>
      <c r="EL241" s="113">
        <v>0</v>
      </c>
      <c r="EM241" s="113">
        <v>0</v>
      </c>
      <c r="EN241" s="113">
        <v>0</v>
      </c>
      <c r="EO241" s="113">
        <v>0</v>
      </c>
      <c r="EP241" s="113">
        <v>0</v>
      </c>
      <c r="EQ241" s="113">
        <v>0</v>
      </c>
      <c r="ER241" s="113">
        <v>0</v>
      </c>
      <c r="ES241" s="113">
        <v>0</v>
      </c>
      <c r="ET241" s="113">
        <v>0</v>
      </c>
      <c r="EU241" s="113">
        <v>0</v>
      </c>
      <c r="EV241" s="113">
        <v>0</v>
      </c>
      <c r="EW241" s="113">
        <v>0</v>
      </c>
      <c r="EX241" s="113">
        <v>0</v>
      </c>
      <c r="EY241" s="113">
        <v>0</v>
      </c>
      <c r="EZ241" s="113">
        <v>0</v>
      </c>
      <c r="FA241" s="113">
        <v>0</v>
      </c>
      <c r="FB241" s="113">
        <v>0</v>
      </c>
      <c r="FC241" s="113">
        <v>0</v>
      </c>
      <c r="FD241" s="113">
        <v>0</v>
      </c>
      <c r="FE241" s="113">
        <v>0</v>
      </c>
      <c r="FF241" s="113">
        <v>0</v>
      </c>
      <c r="FG241" s="113">
        <v>0</v>
      </c>
      <c r="FH241" s="113">
        <v>0</v>
      </c>
      <c r="FI241" s="113">
        <v>0</v>
      </c>
      <c r="FJ241" s="113">
        <v>0</v>
      </c>
      <c r="FK241" s="113">
        <v>0</v>
      </c>
      <c r="FL241" s="113">
        <v>0</v>
      </c>
      <c r="FM241" s="113">
        <v>0</v>
      </c>
      <c r="FN241" s="113">
        <v>0</v>
      </c>
      <c r="FO241" s="113">
        <v>0</v>
      </c>
      <c r="FP241" s="113">
        <v>0</v>
      </c>
      <c r="FQ241" s="113">
        <v>0</v>
      </c>
      <c r="FR241" s="113">
        <v>0</v>
      </c>
      <c r="FS241" s="113">
        <v>0</v>
      </c>
      <c r="FT241" s="113">
        <v>0</v>
      </c>
      <c r="FU241" s="113">
        <v>0</v>
      </c>
      <c r="FV241" s="113">
        <v>0</v>
      </c>
      <c r="FW241" s="113">
        <v>0</v>
      </c>
      <c r="FX241" s="32">
        <v>0</v>
      </c>
      <c r="FY241" s="30">
        <v>0</v>
      </c>
      <c r="FZ241" s="30">
        <v>0</v>
      </c>
    </row>
    <row r="242" spans="1:182" x14ac:dyDescent="0.2">
      <c r="A242" s="28">
        <v>38930</v>
      </c>
      <c r="B242" s="28"/>
      <c r="C242" s="29">
        <v>264360</v>
      </c>
      <c r="D242" s="29">
        <v>208851</v>
      </c>
      <c r="E242" s="29">
        <f t="shared" si="6"/>
        <v>473211</v>
      </c>
      <c r="F242" s="30">
        <v>4228252</v>
      </c>
      <c r="G242" s="30">
        <v>82013</v>
      </c>
      <c r="H242" s="30">
        <f t="shared" si="7"/>
        <v>4310265</v>
      </c>
      <c r="I242" s="42" t="s">
        <v>75</v>
      </c>
      <c r="J242" s="42" t="s">
        <v>75</v>
      </c>
      <c r="K242" s="32">
        <v>5101912</v>
      </c>
      <c r="L242" s="31" t="s">
        <v>75</v>
      </c>
      <c r="M242" s="31" t="s">
        <v>75</v>
      </c>
      <c r="N242" s="30">
        <v>12953951</v>
      </c>
      <c r="O242" s="31" t="s">
        <v>75</v>
      </c>
      <c r="P242" s="31" t="s">
        <v>75</v>
      </c>
      <c r="Q242" s="30">
        <v>13730811</v>
      </c>
      <c r="R242" s="31" t="s">
        <v>75</v>
      </c>
      <c r="S242" s="31" t="s">
        <v>75</v>
      </c>
      <c r="T242" s="32">
        <v>137396</v>
      </c>
      <c r="U242" s="31" t="s">
        <v>75</v>
      </c>
      <c r="V242" s="31" t="s">
        <v>75</v>
      </c>
      <c r="W242" s="30">
        <v>29265</v>
      </c>
      <c r="X242" s="31" t="s">
        <v>75</v>
      </c>
      <c r="Y242" s="31" t="s">
        <v>75</v>
      </c>
      <c r="Z242" s="30">
        <v>33305</v>
      </c>
      <c r="AA242" s="31" t="s">
        <v>75</v>
      </c>
      <c r="AB242" s="31" t="s">
        <v>75</v>
      </c>
      <c r="AC242" s="30">
        <v>115450</v>
      </c>
      <c r="AD242" s="31" t="s">
        <v>75</v>
      </c>
      <c r="AE242" s="31" t="s">
        <v>75</v>
      </c>
      <c r="AF242" s="30">
        <v>16519</v>
      </c>
      <c r="AG242" s="42" t="s">
        <v>75</v>
      </c>
      <c r="AH242" s="42" t="s">
        <v>75</v>
      </c>
      <c r="AI242" s="32">
        <v>34339</v>
      </c>
      <c r="AJ242" s="31" t="s">
        <v>75</v>
      </c>
      <c r="AK242" s="31" t="s">
        <v>75</v>
      </c>
      <c r="AL242" s="31" t="s">
        <v>75</v>
      </c>
      <c r="AM242" s="31"/>
      <c r="AN242" s="31"/>
      <c r="AO242" s="31"/>
      <c r="AP242" s="31"/>
      <c r="AQ242" s="31"/>
      <c r="AR242" s="31"/>
      <c r="AS242" s="31" t="s">
        <v>75</v>
      </c>
      <c r="AT242" s="31" t="s">
        <v>75</v>
      </c>
      <c r="AU242" s="31" t="s">
        <v>75</v>
      </c>
      <c r="AV242" s="31" t="s">
        <v>75</v>
      </c>
      <c r="AW242" s="31" t="s">
        <v>75</v>
      </c>
      <c r="AX242" s="31" t="s">
        <v>75</v>
      </c>
      <c r="AY242" s="31" t="s">
        <v>75</v>
      </c>
      <c r="AZ242" s="31" t="s">
        <v>75</v>
      </c>
      <c r="BA242" s="29">
        <v>11255864</v>
      </c>
      <c r="BB242" s="31" t="s">
        <v>75</v>
      </c>
      <c r="BC242" s="31" t="s">
        <v>75</v>
      </c>
      <c r="BD242" s="29">
        <v>1722580</v>
      </c>
      <c r="BE242" s="113">
        <v>0</v>
      </c>
      <c r="BF242" s="113">
        <v>0</v>
      </c>
      <c r="BG242" s="113">
        <v>0</v>
      </c>
      <c r="BH242" s="113">
        <v>0</v>
      </c>
      <c r="BI242" s="113">
        <v>0</v>
      </c>
      <c r="BJ242" s="113">
        <v>0</v>
      </c>
      <c r="BK242" s="113">
        <v>0</v>
      </c>
      <c r="BL242" s="113">
        <v>0</v>
      </c>
      <c r="BM242" s="113">
        <v>0</v>
      </c>
      <c r="BN242" s="113">
        <v>0</v>
      </c>
      <c r="BO242" s="113">
        <v>0</v>
      </c>
      <c r="BP242" s="113">
        <v>0</v>
      </c>
      <c r="BQ242" s="113">
        <v>0</v>
      </c>
      <c r="BR242" s="113">
        <v>0</v>
      </c>
      <c r="BS242" s="113">
        <v>0</v>
      </c>
      <c r="BT242" s="113">
        <v>0</v>
      </c>
      <c r="BU242" s="113">
        <v>0</v>
      </c>
      <c r="BV242" s="113">
        <v>0</v>
      </c>
      <c r="BW242" s="113"/>
      <c r="BX242" s="113"/>
      <c r="BY242" s="113"/>
      <c r="BZ242" s="113">
        <v>0</v>
      </c>
      <c r="CA242" s="113">
        <v>0</v>
      </c>
      <c r="CB242" s="113">
        <v>0</v>
      </c>
      <c r="CC242" s="113"/>
      <c r="CD242" s="113"/>
      <c r="CE242" s="113"/>
      <c r="CF242" s="113">
        <v>0</v>
      </c>
      <c r="CG242" s="113">
        <v>0</v>
      </c>
      <c r="CH242" s="113">
        <v>0</v>
      </c>
      <c r="CI242" s="113">
        <v>0</v>
      </c>
      <c r="CJ242" s="113">
        <v>0</v>
      </c>
      <c r="CK242" s="113">
        <v>0</v>
      </c>
      <c r="CL242" s="113">
        <v>0</v>
      </c>
      <c r="CM242" s="113">
        <v>0</v>
      </c>
      <c r="CN242" s="113">
        <v>0</v>
      </c>
      <c r="CO242" s="113">
        <v>0</v>
      </c>
      <c r="CP242" s="113">
        <v>0</v>
      </c>
      <c r="CQ242" s="113">
        <v>0</v>
      </c>
      <c r="CR242" s="113">
        <v>0</v>
      </c>
      <c r="CS242" s="113">
        <v>0</v>
      </c>
      <c r="CT242" s="113">
        <v>0</v>
      </c>
      <c r="CU242" s="113">
        <v>0</v>
      </c>
      <c r="CV242" s="113">
        <v>0</v>
      </c>
      <c r="CW242" s="113">
        <v>0</v>
      </c>
      <c r="CX242" s="113">
        <v>0</v>
      </c>
      <c r="CY242" s="113">
        <v>0</v>
      </c>
      <c r="CZ242" s="113">
        <v>0</v>
      </c>
      <c r="DA242" s="113">
        <v>0</v>
      </c>
      <c r="DB242" s="113">
        <v>0</v>
      </c>
      <c r="DC242" s="113">
        <v>0</v>
      </c>
      <c r="DD242" s="113">
        <v>0</v>
      </c>
      <c r="DE242" s="113">
        <v>0</v>
      </c>
      <c r="DF242" s="113">
        <v>0</v>
      </c>
      <c r="DG242" s="113">
        <v>0</v>
      </c>
      <c r="DH242" s="113">
        <v>0</v>
      </c>
      <c r="DI242" s="113">
        <v>0</v>
      </c>
      <c r="DJ242" s="113">
        <v>0</v>
      </c>
      <c r="DK242" s="113">
        <v>0</v>
      </c>
      <c r="DL242" s="113">
        <v>0</v>
      </c>
      <c r="DM242" s="113">
        <v>0</v>
      </c>
      <c r="DN242" s="113">
        <v>0</v>
      </c>
      <c r="DO242" s="113">
        <v>0</v>
      </c>
      <c r="DP242" s="113">
        <v>0</v>
      </c>
      <c r="DQ242" s="113">
        <v>0</v>
      </c>
      <c r="DR242" s="113">
        <v>0</v>
      </c>
      <c r="DS242" s="113">
        <v>0</v>
      </c>
      <c r="DT242" s="113">
        <v>0</v>
      </c>
      <c r="DU242" s="113">
        <v>0</v>
      </c>
      <c r="DV242" s="113">
        <v>0</v>
      </c>
      <c r="DW242" s="113">
        <v>0</v>
      </c>
      <c r="DX242" s="113">
        <v>0</v>
      </c>
      <c r="DY242" s="113">
        <v>0</v>
      </c>
      <c r="DZ242" s="113">
        <v>0</v>
      </c>
      <c r="EA242" s="113">
        <v>0</v>
      </c>
      <c r="EB242" s="113">
        <v>0</v>
      </c>
      <c r="EC242" s="113">
        <v>0</v>
      </c>
      <c r="ED242" s="113">
        <v>0</v>
      </c>
      <c r="EE242" s="113">
        <v>0</v>
      </c>
      <c r="EF242" s="113">
        <v>0</v>
      </c>
      <c r="EG242" s="113">
        <v>0</v>
      </c>
      <c r="EH242" s="113">
        <v>0</v>
      </c>
      <c r="EI242" s="113">
        <v>0</v>
      </c>
      <c r="EJ242" s="113">
        <v>0</v>
      </c>
      <c r="EK242" s="113">
        <v>0</v>
      </c>
      <c r="EL242" s="113">
        <v>0</v>
      </c>
      <c r="EM242" s="113">
        <v>0</v>
      </c>
      <c r="EN242" s="113">
        <v>0</v>
      </c>
      <c r="EO242" s="113">
        <v>0</v>
      </c>
      <c r="EP242" s="113">
        <v>0</v>
      </c>
      <c r="EQ242" s="113">
        <v>0</v>
      </c>
      <c r="ER242" s="113">
        <v>0</v>
      </c>
      <c r="ES242" s="113">
        <v>0</v>
      </c>
      <c r="ET242" s="113">
        <v>0</v>
      </c>
      <c r="EU242" s="113">
        <v>0</v>
      </c>
      <c r="EV242" s="113">
        <v>0</v>
      </c>
      <c r="EW242" s="113">
        <v>0</v>
      </c>
      <c r="EX242" s="113">
        <v>0</v>
      </c>
      <c r="EY242" s="113">
        <v>0</v>
      </c>
      <c r="EZ242" s="113">
        <v>0</v>
      </c>
      <c r="FA242" s="113">
        <v>0</v>
      </c>
      <c r="FB242" s="113">
        <v>0</v>
      </c>
      <c r="FC242" s="113">
        <v>0</v>
      </c>
      <c r="FD242" s="113">
        <v>0</v>
      </c>
      <c r="FE242" s="113">
        <v>0</v>
      </c>
      <c r="FF242" s="113">
        <v>0</v>
      </c>
      <c r="FG242" s="113">
        <v>0</v>
      </c>
      <c r="FH242" s="113">
        <v>0</v>
      </c>
      <c r="FI242" s="113">
        <v>0</v>
      </c>
      <c r="FJ242" s="113">
        <v>0</v>
      </c>
      <c r="FK242" s="113">
        <v>0</v>
      </c>
      <c r="FL242" s="113">
        <v>0</v>
      </c>
      <c r="FM242" s="113">
        <v>0</v>
      </c>
      <c r="FN242" s="113">
        <v>0</v>
      </c>
      <c r="FO242" s="113">
        <v>0</v>
      </c>
      <c r="FP242" s="113">
        <v>0</v>
      </c>
      <c r="FQ242" s="113">
        <v>0</v>
      </c>
      <c r="FR242" s="113">
        <v>0</v>
      </c>
      <c r="FS242" s="113">
        <v>0</v>
      </c>
      <c r="FT242" s="113">
        <v>0</v>
      </c>
      <c r="FU242" s="113">
        <v>0</v>
      </c>
      <c r="FV242" s="113">
        <v>0</v>
      </c>
      <c r="FW242" s="113">
        <v>0</v>
      </c>
      <c r="FX242" s="32">
        <v>0</v>
      </c>
      <c r="FY242" s="30">
        <v>0</v>
      </c>
      <c r="FZ242" s="30">
        <v>0</v>
      </c>
    </row>
    <row r="243" spans="1:182" x14ac:dyDescent="0.2">
      <c r="A243" s="28">
        <v>38961</v>
      </c>
      <c r="B243" s="28"/>
      <c r="C243" s="29">
        <v>205085</v>
      </c>
      <c r="D243" s="29">
        <v>183160</v>
      </c>
      <c r="E243" s="29">
        <f t="shared" si="6"/>
        <v>388245</v>
      </c>
      <c r="F243" s="30">
        <v>4247722</v>
      </c>
      <c r="G243" s="30">
        <v>108009</v>
      </c>
      <c r="H243" s="30">
        <f t="shared" si="7"/>
        <v>4355731</v>
      </c>
      <c r="I243" s="42" t="s">
        <v>75</v>
      </c>
      <c r="J243" s="42" t="s">
        <v>75</v>
      </c>
      <c r="K243" s="32">
        <v>4923427</v>
      </c>
      <c r="L243" s="31" t="s">
        <v>75</v>
      </c>
      <c r="M243" s="31" t="s">
        <v>75</v>
      </c>
      <c r="N243" s="30">
        <v>13303717</v>
      </c>
      <c r="O243" s="31" t="s">
        <v>75</v>
      </c>
      <c r="P243" s="31" t="s">
        <v>75</v>
      </c>
      <c r="Q243" s="30">
        <v>15168577</v>
      </c>
      <c r="R243" s="31" t="s">
        <v>75</v>
      </c>
      <c r="S243" s="31" t="s">
        <v>75</v>
      </c>
      <c r="T243" s="32">
        <v>92079</v>
      </c>
      <c r="U243" s="31" t="s">
        <v>75</v>
      </c>
      <c r="V243" s="31" t="s">
        <v>75</v>
      </c>
      <c r="W243" s="30">
        <v>38645</v>
      </c>
      <c r="X243" s="31" t="s">
        <v>75</v>
      </c>
      <c r="Y243" s="31" t="s">
        <v>75</v>
      </c>
      <c r="Z243" s="30">
        <v>26372</v>
      </c>
      <c r="AA243" s="31" t="s">
        <v>75</v>
      </c>
      <c r="AB243" s="31" t="s">
        <v>75</v>
      </c>
      <c r="AC243" s="30">
        <v>95011</v>
      </c>
      <c r="AD243" s="31" t="s">
        <v>75</v>
      </c>
      <c r="AE243" s="31" t="s">
        <v>75</v>
      </c>
      <c r="AF243" s="30">
        <v>10448</v>
      </c>
      <c r="AG243" s="42" t="s">
        <v>75</v>
      </c>
      <c r="AH243" s="42" t="s">
        <v>75</v>
      </c>
      <c r="AI243" s="32">
        <v>29823</v>
      </c>
      <c r="AJ243" s="31" t="s">
        <v>75</v>
      </c>
      <c r="AK243" s="31" t="s">
        <v>75</v>
      </c>
      <c r="AL243" s="31" t="s">
        <v>75</v>
      </c>
      <c r="AM243" s="31"/>
      <c r="AN243" s="31"/>
      <c r="AO243" s="31"/>
      <c r="AP243" s="31"/>
      <c r="AQ243" s="31"/>
      <c r="AR243" s="31"/>
      <c r="AS243" s="31" t="s">
        <v>75</v>
      </c>
      <c r="AT243" s="31" t="s">
        <v>75</v>
      </c>
      <c r="AU243" s="31" t="s">
        <v>75</v>
      </c>
      <c r="AV243" s="31" t="s">
        <v>75</v>
      </c>
      <c r="AW243" s="31" t="s">
        <v>75</v>
      </c>
      <c r="AX243" s="31" t="s">
        <v>75</v>
      </c>
      <c r="AY243" s="31" t="s">
        <v>75</v>
      </c>
      <c r="AZ243" s="31" t="s">
        <v>75</v>
      </c>
      <c r="BA243" s="29">
        <v>10961103</v>
      </c>
      <c r="BB243" s="31" t="s">
        <v>75</v>
      </c>
      <c r="BC243" s="31" t="s">
        <v>75</v>
      </c>
      <c r="BD243" s="29">
        <v>1394276</v>
      </c>
      <c r="BE243" s="113">
        <v>0</v>
      </c>
      <c r="BF243" s="113">
        <v>0</v>
      </c>
      <c r="BG243" s="113">
        <v>0</v>
      </c>
      <c r="BH243" s="113">
        <v>0</v>
      </c>
      <c r="BI243" s="113">
        <v>0</v>
      </c>
      <c r="BJ243" s="113">
        <v>0</v>
      </c>
      <c r="BK243" s="113">
        <v>0</v>
      </c>
      <c r="BL243" s="113">
        <v>0</v>
      </c>
      <c r="BM243" s="113">
        <v>0</v>
      </c>
      <c r="BN243" s="113">
        <v>0</v>
      </c>
      <c r="BO243" s="113">
        <v>0</v>
      </c>
      <c r="BP243" s="113">
        <v>0</v>
      </c>
      <c r="BQ243" s="113">
        <v>0</v>
      </c>
      <c r="BR243" s="113">
        <v>0</v>
      </c>
      <c r="BS243" s="113">
        <v>0</v>
      </c>
      <c r="BT243" s="113">
        <v>0</v>
      </c>
      <c r="BU243" s="113">
        <v>0</v>
      </c>
      <c r="BV243" s="113">
        <v>0</v>
      </c>
      <c r="BW243" s="113"/>
      <c r="BX243" s="113"/>
      <c r="BY243" s="113"/>
      <c r="BZ243" s="113">
        <v>0</v>
      </c>
      <c r="CA243" s="113">
        <v>0</v>
      </c>
      <c r="CB243" s="113">
        <v>0</v>
      </c>
      <c r="CC243" s="113"/>
      <c r="CD243" s="113"/>
      <c r="CE243" s="113"/>
      <c r="CF243" s="113">
        <v>0</v>
      </c>
      <c r="CG243" s="113">
        <v>0</v>
      </c>
      <c r="CH243" s="113">
        <v>0</v>
      </c>
      <c r="CI243" s="113">
        <v>0</v>
      </c>
      <c r="CJ243" s="113">
        <v>0</v>
      </c>
      <c r="CK243" s="113">
        <v>0</v>
      </c>
      <c r="CL243" s="113">
        <v>0</v>
      </c>
      <c r="CM243" s="113">
        <v>0</v>
      </c>
      <c r="CN243" s="113">
        <v>0</v>
      </c>
      <c r="CO243" s="113">
        <v>0</v>
      </c>
      <c r="CP243" s="113">
        <v>0</v>
      </c>
      <c r="CQ243" s="113">
        <v>0</v>
      </c>
      <c r="CR243" s="113">
        <v>0</v>
      </c>
      <c r="CS243" s="113">
        <v>0</v>
      </c>
      <c r="CT243" s="113">
        <v>0</v>
      </c>
      <c r="CU243" s="113">
        <v>0</v>
      </c>
      <c r="CV243" s="113">
        <v>0</v>
      </c>
      <c r="CW243" s="113">
        <v>0</v>
      </c>
      <c r="CX243" s="113">
        <v>0</v>
      </c>
      <c r="CY243" s="113">
        <v>0</v>
      </c>
      <c r="CZ243" s="113">
        <v>0</v>
      </c>
      <c r="DA243" s="113">
        <v>0</v>
      </c>
      <c r="DB243" s="113">
        <v>0</v>
      </c>
      <c r="DC243" s="113">
        <v>0</v>
      </c>
      <c r="DD243" s="113">
        <v>0</v>
      </c>
      <c r="DE243" s="113">
        <v>0</v>
      </c>
      <c r="DF243" s="113">
        <v>0</v>
      </c>
      <c r="DG243" s="113">
        <v>0</v>
      </c>
      <c r="DH243" s="113">
        <v>0</v>
      </c>
      <c r="DI243" s="113">
        <v>0</v>
      </c>
      <c r="DJ243" s="113">
        <v>0</v>
      </c>
      <c r="DK243" s="113">
        <v>0</v>
      </c>
      <c r="DL243" s="113">
        <v>0</v>
      </c>
      <c r="DM243" s="113">
        <v>0</v>
      </c>
      <c r="DN243" s="113">
        <v>0</v>
      </c>
      <c r="DO243" s="113">
        <v>0</v>
      </c>
      <c r="DP243" s="113">
        <v>0</v>
      </c>
      <c r="DQ243" s="113">
        <v>0</v>
      </c>
      <c r="DR243" s="113">
        <v>0</v>
      </c>
      <c r="DS243" s="113">
        <v>0</v>
      </c>
      <c r="DT243" s="113">
        <v>0</v>
      </c>
      <c r="DU243" s="113">
        <v>0</v>
      </c>
      <c r="DV243" s="113">
        <v>0</v>
      </c>
      <c r="DW243" s="113">
        <v>0</v>
      </c>
      <c r="DX243" s="113">
        <v>0</v>
      </c>
      <c r="DY243" s="113">
        <v>0</v>
      </c>
      <c r="DZ243" s="113">
        <v>0</v>
      </c>
      <c r="EA243" s="113">
        <v>0</v>
      </c>
      <c r="EB243" s="113">
        <v>0</v>
      </c>
      <c r="EC243" s="113">
        <v>0</v>
      </c>
      <c r="ED243" s="113">
        <v>0</v>
      </c>
      <c r="EE243" s="113">
        <v>0</v>
      </c>
      <c r="EF243" s="113">
        <v>0</v>
      </c>
      <c r="EG243" s="113">
        <v>0</v>
      </c>
      <c r="EH243" s="113">
        <v>0</v>
      </c>
      <c r="EI243" s="113">
        <v>0</v>
      </c>
      <c r="EJ243" s="113">
        <v>0</v>
      </c>
      <c r="EK243" s="113">
        <v>0</v>
      </c>
      <c r="EL243" s="113">
        <v>0</v>
      </c>
      <c r="EM243" s="113">
        <v>0</v>
      </c>
      <c r="EN243" s="113">
        <v>0</v>
      </c>
      <c r="EO243" s="113">
        <v>0</v>
      </c>
      <c r="EP243" s="113">
        <v>0</v>
      </c>
      <c r="EQ243" s="113">
        <v>0</v>
      </c>
      <c r="ER243" s="113">
        <v>0</v>
      </c>
      <c r="ES243" s="113">
        <v>0</v>
      </c>
      <c r="ET243" s="113">
        <v>0</v>
      </c>
      <c r="EU243" s="113">
        <v>0</v>
      </c>
      <c r="EV243" s="113">
        <v>0</v>
      </c>
      <c r="EW243" s="113">
        <v>0</v>
      </c>
      <c r="EX243" s="113">
        <v>0</v>
      </c>
      <c r="EY243" s="113">
        <v>0</v>
      </c>
      <c r="EZ243" s="113">
        <v>0</v>
      </c>
      <c r="FA243" s="113">
        <v>0</v>
      </c>
      <c r="FB243" s="113">
        <v>0</v>
      </c>
      <c r="FC243" s="113">
        <v>0</v>
      </c>
      <c r="FD243" s="113">
        <v>0</v>
      </c>
      <c r="FE243" s="113">
        <v>0</v>
      </c>
      <c r="FF243" s="113">
        <v>0</v>
      </c>
      <c r="FG243" s="113">
        <v>0</v>
      </c>
      <c r="FH243" s="113">
        <v>0</v>
      </c>
      <c r="FI243" s="113">
        <v>0</v>
      </c>
      <c r="FJ243" s="113">
        <v>0</v>
      </c>
      <c r="FK243" s="113">
        <v>0</v>
      </c>
      <c r="FL243" s="113">
        <v>0</v>
      </c>
      <c r="FM243" s="113">
        <v>0</v>
      </c>
      <c r="FN243" s="113">
        <v>0</v>
      </c>
      <c r="FO243" s="113">
        <v>0</v>
      </c>
      <c r="FP243" s="113">
        <v>0</v>
      </c>
      <c r="FQ243" s="113">
        <v>0</v>
      </c>
      <c r="FR243" s="113">
        <v>0</v>
      </c>
      <c r="FS243" s="113">
        <v>0</v>
      </c>
      <c r="FT243" s="113">
        <v>0</v>
      </c>
      <c r="FU243" s="113">
        <v>0</v>
      </c>
      <c r="FV243" s="113">
        <v>0</v>
      </c>
      <c r="FW243" s="113">
        <v>0</v>
      </c>
      <c r="FX243" s="32">
        <v>0</v>
      </c>
      <c r="FY243" s="30">
        <v>0</v>
      </c>
      <c r="FZ243" s="30">
        <v>0</v>
      </c>
    </row>
    <row r="244" spans="1:182" x14ac:dyDescent="0.2">
      <c r="A244" s="28">
        <v>38991</v>
      </c>
      <c r="B244" s="28"/>
      <c r="C244" s="29">
        <v>281176</v>
      </c>
      <c r="D244" s="29">
        <v>217162</v>
      </c>
      <c r="E244" s="29">
        <f t="shared" si="6"/>
        <v>498338</v>
      </c>
      <c r="F244" s="30">
        <v>4707575</v>
      </c>
      <c r="G244" s="30">
        <v>137422</v>
      </c>
      <c r="H244" s="30">
        <f t="shared" si="7"/>
        <v>4844997</v>
      </c>
      <c r="I244" s="42" t="s">
        <v>75</v>
      </c>
      <c r="J244" s="42" t="s">
        <v>75</v>
      </c>
      <c r="K244" s="32">
        <v>5733253</v>
      </c>
      <c r="L244" s="31" t="s">
        <v>75</v>
      </c>
      <c r="M244" s="31" t="s">
        <v>75</v>
      </c>
      <c r="N244" s="30">
        <v>15664208</v>
      </c>
      <c r="O244" s="31" t="s">
        <v>75</v>
      </c>
      <c r="P244" s="31" t="s">
        <v>75</v>
      </c>
      <c r="Q244" s="30">
        <v>17756211</v>
      </c>
      <c r="R244" s="31" t="s">
        <v>75</v>
      </c>
      <c r="S244" s="31" t="s">
        <v>75</v>
      </c>
      <c r="T244" s="32">
        <v>34369</v>
      </c>
      <c r="U244" s="31" t="s">
        <v>75</v>
      </c>
      <c r="V244" s="31" t="s">
        <v>75</v>
      </c>
      <c r="W244" s="30">
        <v>25689</v>
      </c>
      <c r="X244" s="31" t="s">
        <v>75</v>
      </c>
      <c r="Y244" s="31" t="s">
        <v>75</v>
      </c>
      <c r="Z244" s="30">
        <v>58743</v>
      </c>
      <c r="AA244" s="31" t="s">
        <v>75</v>
      </c>
      <c r="AB244" s="31" t="s">
        <v>75</v>
      </c>
      <c r="AC244" s="30">
        <v>74583</v>
      </c>
      <c r="AD244" s="31" t="s">
        <v>75</v>
      </c>
      <c r="AE244" s="31" t="s">
        <v>75</v>
      </c>
      <c r="AF244" s="30">
        <v>28061</v>
      </c>
      <c r="AG244" s="42" t="s">
        <v>75</v>
      </c>
      <c r="AH244" s="42" t="s">
        <v>75</v>
      </c>
      <c r="AI244" s="32">
        <v>35245</v>
      </c>
      <c r="AJ244" s="31" t="s">
        <v>75</v>
      </c>
      <c r="AK244" s="31" t="s">
        <v>75</v>
      </c>
      <c r="AL244" s="31" t="s">
        <v>75</v>
      </c>
      <c r="AM244" s="31"/>
      <c r="AN244" s="31"/>
      <c r="AO244" s="31"/>
      <c r="AP244" s="31"/>
      <c r="AQ244" s="31"/>
      <c r="AR244" s="31"/>
      <c r="AS244" s="31" t="s">
        <v>75</v>
      </c>
      <c r="AT244" s="31" t="s">
        <v>75</v>
      </c>
      <c r="AU244" s="31" t="s">
        <v>75</v>
      </c>
      <c r="AV244" s="31" t="s">
        <v>75</v>
      </c>
      <c r="AW244" s="31" t="s">
        <v>75</v>
      </c>
      <c r="AX244" s="31" t="s">
        <v>75</v>
      </c>
      <c r="AY244" s="31" t="s">
        <v>75</v>
      </c>
      <c r="AZ244" s="31" t="s">
        <v>75</v>
      </c>
      <c r="BA244" s="29">
        <v>12044353</v>
      </c>
      <c r="BB244" s="31" t="s">
        <v>75</v>
      </c>
      <c r="BC244" s="31" t="s">
        <v>75</v>
      </c>
      <c r="BD244" s="29">
        <v>1588923</v>
      </c>
      <c r="BE244" s="113">
        <v>0</v>
      </c>
      <c r="BF244" s="113">
        <v>0</v>
      </c>
      <c r="BG244" s="113">
        <v>0</v>
      </c>
      <c r="BH244" s="113">
        <v>0</v>
      </c>
      <c r="BI244" s="113">
        <v>0</v>
      </c>
      <c r="BJ244" s="113">
        <v>0</v>
      </c>
      <c r="BK244" s="113">
        <v>0</v>
      </c>
      <c r="BL244" s="113">
        <v>0</v>
      </c>
      <c r="BM244" s="113">
        <v>0</v>
      </c>
      <c r="BN244" s="113">
        <v>0</v>
      </c>
      <c r="BO244" s="113">
        <v>0</v>
      </c>
      <c r="BP244" s="113">
        <v>0</v>
      </c>
      <c r="BQ244" s="113">
        <v>0</v>
      </c>
      <c r="BR244" s="113">
        <v>0</v>
      </c>
      <c r="BS244" s="113">
        <v>0</v>
      </c>
      <c r="BT244" s="113">
        <v>0</v>
      </c>
      <c r="BU244" s="113">
        <v>0</v>
      </c>
      <c r="BV244" s="113">
        <v>0</v>
      </c>
      <c r="BW244" s="113"/>
      <c r="BX244" s="113"/>
      <c r="BY244" s="113"/>
      <c r="BZ244" s="113">
        <v>0</v>
      </c>
      <c r="CA244" s="113">
        <v>0</v>
      </c>
      <c r="CB244" s="113">
        <v>0</v>
      </c>
      <c r="CC244" s="113"/>
      <c r="CD244" s="113"/>
      <c r="CE244" s="113"/>
      <c r="CF244" s="113">
        <v>0</v>
      </c>
      <c r="CG244" s="113">
        <v>0</v>
      </c>
      <c r="CH244" s="113">
        <v>0</v>
      </c>
      <c r="CI244" s="113">
        <v>0</v>
      </c>
      <c r="CJ244" s="113">
        <v>0</v>
      </c>
      <c r="CK244" s="113">
        <v>0</v>
      </c>
      <c r="CL244" s="113">
        <v>0</v>
      </c>
      <c r="CM244" s="113">
        <v>0</v>
      </c>
      <c r="CN244" s="113">
        <v>0</v>
      </c>
      <c r="CO244" s="113">
        <v>0</v>
      </c>
      <c r="CP244" s="113">
        <v>0</v>
      </c>
      <c r="CQ244" s="113">
        <v>0</v>
      </c>
      <c r="CR244" s="113">
        <v>0</v>
      </c>
      <c r="CS244" s="113">
        <v>0</v>
      </c>
      <c r="CT244" s="113">
        <v>0</v>
      </c>
      <c r="CU244" s="113">
        <v>0</v>
      </c>
      <c r="CV244" s="113">
        <v>0</v>
      </c>
      <c r="CW244" s="113">
        <v>0</v>
      </c>
      <c r="CX244" s="113">
        <v>0</v>
      </c>
      <c r="CY244" s="113">
        <v>0</v>
      </c>
      <c r="CZ244" s="113">
        <v>0</v>
      </c>
      <c r="DA244" s="113">
        <v>0</v>
      </c>
      <c r="DB244" s="113">
        <v>0</v>
      </c>
      <c r="DC244" s="113">
        <v>0</v>
      </c>
      <c r="DD244" s="113">
        <v>0</v>
      </c>
      <c r="DE244" s="113">
        <v>0</v>
      </c>
      <c r="DF244" s="113">
        <v>0</v>
      </c>
      <c r="DG244" s="113">
        <v>0</v>
      </c>
      <c r="DH244" s="113">
        <v>0</v>
      </c>
      <c r="DI244" s="113">
        <v>0</v>
      </c>
      <c r="DJ244" s="113">
        <v>0</v>
      </c>
      <c r="DK244" s="113">
        <v>0</v>
      </c>
      <c r="DL244" s="113">
        <v>0</v>
      </c>
      <c r="DM244" s="113">
        <v>0</v>
      </c>
      <c r="DN244" s="113">
        <v>0</v>
      </c>
      <c r="DO244" s="113">
        <v>0</v>
      </c>
      <c r="DP244" s="113">
        <v>0</v>
      </c>
      <c r="DQ244" s="113">
        <v>0</v>
      </c>
      <c r="DR244" s="113">
        <v>0</v>
      </c>
      <c r="DS244" s="113">
        <v>0</v>
      </c>
      <c r="DT244" s="113">
        <v>0</v>
      </c>
      <c r="DU244" s="113">
        <v>0</v>
      </c>
      <c r="DV244" s="113">
        <v>0</v>
      </c>
      <c r="DW244" s="113">
        <v>0</v>
      </c>
      <c r="DX244" s="113">
        <v>0</v>
      </c>
      <c r="DY244" s="113">
        <v>0</v>
      </c>
      <c r="DZ244" s="113">
        <v>0</v>
      </c>
      <c r="EA244" s="113">
        <v>0</v>
      </c>
      <c r="EB244" s="113">
        <v>0</v>
      </c>
      <c r="EC244" s="113">
        <v>0</v>
      </c>
      <c r="ED244" s="113">
        <v>0</v>
      </c>
      <c r="EE244" s="113">
        <v>0</v>
      </c>
      <c r="EF244" s="113">
        <v>0</v>
      </c>
      <c r="EG244" s="113">
        <v>0</v>
      </c>
      <c r="EH244" s="113">
        <v>0</v>
      </c>
      <c r="EI244" s="113">
        <v>0</v>
      </c>
      <c r="EJ244" s="113">
        <v>0</v>
      </c>
      <c r="EK244" s="113">
        <v>0</v>
      </c>
      <c r="EL244" s="113">
        <v>0</v>
      </c>
      <c r="EM244" s="113">
        <v>0</v>
      </c>
      <c r="EN244" s="113">
        <v>0</v>
      </c>
      <c r="EO244" s="113">
        <v>0</v>
      </c>
      <c r="EP244" s="113">
        <v>0</v>
      </c>
      <c r="EQ244" s="113">
        <v>0</v>
      </c>
      <c r="ER244" s="113">
        <v>0</v>
      </c>
      <c r="ES244" s="113">
        <v>0</v>
      </c>
      <c r="ET244" s="113">
        <v>0</v>
      </c>
      <c r="EU244" s="113">
        <v>0</v>
      </c>
      <c r="EV244" s="113">
        <v>0</v>
      </c>
      <c r="EW244" s="113">
        <v>0</v>
      </c>
      <c r="EX244" s="113">
        <v>0</v>
      </c>
      <c r="EY244" s="113">
        <v>0</v>
      </c>
      <c r="EZ244" s="113">
        <v>0</v>
      </c>
      <c r="FA244" s="113">
        <v>0</v>
      </c>
      <c r="FB244" s="113">
        <v>0</v>
      </c>
      <c r="FC244" s="113">
        <v>0</v>
      </c>
      <c r="FD244" s="113">
        <v>0</v>
      </c>
      <c r="FE244" s="113">
        <v>0</v>
      </c>
      <c r="FF244" s="113">
        <v>0</v>
      </c>
      <c r="FG244" s="113">
        <v>0</v>
      </c>
      <c r="FH244" s="113">
        <v>0</v>
      </c>
      <c r="FI244" s="113">
        <v>0</v>
      </c>
      <c r="FJ244" s="113">
        <v>0</v>
      </c>
      <c r="FK244" s="113">
        <v>0</v>
      </c>
      <c r="FL244" s="113">
        <v>0</v>
      </c>
      <c r="FM244" s="113">
        <v>0</v>
      </c>
      <c r="FN244" s="113">
        <v>0</v>
      </c>
      <c r="FO244" s="113">
        <v>0</v>
      </c>
      <c r="FP244" s="113">
        <v>0</v>
      </c>
      <c r="FQ244" s="113">
        <v>0</v>
      </c>
      <c r="FR244" s="113">
        <v>0</v>
      </c>
      <c r="FS244" s="113">
        <v>0</v>
      </c>
      <c r="FT244" s="113">
        <v>0</v>
      </c>
      <c r="FU244" s="113">
        <v>0</v>
      </c>
      <c r="FV244" s="113">
        <v>0</v>
      </c>
      <c r="FW244" s="113">
        <v>0</v>
      </c>
      <c r="FX244" s="32">
        <v>0</v>
      </c>
      <c r="FY244" s="30">
        <v>0</v>
      </c>
      <c r="FZ244" s="30">
        <v>0</v>
      </c>
    </row>
    <row r="245" spans="1:182" x14ac:dyDescent="0.2">
      <c r="A245" s="28">
        <v>39022</v>
      </c>
      <c r="B245" s="28"/>
      <c r="C245" s="29">
        <v>305105</v>
      </c>
      <c r="D245" s="29">
        <v>346186</v>
      </c>
      <c r="E245" s="29">
        <f t="shared" si="6"/>
        <v>651291</v>
      </c>
      <c r="F245" s="30">
        <v>12010756</v>
      </c>
      <c r="G245" s="30">
        <v>269123</v>
      </c>
      <c r="H245" s="30">
        <f t="shared" si="7"/>
        <v>12279879</v>
      </c>
      <c r="I245" s="42" t="s">
        <v>75</v>
      </c>
      <c r="J245" s="42" t="s">
        <v>75</v>
      </c>
      <c r="K245" s="32">
        <v>7419423</v>
      </c>
      <c r="L245" s="31" t="s">
        <v>75</v>
      </c>
      <c r="M245" s="31" t="s">
        <v>75</v>
      </c>
      <c r="N245" s="30">
        <v>18297069</v>
      </c>
      <c r="O245" s="31" t="s">
        <v>75</v>
      </c>
      <c r="P245" s="31" t="s">
        <v>75</v>
      </c>
      <c r="Q245" s="30">
        <v>21268867</v>
      </c>
      <c r="R245" s="31" t="s">
        <v>75</v>
      </c>
      <c r="S245" s="31" t="s">
        <v>75</v>
      </c>
      <c r="T245" s="32">
        <v>147846</v>
      </c>
      <c r="U245" s="31" t="s">
        <v>75</v>
      </c>
      <c r="V245" s="31" t="s">
        <v>75</v>
      </c>
      <c r="W245" s="30">
        <v>34285</v>
      </c>
      <c r="X245" s="31" t="s">
        <v>75</v>
      </c>
      <c r="Y245" s="31" t="s">
        <v>75</v>
      </c>
      <c r="Z245" s="30">
        <v>103072</v>
      </c>
      <c r="AA245" s="31" t="s">
        <v>75</v>
      </c>
      <c r="AB245" s="31" t="s">
        <v>75</v>
      </c>
      <c r="AC245" s="30">
        <v>62423</v>
      </c>
      <c r="AD245" s="31" t="s">
        <v>75</v>
      </c>
      <c r="AE245" s="31" t="s">
        <v>75</v>
      </c>
      <c r="AF245" s="30">
        <v>15437</v>
      </c>
      <c r="AG245" s="42" t="s">
        <v>75</v>
      </c>
      <c r="AH245" s="42" t="s">
        <v>75</v>
      </c>
      <c r="AI245" s="32">
        <v>38191</v>
      </c>
      <c r="AJ245" s="31" t="s">
        <v>75</v>
      </c>
      <c r="AK245" s="31" t="s">
        <v>75</v>
      </c>
      <c r="AL245" s="31" t="s">
        <v>75</v>
      </c>
      <c r="AM245" s="31"/>
      <c r="AN245" s="31"/>
      <c r="AO245" s="31"/>
      <c r="AP245" s="31"/>
      <c r="AQ245" s="31"/>
      <c r="AR245" s="31"/>
      <c r="AS245" s="31" t="s">
        <v>75</v>
      </c>
      <c r="AT245" s="31" t="s">
        <v>75</v>
      </c>
      <c r="AU245" s="31" t="s">
        <v>75</v>
      </c>
      <c r="AV245" s="31" t="s">
        <v>75</v>
      </c>
      <c r="AW245" s="31" t="s">
        <v>75</v>
      </c>
      <c r="AX245" s="31" t="s">
        <v>75</v>
      </c>
      <c r="AY245" s="31" t="s">
        <v>75</v>
      </c>
      <c r="AZ245" s="31" t="s">
        <v>75</v>
      </c>
      <c r="BA245" s="29">
        <v>12718836</v>
      </c>
      <c r="BB245" s="31" t="s">
        <v>75</v>
      </c>
      <c r="BC245" s="31" t="s">
        <v>75</v>
      </c>
      <c r="BD245" s="29">
        <v>1715770</v>
      </c>
      <c r="BE245" s="113">
        <v>0</v>
      </c>
      <c r="BF245" s="113">
        <v>0</v>
      </c>
      <c r="BG245" s="113">
        <v>0</v>
      </c>
      <c r="BH245" s="113">
        <v>0</v>
      </c>
      <c r="BI245" s="113">
        <v>0</v>
      </c>
      <c r="BJ245" s="113">
        <v>0</v>
      </c>
      <c r="BK245" s="113">
        <v>0</v>
      </c>
      <c r="BL245" s="113">
        <v>0</v>
      </c>
      <c r="BM245" s="113">
        <v>0</v>
      </c>
      <c r="BN245" s="113">
        <v>0</v>
      </c>
      <c r="BO245" s="113">
        <v>0</v>
      </c>
      <c r="BP245" s="113">
        <v>0</v>
      </c>
      <c r="BQ245" s="113">
        <v>0</v>
      </c>
      <c r="BR245" s="113">
        <v>0</v>
      </c>
      <c r="BS245" s="113">
        <v>0</v>
      </c>
      <c r="BT245" s="113">
        <v>0</v>
      </c>
      <c r="BU245" s="113">
        <v>0</v>
      </c>
      <c r="BV245" s="113">
        <v>0</v>
      </c>
      <c r="BW245" s="113"/>
      <c r="BX245" s="113"/>
      <c r="BY245" s="113"/>
      <c r="BZ245" s="113">
        <v>0</v>
      </c>
      <c r="CA245" s="113">
        <v>0</v>
      </c>
      <c r="CB245" s="113">
        <v>0</v>
      </c>
      <c r="CC245" s="113"/>
      <c r="CD245" s="113"/>
      <c r="CE245" s="113"/>
      <c r="CF245" s="113">
        <v>0</v>
      </c>
      <c r="CG245" s="113">
        <v>0</v>
      </c>
      <c r="CH245" s="113">
        <v>0</v>
      </c>
      <c r="CI245" s="113">
        <v>0</v>
      </c>
      <c r="CJ245" s="113">
        <v>0</v>
      </c>
      <c r="CK245" s="113">
        <v>0</v>
      </c>
      <c r="CL245" s="113">
        <v>0</v>
      </c>
      <c r="CM245" s="113">
        <v>0</v>
      </c>
      <c r="CN245" s="113">
        <v>0</v>
      </c>
      <c r="CO245" s="113">
        <v>0</v>
      </c>
      <c r="CP245" s="113">
        <v>0</v>
      </c>
      <c r="CQ245" s="113">
        <v>0</v>
      </c>
      <c r="CR245" s="113">
        <v>0</v>
      </c>
      <c r="CS245" s="113">
        <v>0</v>
      </c>
      <c r="CT245" s="113">
        <v>0</v>
      </c>
      <c r="CU245" s="113">
        <v>0</v>
      </c>
      <c r="CV245" s="113">
        <v>0</v>
      </c>
      <c r="CW245" s="113">
        <v>0</v>
      </c>
      <c r="CX245" s="113">
        <v>0</v>
      </c>
      <c r="CY245" s="113">
        <v>0</v>
      </c>
      <c r="CZ245" s="113">
        <v>0</v>
      </c>
      <c r="DA245" s="113">
        <v>0</v>
      </c>
      <c r="DB245" s="113">
        <v>0</v>
      </c>
      <c r="DC245" s="113">
        <v>0</v>
      </c>
      <c r="DD245" s="113">
        <v>0</v>
      </c>
      <c r="DE245" s="113">
        <v>0</v>
      </c>
      <c r="DF245" s="113">
        <v>0</v>
      </c>
      <c r="DG245" s="113">
        <v>0</v>
      </c>
      <c r="DH245" s="113">
        <v>0</v>
      </c>
      <c r="DI245" s="113">
        <v>0</v>
      </c>
      <c r="DJ245" s="113">
        <v>0</v>
      </c>
      <c r="DK245" s="113">
        <v>0</v>
      </c>
      <c r="DL245" s="113">
        <v>0</v>
      </c>
      <c r="DM245" s="113">
        <v>0</v>
      </c>
      <c r="DN245" s="113">
        <v>0</v>
      </c>
      <c r="DO245" s="113">
        <v>0</v>
      </c>
      <c r="DP245" s="113">
        <v>0</v>
      </c>
      <c r="DQ245" s="113">
        <v>0</v>
      </c>
      <c r="DR245" s="113">
        <v>0</v>
      </c>
      <c r="DS245" s="113">
        <v>0</v>
      </c>
      <c r="DT245" s="113">
        <v>0</v>
      </c>
      <c r="DU245" s="113">
        <v>0</v>
      </c>
      <c r="DV245" s="113">
        <v>0</v>
      </c>
      <c r="DW245" s="113">
        <v>0</v>
      </c>
      <c r="DX245" s="113">
        <v>0</v>
      </c>
      <c r="DY245" s="113">
        <v>0</v>
      </c>
      <c r="DZ245" s="113">
        <v>0</v>
      </c>
      <c r="EA245" s="113">
        <v>0</v>
      </c>
      <c r="EB245" s="113">
        <v>0</v>
      </c>
      <c r="EC245" s="113">
        <v>0</v>
      </c>
      <c r="ED245" s="113">
        <v>0</v>
      </c>
      <c r="EE245" s="113">
        <v>0</v>
      </c>
      <c r="EF245" s="113">
        <v>0</v>
      </c>
      <c r="EG245" s="113">
        <v>0</v>
      </c>
      <c r="EH245" s="113">
        <v>0</v>
      </c>
      <c r="EI245" s="113">
        <v>0</v>
      </c>
      <c r="EJ245" s="113">
        <v>0</v>
      </c>
      <c r="EK245" s="113">
        <v>0</v>
      </c>
      <c r="EL245" s="113">
        <v>0</v>
      </c>
      <c r="EM245" s="113">
        <v>0</v>
      </c>
      <c r="EN245" s="113">
        <v>0</v>
      </c>
      <c r="EO245" s="113">
        <v>0</v>
      </c>
      <c r="EP245" s="113">
        <v>0</v>
      </c>
      <c r="EQ245" s="113">
        <v>0</v>
      </c>
      <c r="ER245" s="113">
        <v>0</v>
      </c>
      <c r="ES245" s="113">
        <v>0</v>
      </c>
      <c r="ET245" s="113">
        <v>0</v>
      </c>
      <c r="EU245" s="113">
        <v>0</v>
      </c>
      <c r="EV245" s="113">
        <v>0</v>
      </c>
      <c r="EW245" s="113">
        <v>0</v>
      </c>
      <c r="EX245" s="113">
        <v>0</v>
      </c>
      <c r="EY245" s="113">
        <v>0</v>
      </c>
      <c r="EZ245" s="113">
        <v>0</v>
      </c>
      <c r="FA245" s="113">
        <v>0</v>
      </c>
      <c r="FB245" s="113">
        <v>0</v>
      </c>
      <c r="FC245" s="113">
        <v>0</v>
      </c>
      <c r="FD245" s="113">
        <v>0</v>
      </c>
      <c r="FE245" s="113">
        <v>0</v>
      </c>
      <c r="FF245" s="113">
        <v>0</v>
      </c>
      <c r="FG245" s="113">
        <v>0</v>
      </c>
      <c r="FH245" s="113">
        <v>0</v>
      </c>
      <c r="FI245" s="113">
        <v>0</v>
      </c>
      <c r="FJ245" s="113">
        <v>0</v>
      </c>
      <c r="FK245" s="113">
        <v>0</v>
      </c>
      <c r="FL245" s="113">
        <v>0</v>
      </c>
      <c r="FM245" s="113">
        <v>0</v>
      </c>
      <c r="FN245" s="113">
        <v>0</v>
      </c>
      <c r="FO245" s="113">
        <v>0</v>
      </c>
      <c r="FP245" s="113">
        <v>0</v>
      </c>
      <c r="FQ245" s="113">
        <v>0</v>
      </c>
      <c r="FR245" s="113">
        <v>0</v>
      </c>
      <c r="FS245" s="113">
        <v>0</v>
      </c>
      <c r="FT245" s="113">
        <v>0</v>
      </c>
      <c r="FU245" s="113">
        <v>0</v>
      </c>
      <c r="FV245" s="113">
        <v>0</v>
      </c>
      <c r="FW245" s="113">
        <v>0</v>
      </c>
      <c r="FX245" s="32">
        <v>0</v>
      </c>
      <c r="FY245" s="30">
        <v>0</v>
      </c>
      <c r="FZ245" s="30">
        <v>0</v>
      </c>
    </row>
    <row r="246" spans="1:182" x14ac:dyDescent="0.2">
      <c r="A246" s="28">
        <v>39052</v>
      </c>
      <c r="B246" s="28"/>
      <c r="C246" s="29">
        <v>362477</v>
      </c>
      <c r="D246" s="29">
        <v>391130</v>
      </c>
      <c r="E246" s="29">
        <f t="shared" si="6"/>
        <v>753607</v>
      </c>
      <c r="F246" s="30">
        <v>11546198</v>
      </c>
      <c r="G246" s="30">
        <v>525377</v>
      </c>
      <c r="H246" s="30">
        <f t="shared" si="7"/>
        <v>12071575</v>
      </c>
      <c r="I246" s="42" t="s">
        <v>75</v>
      </c>
      <c r="J246" s="42" t="s">
        <v>75</v>
      </c>
      <c r="K246" s="32">
        <v>10009703</v>
      </c>
      <c r="L246" s="31" t="s">
        <v>75</v>
      </c>
      <c r="M246" s="31" t="s">
        <v>75</v>
      </c>
      <c r="N246" s="30">
        <v>23562263</v>
      </c>
      <c r="O246" s="31" t="s">
        <v>75</v>
      </c>
      <c r="P246" s="31" t="s">
        <v>75</v>
      </c>
      <c r="Q246" s="30">
        <v>20654888</v>
      </c>
      <c r="R246" s="31" t="s">
        <v>75</v>
      </c>
      <c r="S246" s="31" t="s">
        <v>75</v>
      </c>
      <c r="T246" s="32">
        <v>22221</v>
      </c>
      <c r="U246" s="31" t="s">
        <v>75</v>
      </c>
      <c r="V246" s="31" t="s">
        <v>75</v>
      </c>
      <c r="W246" s="30">
        <v>40922</v>
      </c>
      <c r="X246" s="31" t="s">
        <v>75</v>
      </c>
      <c r="Y246" s="31" t="s">
        <v>75</v>
      </c>
      <c r="Z246" s="30">
        <v>114788</v>
      </c>
      <c r="AA246" s="31" t="s">
        <v>75</v>
      </c>
      <c r="AB246" s="31" t="s">
        <v>75</v>
      </c>
      <c r="AC246" s="30">
        <v>65792</v>
      </c>
      <c r="AD246" s="31" t="s">
        <v>75</v>
      </c>
      <c r="AE246" s="31" t="s">
        <v>75</v>
      </c>
      <c r="AF246" s="30">
        <v>52278</v>
      </c>
      <c r="AG246" s="42" t="s">
        <v>75</v>
      </c>
      <c r="AH246" s="42" t="s">
        <v>75</v>
      </c>
      <c r="AI246" s="32">
        <v>71440</v>
      </c>
      <c r="AJ246" s="31" t="s">
        <v>75</v>
      </c>
      <c r="AK246" s="31" t="s">
        <v>75</v>
      </c>
      <c r="AL246" s="31" t="s">
        <v>75</v>
      </c>
      <c r="AM246" s="31"/>
      <c r="AN246" s="31"/>
      <c r="AO246" s="31"/>
      <c r="AP246" s="31"/>
      <c r="AQ246" s="31"/>
      <c r="AR246" s="31"/>
      <c r="AS246" s="31" t="s">
        <v>75</v>
      </c>
      <c r="AT246" s="31" t="s">
        <v>75</v>
      </c>
      <c r="AU246" s="31" t="s">
        <v>75</v>
      </c>
      <c r="AV246" s="31" t="s">
        <v>75</v>
      </c>
      <c r="AW246" s="31" t="s">
        <v>75</v>
      </c>
      <c r="AX246" s="31" t="s">
        <v>75</v>
      </c>
      <c r="AY246" s="31" t="s">
        <v>75</v>
      </c>
      <c r="AZ246" s="31" t="s">
        <v>75</v>
      </c>
      <c r="BA246" s="29">
        <v>14430277</v>
      </c>
      <c r="BB246" s="31" t="s">
        <v>75</v>
      </c>
      <c r="BC246" s="31" t="s">
        <v>75</v>
      </c>
      <c r="BD246" s="29">
        <v>1786344</v>
      </c>
      <c r="BE246" s="113">
        <v>0</v>
      </c>
      <c r="BF246" s="113">
        <v>0</v>
      </c>
      <c r="BG246" s="113">
        <v>0</v>
      </c>
      <c r="BH246" s="113">
        <v>0</v>
      </c>
      <c r="BI246" s="113">
        <v>0</v>
      </c>
      <c r="BJ246" s="113">
        <v>0</v>
      </c>
      <c r="BK246" s="113">
        <v>0</v>
      </c>
      <c r="BL246" s="113">
        <v>0</v>
      </c>
      <c r="BM246" s="113">
        <v>0</v>
      </c>
      <c r="BN246" s="113">
        <v>0</v>
      </c>
      <c r="BO246" s="113">
        <v>0</v>
      </c>
      <c r="BP246" s="113">
        <v>0</v>
      </c>
      <c r="BQ246" s="113">
        <v>0</v>
      </c>
      <c r="BR246" s="113">
        <v>0</v>
      </c>
      <c r="BS246" s="113">
        <v>0</v>
      </c>
      <c r="BT246" s="113">
        <v>0</v>
      </c>
      <c r="BU246" s="113">
        <v>0</v>
      </c>
      <c r="BV246" s="113">
        <v>0</v>
      </c>
      <c r="BW246" s="113"/>
      <c r="BX246" s="113"/>
      <c r="BY246" s="113"/>
      <c r="BZ246" s="113">
        <v>0</v>
      </c>
      <c r="CA246" s="113">
        <v>0</v>
      </c>
      <c r="CB246" s="113">
        <v>0</v>
      </c>
      <c r="CC246" s="113"/>
      <c r="CD246" s="113"/>
      <c r="CE246" s="113"/>
      <c r="CF246" s="113">
        <v>0</v>
      </c>
      <c r="CG246" s="113">
        <v>0</v>
      </c>
      <c r="CH246" s="113">
        <v>0</v>
      </c>
      <c r="CI246" s="113">
        <v>0</v>
      </c>
      <c r="CJ246" s="113">
        <v>0</v>
      </c>
      <c r="CK246" s="113">
        <v>0</v>
      </c>
      <c r="CL246" s="113">
        <v>0</v>
      </c>
      <c r="CM246" s="113">
        <v>0</v>
      </c>
      <c r="CN246" s="113">
        <v>0</v>
      </c>
      <c r="CO246" s="113">
        <v>0</v>
      </c>
      <c r="CP246" s="113">
        <v>0</v>
      </c>
      <c r="CQ246" s="113">
        <v>0</v>
      </c>
      <c r="CR246" s="113">
        <v>0</v>
      </c>
      <c r="CS246" s="113">
        <v>0</v>
      </c>
      <c r="CT246" s="113">
        <v>0</v>
      </c>
      <c r="CU246" s="113">
        <v>0</v>
      </c>
      <c r="CV246" s="113">
        <v>0</v>
      </c>
      <c r="CW246" s="113">
        <v>0</v>
      </c>
      <c r="CX246" s="113">
        <v>0</v>
      </c>
      <c r="CY246" s="113">
        <v>0</v>
      </c>
      <c r="CZ246" s="113">
        <v>0</v>
      </c>
      <c r="DA246" s="113">
        <v>0</v>
      </c>
      <c r="DB246" s="113">
        <v>0</v>
      </c>
      <c r="DC246" s="113">
        <v>0</v>
      </c>
      <c r="DD246" s="113">
        <v>0</v>
      </c>
      <c r="DE246" s="113">
        <v>0</v>
      </c>
      <c r="DF246" s="113">
        <v>0</v>
      </c>
      <c r="DG246" s="113">
        <v>0</v>
      </c>
      <c r="DH246" s="113">
        <v>0</v>
      </c>
      <c r="DI246" s="113">
        <v>0</v>
      </c>
      <c r="DJ246" s="113">
        <v>0</v>
      </c>
      <c r="DK246" s="113">
        <v>0</v>
      </c>
      <c r="DL246" s="113">
        <v>0</v>
      </c>
      <c r="DM246" s="113">
        <v>0</v>
      </c>
      <c r="DN246" s="113">
        <v>0</v>
      </c>
      <c r="DO246" s="113">
        <v>0</v>
      </c>
      <c r="DP246" s="113">
        <v>0</v>
      </c>
      <c r="DQ246" s="113">
        <v>0</v>
      </c>
      <c r="DR246" s="113">
        <v>0</v>
      </c>
      <c r="DS246" s="113">
        <v>0</v>
      </c>
      <c r="DT246" s="113">
        <v>0</v>
      </c>
      <c r="DU246" s="113">
        <v>0</v>
      </c>
      <c r="DV246" s="113">
        <v>0</v>
      </c>
      <c r="DW246" s="113">
        <v>0</v>
      </c>
      <c r="DX246" s="113">
        <v>0</v>
      </c>
      <c r="DY246" s="113">
        <v>0</v>
      </c>
      <c r="DZ246" s="113">
        <v>0</v>
      </c>
      <c r="EA246" s="113">
        <v>0</v>
      </c>
      <c r="EB246" s="113">
        <v>0</v>
      </c>
      <c r="EC246" s="113">
        <v>0</v>
      </c>
      <c r="ED246" s="113">
        <v>0</v>
      </c>
      <c r="EE246" s="113">
        <v>0</v>
      </c>
      <c r="EF246" s="113">
        <v>0</v>
      </c>
      <c r="EG246" s="113">
        <v>0</v>
      </c>
      <c r="EH246" s="113">
        <v>0</v>
      </c>
      <c r="EI246" s="113">
        <v>0</v>
      </c>
      <c r="EJ246" s="113">
        <v>0</v>
      </c>
      <c r="EK246" s="113">
        <v>0</v>
      </c>
      <c r="EL246" s="113">
        <v>0</v>
      </c>
      <c r="EM246" s="113">
        <v>0</v>
      </c>
      <c r="EN246" s="113">
        <v>0</v>
      </c>
      <c r="EO246" s="113">
        <v>0</v>
      </c>
      <c r="EP246" s="113">
        <v>0</v>
      </c>
      <c r="EQ246" s="113">
        <v>0</v>
      </c>
      <c r="ER246" s="113">
        <v>0</v>
      </c>
      <c r="ES246" s="113">
        <v>0</v>
      </c>
      <c r="ET246" s="113">
        <v>0</v>
      </c>
      <c r="EU246" s="113">
        <v>0</v>
      </c>
      <c r="EV246" s="113">
        <v>0</v>
      </c>
      <c r="EW246" s="113">
        <v>0</v>
      </c>
      <c r="EX246" s="113">
        <v>0</v>
      </c>
      <c r="EY246" s="113">
        <v>0</v>
      </c>
      <c r="EZ246" s="113">
        <v>0</v>
      </c>
      <c r="FA246" s="113">
        <v>0</v>
      </c>
      <c r="FB246" s="113">
        <v>0</v>
      </c>
      <c r="FC246" s="113">
        <v>0</v>
      </c>
      <c r="FD246" s="113">
        <v>0</v>
      </c>
      <c r="FE246" s="113">
        <v>0</v>
      </c>
      <c r="FF246" s="113">
        <v>0</v>
      </c>
      <c r="FG246" s="113">
        <v>0</v>
      </c>
      <c r="FH246" s="113">
        <v>0</v>
      </c>
      <c r="FI246" s="113">
        <v>0</v>
      </c>
      <c r="FJ246" s="113">
        <v>0</v>
      </c>
      <c r="FK246" s="113">
        <v>0</v>
      </c>
      <c r="FL246" s="113">
        <v>0</v>
      </c>
      <c r="FM246" s="113">
        <v>0</v>
      </c>
      <c r="FN246" s="113">
        <v>0</v>
      </c>
      <c r="FO246" s="113">
        <v>0</v>
      </c>
      <c r="FP246" s="113">
        <v>0</v>
      </c>
      <c r="FQ246" s="113">
        <v>0</v>
      </c>
      <c r="FR246" s="113">
        <v>0</v>
      </c>
      <c r="FS246" s="113">
        <v>0</v>
      </c>
      <c r="FT246" s="113">
        <v>0</v>
      </c>
      <c r="FU246" s="113">
        <v>0</v>
      </c>
      <c r="FV246" s="113">
        <v>0</v>
      </c>
      <c r="FW246" s="113">
        <v>0</v>
      </c>
      <c r="FX246" s="32">
        <v>0</v>
      </c>
      <c r="FY246" s="30">
        <v>0</v>
      </c>
      <c r="FZ246" s="30">
        <v>0</v>
      </c>
    </row>
    <row r="247" spans="1:182" x14ac:dyDescent="0.2">
      <c r="A247" s="28">
        <v>39083</v>
      </c>
      <c r="B247" s="28"/>
      <c r="C247" s="29">
        <v>145366</v>
      </c>
      <c r="D247" s="29">
        <v>111048</v>
      </c>
      <c r="E247" s="29">
        <f t="shared" si="6"/>
        <v>256414</v>
      </c>
      <c r="F247" s="30">
        <v>8192754</v>
      </c>
      <c r="G247" s="30">
        <v>412377</v>
      </c>
      <c r="H247" s="30">
        <f t="shared" si="7"/>
        <v>8605131</v>
      </c>
      <c r="I247" s="42" t="s">
        <v>75</v>
      </c>
      <c r="J247" s="42" t="s">
        <v>75</v>
      </c>
      <c r="K247" s="32">
        <v>7613492</v>
      </c>
      <c r="L247" s="31" t="s">
        <v>75</v>
      </c>
      <c r="M247" s="31" t="s">
        <v>75</v>
      </c>
      <c r="N247" s="30">
        <v>18125071</v>
      </c>
      <c r="O247" s="31" t="s">
        <v>75</v>
      </c>
      <c r="P247" s="31" t="s">
        <v>75</v>
      </c>
      <c r="Q247" s="30">
        <v>21583695</v>
      </c>
      <c r="R247" s="31" t="s">
        <v>75</v>
      </c>
      <c r="S247" s="31" t="s">
        <v>75</v>
      </c>
      <c r="T247" s="32">
        <v>11924</v>
      </c>
      <c r="U247" s="31" t="s">
        <v>75</v>
      </c>
      <c r="V247" s="31" t="s">
        <v>75</v>
      </c>
      <c r="W247" s="30">
        <v>46593</v>
      </c>
      <c r="X247" s="31" t="s">
        <v>75</v>
      </c>
      <c r="Y247" s="31" t="s">
        <v>75</v>
      </c>
      <c r="Z247" s="30">
        <v>29552</v>
      </c>
      <c r="AA247" s="31" t="s">
        <v>75</v>
      </c>
      <c r="AB247" s="31" t="s">
        <v>75</v>
      </c>
      <c r="AC247" s="30">
        <v>81926</v>
      </c>
      <c r="AD247" s="31" t="s">
        <v>75</v>
      </c>
      <c r="AE247" s="31" t="s">
        <v>75</v>
      </c>
      <c r="AF247" s="30">
        <v>12940</v>
      </c>
      <c r="AG247" s="42" t="s">
        <v>75</v>
      </c>
      <c r="AH247" s="42" t="s">
        <v>75</v>
      </c>
      <c r="AI247" s="32">
        <v>49430</v>
      </c>
      <c r="AJ247" s="31" t="s">
        <v>75</v>
      </c>
      <c r="AK247" s="31" t="s">
        <v>75</v>
      </c>
      <c r="AL247" s="31" t="s">
        <v>75</v>
      </c>
      <c r="AM247" s="31"/>
      <c r="AN247" s="31"/>
      <c r="AO247" s="31"/>
      <c r="AP247" s="31"/>
      <c r="AQ247" s="31"/>
      <c r="AR247" s="31"/>
      <c r="AS247" s="31" t="s">
        <v>75</v>
      </c>
      <c r="AT247" s="31" t="s">
        <v>75</v>
      </c>
      <c r="AU247" s="31" t="s">
        <v>75</v>
      </c>
      <c r="AV247" s="31" t="s">
        <v>75</v>
      </c>
      <c r="AW247" s="31" t="s">
        <v>75</v>
      </c>
      <c r="AX247" s="31" t="s">
        <v>75</v>
      </c>
      <c r="AY247" s="31" t="s">
        <v>75</v>
      </c>
      <c r="AZ247" s="31" t="s">
        <v>75</v>
      </c>
      <c r="BA247" s="29">
        <v>12402283</v>
      </c>
      <c r="BB247" s="31" t="s">
        <v>75</v>
      </c>
      <c r="BC247" s="31" t="s">
        <v>75</v>
      </c>
      <c r="BD247" s="29">
        <v>1546749</v>
      </c>
      <c r="BE247" s="113">
        <v>0</v>
      </c>
      <c r="BF247" s="113">
        <v>0</v>
      </c>
      <c r="BG247" s="113">
        <v>0</v>
      </c>
      <c r="BH247" s="113">
        <v>0</v>
      </c>
      <c r="BI247" s="113">
        <v>0</v>
      </c>
      <c r="BJ247" s="113">
        <v>0</v>
      </c>
      <c r="BK247" s="113">
        <v>0</v>
      </c>
      <c r="BL247" s="113">
        <v>0</v>
      </c>
      <c r="BM247" s="113">
        <v>0</v>
      </c>
      <c r="BN247" s="113">
        <v>0</v>
      </c>
      <c r="BO247" s="113">
        <v>0</v>
      </c>
      <c r="BP247" s="113">
        <v>0</v>
      </c>
      <c r="BQ247" s="113">
        <v>0</v>
      </c>
      <c r="BR247" s="113">
        <v>0</v>
      </c>
      <c r="BS247" s="113">
        <v>0</v>
      </c>
      <c r="BT247" s="113">
        <v>0</v>
      </c>
      <c r="BU247" s="113">
        <v>0</v>
      </c>
      <c r="BV247" s="113">
        <v>0</v>
      </c>
      <c r="BW247" s="113"/>
      <c r="BX247" s="113"/>
      <c r="BY247" s="113"/>
      <c r="BZ247" s="113">
        <v>0</v>
      </c>
      <c r="CA247" s="113">
        <v>0</v>
      </c>
      <c r="CB247" s="113">
        <v>0</v>
      </c>
      <c r="CC247" s="113"/>
      <c r="CD247" s="113"/>
      <c r="CE247" s="113"/>
      <c r="CF247" s="113">
        <v>0</v>
      </c>
      <c r="CG247" s="113">
        <v>0</v>
      </c>
      <c r="CH247" s="113">
        <v>0</v>
      </c>
      <c r="CI247" s="113">
        <v>0</v>
      </c>
      <c r="CJ247" s="113">
        <v>0</v>
      </c>
      <c r="CK247" s="113">
        <v>0</v>
      </c>
      <c r="CL247" s="113">
        <v>0</v>
      </c>
      <c r="CM247" s="113">
        <v>0</v>
      </c>
      <c r="CN247" s="113">
        <v>0</v>
      </c>
      <c r="CO247" s="113">
        <v>0</v>
      </c>
      <c r="CP247" s="113">
        <v>0</v>
      </c>
      <c r="CQ247" s="113">
        <v>0</v>
      </c>
      <c r="CR247" s="113">
        <v>0</v>
      </c>
      <c r="CS247" s="113">
        <v>0</v>
      </c>
      <c r="CT247" s="113">
        <v>0</v>
      </c>
      <c r="CU247" s="113">
        <v>0</v>
      </c>
      <c r="CV247" s="113">
        <v>0</v>
      </c>
      <c r="CW247" s="113">
        <v>0</v>
      </c>
      <c r="CX247" s="113">
        <v>0</v>
      </c>
      <c r="CY247" s="113">
        <v>0</v>
      </c>
      <c r="CZ247" s="113">
        <v>0</v>
      </c>
      <c r="DA247" s="113">
        <v>0</v>
      </c>
      <c r="DB247" s="113">
        <v>0</v>
      </c>
      <c r="DC247" s="113">
        <v>0</v>
      </c>
      <c r="DD247" s="113">
        <v>0</v>
      </c>
      <c r="DE247" s="113">
        <v>0</v>
      </c>
      <c r="DF247" s="113">
        <v>0</v>
      </c>
      <c r="DG247" s="113">
        <v>0</v>
      </c>
      <c r="DH247" s="113">
        <v>0</v>
      </c>
      <c r="DI247" s="113">
        <v>0</v>
      </c>
      <c r="DJ247" s="113">
        <v>0</v>
      </c>
      <c r="DK247" s="113">
        <v>0</v>
      </c>
      <c r="DL247" s="113">
        <v>0</v>
      </c>
      <c r="DM247" s="113">
        <v>0</v>
      </c>
      <c r="DN247" s="113">
        <v>0</v>
      </c>
      <c r="DO247" s="113">
        <v>0</v>
      </c>
      <c r="DP247" s="113">
        <v>0</v>
      </c>
      <c r="DQ247" s="113">
        <v>0</v>
      </c>
      <c r="DR247" s="113">
        <v>0</v>
      </c>
      <c r="DS247" s="113">
        <v>0</v>
      </c>
      <c r="DT247" s="113">
        <v>0</v>
      </c>
      <c r="DU247" s="113">
        <v>0</v>
      </c>
      <c r="DV247" s="113">
        <v>0</v>
      </c>
      <c r="DW247" s="113">
        <v>0</v>
      </c>
      <c r="DX247" s="113">
        <v>0</v>
      </c>
      <c r="DY247" s="113">
        <v>0</v>
      </c>
      <c r="DZ247" s="113">
        <v>0</v>
      </c>
      <c r="EA247" s="113">
        <v>0</v>
      </c>
      <c r="EB247" s="113">
        <v>0</v>
      </c>
      <c r="EC247" s="113">
        <v>0</v>
      </c>
      <c r="ED247" s="113">
        <v>0</v>
      </c>
      <c r="EE247" s="113">
        <v>0</v>
      </c>
      <c r="EF247" s="113">
        <v>0</v>
      </c>
      <c r="EG247" s="113">
        <v>0</v>
      </c>
      <c r="EH247" s="113">
        <v>0</v>
      </c>
      <c r="EI247" s="113">
        <v>0</v>
      </c>
      <c r="EJ247" s="113">
        <v>0</v>
      </c>
      <c r="EK247" s="113">
        <v>0</v>
      </c>
      <c r="EL247" s="113">
        <v>0</v>
      </c>
      <c r="EM247" s="113">
        <v>0</v>
      </c>
      <c r="EN247" s="113">
        <v>0</v>
      </c>
      <c r="EO247" s="113">
        <v>0</v>
      </c>
      <c r="EP247" s="113">
        <v>0</v>
      </c>
      <c r="EQ247" s="113">
        <v>0</v>
      </c>
      <c r="ER247" s="113">
        <v>0</v>
      </c>
      <c r="ES247" s="113">
        <v>0</v>
      </c>
      <c r="ET247" s="113">
        <v>0</v>
      </c>
      <c r="EU247" s="113">
        <v>0</v>
      </c>
      <c r="EV247" s="113">
        <v>0</v>
      </c>
      <c r="EW247" s="113">
        <v>0</v>
      </c>
      <c r="EX247" s="113">
        <v>0</v>
      </c>
      <c r="EY247" s="113">
        <v>0</v>
      </c>
      <c r="EZ247" s="113">
        <v>0</v>
      </c>
      <c r="FA247" s="113">
        <v>0</v>
      </c>
      <c r="FB247" s="113">
        <v>0</v>
      </c>
      <c r="FC247" s="113">
        <v>0</v>
      </c>
      <c r="FD247" s="113">
        <v>0</v>
      </c>
      <c r="FE247" s="113">
        <v>0</v>
      </c>
      <c r="FF247" s="113">
        <v>0</v>
      </c>
      <c r="FG247" s="113">
        <v>0</v>
      </c>
      <c r="FH247" s="113">
        <v>0</v>
      </c>
      <c r="FI247" s="113">
        <v>0</v>
      </c>
      <c r="FJ247" s="113">
        <v>0</v>
      </c>
      <c r="FK247" s="113">
        <v>0</v>
      </c>
      <c r="FL247" s="113">
        <v>0</v>
      </c>
      <c r="FM247" s="113">
        <v>0</v>
      </c>
      <c r="FN247" s="113">
        <v>0</v>
      </c>
      <c r="FO247" s="113">
        <v>0</v>
      </c>
      <c r="FP247" s="113">
        <v>0</v>
      </c>
      <c r="FQ247" s="113">
        <v>0</v>
      </c>
      <c r="FR247" s="113">
        <v>0</v>
      </c>
      <c r="FS247" s="113">
        <v>0</v>
      </c>
      <c r="FT247" s="113">
        <v>0</v>
      </c>
      <c r="FU247" s="113">
        <v>0</v>
      </c>
      <c r="FV247" s="113">
        <v>0</v>
      </c>
      <c r="FW247" s="113">
        <v>0</v>
      </c>
      <c r="FX247" s="32">
        <v>0</v>
      </c>
      <c r="FY247" s="30">
        <v>0</v>
      </c>
      <c r="FZ247" s="30">
        <v>0</v>
      </c>
    </row>
    <row r="248" spans="1:182" x14ac:dyDescent="0.2">
      <c r="A248" s="28">
        <v>39114</v>
      </c>
      <c r="B248" s="28"/>
      <c r="C248" s="29">
        <v>140015</v>
      </c>
      <c r="D248" s="29">
        <v>120484</v>
      </c>
      <c r="E248" s="29">
        <f t="shared" si="6"/>
        <v>260499</v>
      </c>
      <c r="F248" s="30">
        <v>7847049</v>
      </c>
      <c r="G248" s="30">
        <v>232906</v>
      </c>
      <c r="H248" s="30">
        <f t="shared" si="7"/>
        <v>8079955</v>
      </c>
      <c r="I248" s="42" t="s">
        <v>75</v>
      </c>
      <c r="J248" s="42" t="s">
        <v>75</v>
      </c>
      <c r="K248" s="32">
        <v>8147248</v>
      </c>
      <c r="L248" s="31" t="s">
        <v>75</v>
      </c>
      <c r="M248" s="31" t="s">
        <v>75</v>
      </c>
      <c r="N248" s="30">
        <v>16106981</v>
      </c>
      <c r="O248" s="31" t="s">
        <v>75</v>
      </c>
      <c r="P248" s="31" t="s">
        <v>75</v>
      </c>
      <c r="Q248" s="30">
        <v>18939941</v>
      </c>
      <c r="R248" s="31" t="s">
        <v>75</v>
      </c>
      <c r="S248" s="31" t="s">
        <v>75</v>
      </c>
      <c r="T248" s="32">
        <v>94735</v>
      </c>
      <c r="U248" s="31" t="s">
        <v>75</v>
      </c>
      <c r="V248" s="31" t="s">
        <v>75</v>
      </c>
      <c r="W248" s="30">
        <v>37659</v>
      </c>
      <c r="X248" s="31" t="s">
        <v>75</v>
      </c>
      <c r="Y248" s="31" t="s">
        <v>75</v>
      </c>
      <c r="Z248" s="30">
        <v>49706</v>
      </c>
      <c r="AA248" s="31" t="s">
        <v>75</v>
      </c>
      <c r="AB248" s="31" t="s">
        <v>75</v>
      </c>
      <c r="AC248" s="30">
        <v>75184</v>
      </c>
      <c r="AD248" s="31" t="s">
        <v>75</v>
      </c>
      <c r="AE248" s="31" t="s">
        <v>75</v>
      </c>
      <c r="AF248" s="30">
        <v>12887</v>
      </c>
      <c r="AG248" s="42" t="s">
        <v>75</v>
      </c>
      <c r="AH248" s="42" t="s">
        <v>75</v>
      </c>
      <c r="AI248" s="32">
        <v>16231</v>
      </c>
      <c r="AJ248" s="31" t="s">
        <v>75</v>
      </c>
      <c r="AK248" s="31" t="s">
        <v>75</v>
      </c>
      <c r="AL248" s="31" t="s">
        <v>75</v>
      </c>
      <c r="AM248" s="31"/>
      <c r="AN248" s="31"/>
      <c r="AO248" s="31"/>
      <c r="AP248" s="31"/>
      <c r="AQ248" s="31"/>
      <c r="AR248" s="31"/>
      <c r="AS248" s="31" t="s">
        <v>75</v>
      </c>
      <c r="AT248" s="31" t="s">
        <v>75</v>
      </c>
      <c r="AU248" s="31" t="s">
        <v>75</v>
      </c>
      <c r="AV248" s="31" t="s">
        <v>75</v>
      </c>
      <c r="AW248" s="31" t="s">
        <v>75</v>
      </c>
      <c r="AX248" s="31" t="s">
        <v>75</v>
      </c>
      <c r="AY248" s="31" t="s">
        <v>75</v>
      </c>
      <c r="AZ248" s="31" t="s">
        <v>75</v>
      </c>
      <c r="BA248" s="29">
        <v>11255328</v>
      </c>
      <c r="BB248" s="31" t="s">
        <v>75</v>
      </c>
      <c r="BC248" s="31" t="s">
        <v>75</v>
      </c>
      <c r="BD248" s="29">
        <v>1568344</v>
      </c>
      <c r="BE248" s="113">
        <v>0</v>
      </c>
      <c r="BF248" s="113">
        <v>0</v>
      </c>
      <c r="BG248" s="113">
        <v>0</v>
      </c>
      <c r="BH248" s="113">
        <v>0</v>
      </c>
      <c r="BI248" s="113">
        <v>0</v>
      </c>
      <c r="BJ248" s="113">
        <v>0</v>
      </c>
      <c r="BK248" s="113">
        <v>0</v>
      </c>
      <c r="BL248" s="113">
        <v>0</v>
      </c>
      <c r="BM248" s="113">
        <v>0</v>
      </c>
      <c r="BN248" s="113">
        <v>0</v>
      </c>
      <c r="BO248" s="113">
        <v>0</v>
      </c>
      <c r="BP248" s="113">
        <v>0</v>
      </c>
      <c r="BQ248" s="113">
        <v>0</v>
      </c>
      <c r="BR248" s="113">
        <v>0</v>
      </c>
      <c r="BS248" s="113">
        <v>0</v>
      </c>
      <c r="BT248" s="113">
        <v>0</v>
      </c>
      <c r="BU248" s="113">
        <v>0</v>
      </c>
      <c r="BV248" s="113">
        <v>0</v>
      </c>
      <c r="BW248" s="113"/>
      <c r="BX248" s="113"/>
      <c r="BY248" s="113"/>
      <c r="BZ248" s="113">
        <v>0</v>
      </c>
      <c r="CA248" s="113">
        <v>0</v>
      </c>
      <c r="CB248" s="113">
        <v>0</v>
      </c>
      <c r="CC248" s="113"/>
      <c r="CD248" s="113"/>
      <c r="CE248" s="113"/>
      <c r="CF248" s="113">
        <v>0</v>
      </c>
      <c r="CG248" s="113">
        <v>0</v>
      </c>
      <c r="CH248" s="113">
        <v>0</v>
      </c>
      <c r="CI248" s="113">
        <v>0</v>
      </c>
      <c r="CJ248" s="113">
        <v>0</v>
      </c>
      <c r="CK248" s="113">
        <v>0</v>
      </c>
      <c r="CL248" s="113">
        <v>0</v>
      </c>
      <c r="CM248" s="113">
        <v>0</v>
      </c>
      <c r="CN248" s="113">
        <v>0</v>
      </c>
      <c r="CO248" s="113">
        <v>0</v>
      </c>
      <c r="CP248" s="113">
        <v>0</v>
      </c>
      <c r="CQ248" s="113">
        <v>0</v>
      </c>
      <c r="CR248" s="113">
        <v>0</v>
      </c>
      <c r="CS248" s="113">
        <v>0</v>
      </c>
      <c r="CT248" s="113">
        <v>0</v>
      </c>
      <c r="CU248" s="113">
        <v>0</v>
      </c>
      <c r="CV248" s="113">
        <v>0</v>
      </c>
      <c r="CW248" s="113">
        <v>0</v>
      </c>
      <c r="CX248" s="113">
        <v>0</v>
      </c>
      <c r="CY248" s="113">
        <v>0</v>
      </c>
      <c r="CZ248" s="113">
        <v>0</v>
      </c>
      <c r="DA248" s="113">
        <v>0</v>
      </c>
      <c r="DB248" s="113">
        <v>0</v>
      </c>
      <c r="DC248" s="113">
        <v>0</v>
      </c>
      <c r="DD248" s="113">
        <v>0</v>
      </c>
      <c r="DE248" s="113">
        <v>0</v>
      </c>
      <c r="DF248" s="113">
        <v>0</v>
      </c>
      <c r="DG248" s="113">
        <v>0</v>
      </c>
      <c r="DH248" s="113">
        <v>0</v>
      </c>
      <c r="DI248" s="113">
        <v>0</v>
      </c>
      <c r="DJ248" s="113">
        <v>0</v>
      </c>
      <c r="DK248" s="113">
        <v>0</v>
      </c>
      <c r="DL248" s="113">
        <v>0</v>
      </c>
      <c r="DM248" s="113">
        <v>0</v>
      </c>
      <c r="DN248" s="113">
        <v>0</v>
      </c>
      <c r="DO248" s="113">
        <v>0</v>
      </c>
      <c r="DP248" s="113">
        <v>0</v>
      </c>
      <c r="DQ248" s="113">
        <v>0</v>
      </c>
      <c r="DR248" s="113">
        <v>0</v>
      </c>
      <c r="DS248" s="113">
        <v>0</v>
      </c>
      <c r="DT248" s="113">
        <v>0</v>
      </c>
      <c r="DU248" s="113">
        <v>0</v>
      </c>
      <c r="DV248" s="113">
        <v>0</v>
      </c>
      <c r="DW248" s="113">
        <v>0</v>
      </c>
      <c r="DX248" s="113">
        <v>0</v>
      </c>
      <c r="DY248" s="113">
        <v>0</v>
      </c>
      <c r="DZ248" s="113">
        <v>0</v>
      </c>
      <c r="EA248" s="113">
        <v>0</v>
      </c>
      <c r="EB248" s="113">
        <v>0</v>
      </c>
      <c r="EC248" s="113">
        <v>0</v>
      </c>
      <c r="ED248" s="113">
        <v>0</v>
      </c>
      <c r="EE248" s="113">
        <v>0</v>
      </c>
      <c r="EF248" s="113">
        <v>0</v>
      </c>
      <c r="EG248" s="113">
        <v>0</v>
      </c>
      <c r="EH248" s="113">
        <v>0</v>
      </c>
      <c r="EI248" s="113">
        <v>0</v>
      </c>
      <c r="EJ248" s="113">
        <v>0</v>
      </c>
      <c r="EK248" s="113">
        <v>0</v>
      </c>
      <c r="EL248" s="113">
        <v>0</v>
      </c>
      <c r="EM248" s="113">
        <v>0</v>
      </c>
      <c r="EN248" s="113">
        <v>0</v>
      </c>
      <c r="EO248" s="113">
        <v>0</v>
      </c>
      <c r="EP248" s="113">
        <v>0</v>
      </c>
      <c r="EQ248" s="113">
        <v>0</v>
      </c>
      <c r="ER248" s="113">
        <v>0</v>
      </c>
      <c r="ES248" s="113">
        <v>0</v>
      </c>
      <c r="ET248" s="113">
        <v>0</v>
      </c>
      <c r="EU248" s="113">
        <v>0</v>
      </c>
      <c r="EV248" s="113">
        <v>0</v>
      </c>
      <c r="EW248" s="113">
        <v>0</v>
      </c>
      <c r="EX248" s="113">
        <v>0</v>
      </c>
      <c r="EY248" s="113">
        <v>0</v>
      </c>
      <c r="EZ248" s="113">
        <v>0</v>
      </c>
      <c r="FA248" s="113">
        <v>0</v>
      </c>
      <c r="FB248" s="113">
        <v>0</v>
      </c>
      <c r="FC248" s="113">
        <v>0</v>
      </c>
      <c r="FD248" s="113">
        <v>0</v>
      </c>
      <c r="FE248" s="113">
        <v>0</v>
      </c>
      <c r="FF248" s="113">
        <v>0</v>
      </c>
      <c r="FG248" s="113">
        <v>0</v>
      </c>
      <c r="FH248" s="113">
        <v>0</v>
      </c>
      <c r="FI248" s="113">
        <v>0</v>
      </c>
      <c r="FJ248" s="113">
        <v>0</v>
      </c>
      <c r="FK248" s="113">
        <v>0</v>
      </c>
      <c r="FL248" s="113">
        <v>0</v>
      </c>
      <c r="FM248" s="113">
        <v>0</v>
      </c>
      <c r="FN248" s="113">
        <v>0</v>
      </c>
      <c r="FO248" s="113">
        <v>0</v>
      </c>
      <c r="FP248" s="113">
        <v>0</v>
      </c>
      <c r="FQ248" s="113">
        <v>0</v>
      </c>
      <c r="FR248" s="113">
        <v>0</v>
      </c>
      <c r="FS248" s="113">
        <v>0</v>
      </c>
      <c r="FT248" s="113">
        <v>0</v>
      </c>
      <c r="FU248" s="113">
        <v>0</v>
      </c>
      <c r="FV248" s="113">
        <v>0</v>
      </c>
      <c r="FW248" s="113">
        <v>0</v>
      </c>
      <c r="FX248" s="32">
        <v>0</v>
      </c>
      <c r="FY248" s="30">
        <v>0</v>
      </c>
      <c r="FZ248" s="30">
        <v>0</v>
      </c>
    </row>
    <row r="249" spans="1:182" x14ac:dyDescent="0.2">
      <c r="A249" s="28">
        <v>39142</v>
      </c>
      <c r="B249" s="28"/>
      <c r="C249" s="29">
        <v>240090</v>
      </c>
      <c r="D249" s="29">
        <v>247377</v>
      </c>
      <c r="E249" s="29">
        <f t="shared" si="6"/>
        <v>487467</v>
      </c>
      <c r="F249" s="30">
        <v>6714951</v>
      </c>
      <c r="G249" s="30">
        <v>126095</v>
      </c>
      <c r="H249" s="30">
        <f t="shared" si="7"/>
        <v>6841046</v>
      </c>
      <c r="I249" s="42" t="s">
        <v>75</v>
      </c>
      <c r="J249" s="42" t="s">
        <v>75</v>
      </c>
      <c r="K249" s="32">
        <v>6553239</v>
      </c>
      <c r="L249" s="31" t="s">
        <v>75</v>
      </c>
      <c r="M249" s="31" t="s">
        <v>75</v>
      </c>
      <c r="N249" s="30">
        <v>16962408</v>
      </c>
      <c r="O249" s="31" t="s">
        <v>75</v>
      </c>
      <c r="P249" s="31" t="s">
        <v>75</v>
      </c>
      <c r="Q249" s="30">
        <v>20805614</v>
      </c>
      <c r="R249" s="31" t="s">
        <v>75</v>
      </c>
      <c r="S249" s="31" t="s">
        <v>75</v>
      </c>
      <c r="T249" s="32">
        <v>153614</v>
      </c>
      <c r="U249" s="31" t="s">
        <v>75</v>
      </c>
      <c r="V249" s="31" t="s">
        <v>75</v>
      </c>
      <c r="W249" s="30">
        <v>34815</v>
      </c>
      <c r="X249" s="31" t="s">
        <v>75</v>
      </c>
      <c r="Y249" s="31" t="s">
        <v>75</v>
      </c>
      <c r="Z249" s="30">
        <v>48613</v>
      </c>
      <c r="AA249" s="31" t="s">
        <v>75</v>
      </c>
      <c r="AB249" s="31" t="s">
        <v>75</v>
      </c>
      <c r="AC249" s="30">
        <v>149681</v>
      </c>
      <c r="AD249" s="31" t="s">
        <v>75</v>
      </c>
      <c r="AE249" s="31" t="s">
        <v>75</v>
      </c>
      <c r="AF249" s="30">
        <v>11840</v>
      </c>
      <c r="AG249" s="42" t="s">
        <v>75</v>
      </c>
      <c r="AH249" s="42" t="s">
        <v>75</v>
      </c>
      <c r="AI249" s="32">
        <v>39662</v>
      </c>
      <c r="AJ249" s="31" t="s">
        <v>75</v>
      </c>
      <c r="AK249" s="31" t="s">
        <v>75</v>
      </c>
      <c r="AL249" s="31" t="s">
        <v>75</v>
      </c>
      <c r="AM249" s="31"/>
      <c r="AN249" s="31"/>
      <c r="AO249" s="31"/>
      <c r="AP249" s="31"/>
      <c r="AQ249" s="31"/>
      <c r="AR249" s="31"/>
      <c r="AS249" s="31" t="s">
        <v>75</v>
      </c>
      <c r="AT249" s="31" t="s">
        <v>75</v>
      </c>
      <c r="AU249" s="31" t="s">
        <v>75</v>
      </c>
      <c r="AV249" s="31" t="s">
        <v>75</v>
      </c>
      <c r="AW249" s="31" t="s">
        <v>75</v>
      </c>
      <c r="AX249" s="31" t="s">
        <v>75</v>
      </c>
      <c r="AY249" s="31" t="s">
        <v>75</v>
      </c>
      <c r="AZ249" s="31" t="s">
        <v>75</v>
      </c>
      <c r="BA249" s="29">
        <v>14453006</v>
      </c>
      <c r="BB249" s="31" t="s">
        <v>75</v>
      </c>
      <c r="BC249" s="31" t="s">
        <v>75</v>
      </c>
      <c r="BD249" s="29">
        <v>2009889</v>
      </c>
      <c r="BE249" s="113">
        <v>0</v>
      </c>
      <c r="BF249" s="113">
        <v>0</v>
      </c>
      <c r="BG249" s="113">
        <v>0</v>
      </c>
      <c r="BH249" s="113">
        <v>0</v>
      </c>
      <c r="BI249" s="113">
        <v>0</v>
      </c>
      <c r="BJ249" s="113">
        <v>0</v>
      </c>
      <c r="BK249" s="113">
        <v>0</v>
      </c>
      <c r="BL249" s="113">
        <v>0</v>
      </c>
      <c r="BM249" s="113">
        <v>0</v>
      </c>
      <c r="BN249" s="113">
        <v>0</v>
      </c>
      <c r="BO249" s="113">
        <v>0</v>
      </c>
      <c r="BP249" s="113">
        <v>0</v>
      </c>
      <c r="BQ249" s="113">
        <v>0</v>
      </c>
      <c r="BR249" s="113">
        <v>0</v>
      </c>
      <c r="BS249" s="113">
        <v>0</v>
      </c>
      <c r="BT249" s="113">
        <v>0</v>
      </c>
      <c r="BU249" s="113">
        <v>0</v>
      </c>
      <c r="BV249" s="113">
        <v>0</v>
      </c>
      <c r="BW249" s="113"/>
      <c r="BX249" s="113"/>
      <c r="BY249" s="113"/>
      <c r="BZ249" s="113">
        <v>0</v>
      </c>
      <c r="CA249" s="113">
        <v>0</v>
      </c>
      <c r="CB249" s="113">
        <v>0</v>
      </c>
      <c r="CC249" s="113"/>
      <c r="CD249" s="113"/>
      <c r="CE249" s="113"/>
      <c r="CF249" s="113">
        <v>0</v>
      </c>
      <c r="CG249" s="113">
        <v>0</v>
      </c>
      <c r="CH249" s="113">
        <v>0</v>
      </c>
      <c r="CI249" s="113">
        <v>0</v>
      </c>
      <c r="CJ249" s="113">
        <v>0</v>
      </c>
      <c r="CK249" s="113">
        <v>0</v>
      </c>
      <c r="CL249" s="113">
        <v>0</v>
      </c>
      <c r="CM249" s="113">
        <v>0</v>
      </c>
      <c r="CN249" s="113">
        <v>0</v>
      </c>
      <c r="CO249" s="113">
        <v>0</v>
      </c>
      <c r="CP249" s="113">
        <v>0</v>
      </c>
      <c r="CQ249" s="113">
        <v>0</v>
      </c>
      <c r="CR249" s="113">
        <v>0</v>
      </c>
      <c r="CS249" s="113">
        <v>0</v>
      </c>
      <c r="CT249" s="113">
        <v>0</v>
      </c>
      <c r="CU249" s="113">
        <v>0</v>
      </c>
      <c r="CV249" s="113">
        <v>0</v>
      </c>
      <c r="CW249" s="113">
        <v>0</v>
      </c>
      <c r="CX249" s="113">
        <v>0</v>
      </c>
      <c r="CY249" s="113">
        <v>0</v>
      </c>
      <c r="CZ249" s="113">
        <v>0</v>
      </c>
      <c r="DA249" s="113">
        <v>0</v>
      </c>
      <c r="DB249" s="113">
        <v>0</v>
      </c>
      <c r="DC249" s="113">
        <v>0</v>
      </c>
      <c r="DD249" s="113">
        <v>0</v>
      </c>
      <c r="DE249" s="113">
        <v>0</v>
      </c>
      <c r="DF249" s="113">
        <v>0</v>
      </c>
      <c r="DG249" s="113">
        <v>0</v>
      </c>
      <c r="DH249" s="113">
        <v>0</v>
      </c>
      <c r="DI249" s="113">
        <v>0</v>
      </c>
      <c r="DJ249" s="113">
        <v>0</v>
      </c>
      <c r="DK249" s="113">
        <v>0</v>
      </c>
      <c r="DL249" s="113">
        <v>0</v>
      </c>
      <c r="DM249" s="113">
        <v>0</v>
      </c>
      <c r="DN249" s="113">
        <v>0</v>
      </c>
      <c r="DO249" s="113">
        <v>0</v>
      </c>
      <c r="DP249" s="113">
        <v>0</v>
      </c>
      <c r="DQ249" s="113">
        <v>0</v>
      </c>
      <c r="DR249" s="113">
        <v>0</v>
      </c>
      <c r="DS249" s="113">
        <v>0</v>
      </c>
      <c r="DT249" s="113">
        <v>0</v>
      </c>
      <c r="DU249" s="113">
        <v>0</v>
      </c>
      <c r="DV249" s="113">
        <v>0</v>
      </c>
      <c r="DW249" s="113">
        <v>0</v>
      </c>
      <c r="DX249" s="113">
        <v>0</v>
      </c>
      <c r="DY249" s="113">
        <v>0</v>
      </c>
      <c r="DZ249" s="113">
        <v>0</v>
      </c>
      <c r="EA249" s="113">
        <v>0</v>
      </c>
      <c r="EB249" s="113">
        <v>0</v>
      </c>
      <c r="EC249" s="113">
        <v>0</v>
      </c>
      <c r="ED249" s="113">
        <v>0</v>
      </c>
      <c r="EE249" s="113">
        <v>0</v>
      </c>
      <c r="EF249" s="113">
        <v>0</v>
      </c>
      <c r="EG249" s="113">
        <v>0</v>
      </c>
      <c r="EH249" s="113">
        <v>0</v>
      </c>
      <c r="EI249" s="113">
        <v>0</v>
      </c>
      <c r="EJ249" s="113">
        <v>0</v>
      </c>
      <c r="EK249" s="113">
        <v>0</v>
      </c>
      <c r="EL249" s="113">
        <v>0</v>
      </c>
      <c r="EM249" s="113">
        <v>0</v>
      </c>
      <c r="EN249" s="113">
        <v>0</v>
      </c>
      <c r="EO249" s="113">
        <v>0</v>
      </c>
      <c r="EP249" s="113">
        <v>0</v>
      </c>
      <c r="EQ249" s="113">
        <v>0</v>
      </c>
      <c r="ER249" s="113">
        <v>0</v>
      </c>
      <c r="ES249" s="113">
        <v>0</v>
      </c>
      <c r="ET249" s="113">
        <v>0</v>
      </c>
      <c r="EU249" s="113">
        <v>0</v>
      </c>
      <c r="EV249" s="113">
        <v>0</v>
      </c>
      <c r="EW249" s="113">
        <v>0</v>
      </c>
      <c r="EX249" s="113">
        <v>0</v>
      </c>
      <c r="EY249" s="113">
        <v>0</v>
      </c>
      <c r="EZ249" s="113">
        <v>0</v>
      </c>
      <c r="FA249" s="113">
        <v>0</v>
      </c>
      <c r="FB249" s="113">
        <v>0</v>
      </c>
      <c r="FC249" s="113">
        <v>0</v>
      </c>
      <c r="FD249" s="113">
        <v>0</v>
      </c>
      <c r="FE249" s="113">
        <v>0</v>
      </c>
      <c r="FF249" s="113">
        <v>0</v>
      </c>
      <c r="FG249" s="113">
        <v>0</v>
      </c>
      <c r="FH249" s="113">
        <v>0</v>
      </c>
      <c r="FI249" s="113">
        <v>0</v>
      </c>
      <c r="FJ249" s="113">
        <v>0</v>
      </c>
      <c r="FK249" s="113">
        <v>0</v>
      </c>
      <c r="FL249" s="113">
        <v>0</v>
      </c>
      <c r="FM249" s="113">
        <v>0</v>
      </c>
      <c r="FN249" s="113">
        <v>0</v>
      </c>
      <c r="FO249" s="113">
        <v>0</v>
      </c>
      <c r="FP249" s="113">
        <v>0</v>
      </c>
      <c r="FQ249" s="113">
        <v>0</v>
      </c>
      <c r="FR249" s="113">
        <v>0</v>
      </c>
      <c r="FS249" s="113">
        <v>0</v>
      </c>
      <c r="FT249" s="113">
        <v>0</v>
      </c>
      <c r="FU249" s="113">
        <v>0</v>
      </c>
      <c r="FV249" s="113">
        <v>0</v>
      </c>
      <c r="FW249" s="113">
        <v>0</v>
      </c>
      <c r="FX249" s="32">
        <v>0</v>
      </c>
      <c r="FY249" s="30">
        <v>0</v>
      </c>
      <c r="FZ249" s="30">
        <v>0</v>
      </c>
    </row>
    <row r="250" spans="1:182" x14ac:dyDescent="0.2">
      <c r="A250" s="28">
        <v>39173</v>
      </c>
      <c r="B250" s="28"/>
      <c r="C250" s="29">
        <v>208634</v>
      </c>
      <c r="D250" s="29">
        <v>222164</v>
      </c>
      <c r="E250" s="29">
        <f t="shared" si="6"/>
        <v>430798</v>
      </c>
      <c r="F250" s="30">
        <v>4391758</v>
      </c>
      <c r="G250" s="30">
        <v>136592</v>
      </c>
      <c r="H250" s="30">
        <f t="shared" si="7"/>
        <v>4528350</v>
      </c>
      <c r="I250" s="42" t="s">
        <v>75</v>
      </c>
      <c r="J250" s="42" t="s">
        <v>75</v>
      </c>
      <c r="K250" s="32">
        <v>5267909</v>
      </c>
      <c r="L250" s="31" t="s">
        <v>75</v>
      </c>
      <c r="M250" s="31" t="s">
        <v>75</v>
      </c>
      <c r="N250" s="30">
        <v>14383982</v>
      </c>
      <c r="O250" s="31" t="s">
        <v>75</v>
      </c>
      <c r="P250" s="31" t="s">
        <v>75</v>
      </c>
      <c r="Q250" s="30">
        <v>14488753</v>
      </c>
      <c r="R250" s="31" t="s">
        <v>75</v>
      </c>
      <c r="S250" s="31" t="s">
        <v>75</v>
      </c>
      <c r="T250" s="32">
        <v>136382</v>
      </c>
      <c r="U250" s="31" t="s">
        <v>75</v>
      </c>
      <c r="V250" s="31" t="s">
        <v>75</v>
      </c>
      <c r="W250" s="30">
        <v>38576</v>
      </c>
      <c r="X250" s="31" t="s">
        <v>75</v>
      </c>
      <c r="Y250" s="31" t="s">
        <v>75</v>
      </c>
      <c r="Z250" s="30">
        <v>68803</v>
      </c>
      <c r="AA250" s="31" t="s">
        <v>75</v>
      </c>
      <c r="AB250" s="31" t="s">
        <v>75</v>
      </c>
      <c r="AC250" s="30">
        <v>130463</v>
      </c>
      <c r="AD250" s="31" t="s">
        <v>75</v>
      </c>
      <c r="AE250" s="31" t="s">
        <v>75</v>
      </c>
      <c r="AF250" s="30">
        <v>5092</v>
      </c>
      <c r="AG250" s="42" t="s">
        <v>75</v>
      </c>
      <c r="AH250" s="42" t="s">
        <v>75</v>
      </c>
      <c r="AI250" s="32">
        <v>34541</v>
      </c>
      <c r="AJ250" s="31" t="s">
        <v>75</v>
      </c>
      <c r="AK250" s="31" t="s">
        <v>75</v>
      </c>
      <c r="AL250" s="31" t="s">
        <v>75</v>
      </c>
      <c r="AM250" s="31"/>
      <c r="AN250" s="31"/>
      <c r="AO250" s="31"/>
      <c r="AP250" s="31"/>
      <c r="AQ250" s="31"/>
      <c r="AR250" s="31"/>
      <c r="AS250" s="31" t="s">
        <v>75</v>
      </c>
      <c r="AT250" s="31" t="s">
        <v>75</v>
      </c>
      <c r="AU250" s="31" t="s">
        <v>75</v>
      </c>
      <c r="AV250" s="31" t="s">
        <v>75</v>
      </c>
      <c r="AW250" s="31" t="s">
        <v>75</v>
      </c>
      <c r="AX250" s="31" t="s">
        <v>75</v>
      </c>
      <c r="AY250" s="31" t="s">
        <v>75</v>
      </c>
      <c r="AZ250" s="31" t="s">
        <v>75</v>
      </c>
      <c r="BA250" s="29">
        <v>9550290</v>
      </c>
      <c r="BB250" s="31" t="s">
        <v>75</v>
      </c>
      <c r="BC250" s="31" t="s">
        <v>75</v>
      </c>
      <c r="BD250" s="29">
        <v>1232120</v>
      </c>
      <c r="BE250" s="113">
        <v>0</v>
      </c>
      <c r="BF250" s="113">
        <v>0</v>
      </c>
      <c r="BG250" s="113">
        <v>0</v>
      </c>
      <c r="BH250" s="113">
        <v>0</v>
      </c>
      <c r="BI250" s="113">
        <v>0</v>
      </c>
      <c r="BJ250" s="113">
        <v>0</v>
      </c>
      <c r="BK250" s="113">
        <v>0</v>
      </c>
      <c r="BL250" s="113">
        <v>0</v>
      </c>
      <c r="BM250" s="113">
        <v>0</v>
      </c>
      <c r="BN250" s="113">
        <v>0</v>
      </c>
      <c r="BO250" s="113">
        <v>0</v>
      </c>
      <c r="BP250" s="113">
        <v>0</v>
      </c>
      <c r="BQ250" s="113">
        <v>0</v>
      </c>
      <c r="BR250" s="113">
        <v>0</v>
      </c>
      <c r="BS250" s="113">
        <v>0</v>
      </c>
      <c r="BT250" s="113">
        <v>0</v>
      </c>
      <c r="BU250" s="113">
        <v>0</v>
      </c>
      <c r="BV250" s="113">
        <v>0</v>
      </c>
      <c r="BW250" s="113"/>
      <c r="BX250" s="113"/>
      <c r="BY250" s="113"/>
      <c r="BZ250" s="113">
        <v>0</v>
      </c>
      <c r="CA250" s="113">
        <v>0</v>
      </c>
      <c r="CB250" s="113">
        <v>0</v>
      </c>
      <c r="CC250" s="113"/>
      <c r="CD250" s="113"/>
      <c r="CE250" s="113"/>
      <c r="CF250" s="113">
        <v>0</v>
      </c>
      <c r="CG250" s="113">
        <v>0</v>
      </c>
      <c r="CH250" s="113">
        <v>0</v>
      </c>
      <c r="CI250" s="113">
        <v>0</v>
      </c>
      <c r="CJ250" s="113">
        <v>0</v>
      </c>
      <c r="CK250" s="113">
        <v>0</v>
      </c>
      <c r="CL250" s="113">
        <v>0</v>
      </c>
      <c r="CM250" s="113">
        <v>0</v>
      </c>
      <c r="CN250" s="113">
        <v>0</v>
      </c>
      <c r="CO250" s="113">
        <v>0</v>
      </c>
      <c r="CP250" s="113">
        <v>0</v>
      </c>
      <c r="CQ250" s="113">
        <v>0</v>
      </c>
      <c r="CR250" s="113">
        <v>0</v>
      </c>
      <c r="CS250" s="113">
        <v>0</v>
      </c>
      <c r="CT250" s="113">
        <v>0</v>
      </c>
      <c r="CU250" s="113">
        <v>0</v>
      </c>
      <c r="CV250" s="113">
        <v>0</v>
      </c>
      <c r="CW250" s="113">
        <v>0</v>
      </c>
      <c r="CX250" s="113">
        <v>0</v>
      </c>
      <c r="CY250" s="113">
        <v>0</v>
      </c>
      <c r="CZ250" s="113">
        <v>0</v>
      </c>
      <c r="DA250" s="113">
        <v>0</v>
      </c>
      <c r="DB250" s="113">
        <v>0</v>
      </c>
      <c r="DC250" s="113">
        <v>0</v>
      </c>
      <c r="DD250" s="113">
        <v>0</v>
      </c>
      <c r="DE250" s="113">
        <v>0</v>
      </c>
      <c r="DF250" s="113">
        <v>0</v>
      </c>
      <c r="DG250" s="113">
        <v>0</v>
      </c>
      <c r="DH250" s="113">
        <v>0</v>
      </c>
      <c r="DI250" s="113">
        <v>0</v>
      </c>
      <c r="DJ250" s="113">
        <v>0</v>
      </c>
      <c r="DK250" s="113">
        <v>0</v>
      </c>
      <c r="DL250" s="113">
        <v>0</v>
      </c>
      <c r="DM250" s="113">
        <v>0</v>
      </c>
      <c r="DN250" s="113">
        <v>0</v>
      </c>
      <c r="DO250" s="113">
        <v>0</v>
      </c>
      <c r="DP250" s="113">
        <v>0</v>
      </c>
      <c r="DQ250" s="113">
        <v>0</v>
      </c>
      <c r="DR250" s="113">
        <v>0</v>
      </c>
      <c r="DS250" s="113">
        <v>0</v>
      </c>
      <c r="DT250" s="113">
        <v>0</v>
      </c>
      <c r="DU250" s="113">
        <v>0</v>
      </c>
      <c r="DV250" s="113">
        <v>0</v>
      </c>
      <c r="DW250" s="113">
        <v>0</v>
      </c>
      <c r="DX250" s="113">
        <v>0</v>
      </c>
      <c r="DY250" s="113">
        <v>0</v>
      </c>
      <c r="DZ250" s="113">
        <v>0</v>
      </c>
      <c r="EA250" s="113">
        <v>0</v>
      </c>
      <c r="EB250" s="113">
        <v>0</v>
      </c>
      <c r="EC250" s="113">
        <v>0</v>
      </c>
      <c r="ED250" s="113">
        <v>0</v>
      </c>
      <c r="EE250" s="113">
        <v>0</v>
      </c>
      <c r="EF250" s="113">
        <v>0</v>
      </c>
      <c r="EG250" s="113">
        <v>0</v>
      </c>
      <c r="EH250" s="113">
        <v>0</v>
      </c>
      <c r="EI250" s="113">
        <v>0</v>
      </c>
      <c r="EJ250" s="113">
        <v>0</v>
      </c>
      <c r="EK250" s="113">
        <v>0</v>
      </c>
      <c r="EL250" s="113">
        <v>0</v>
      </c>
      <c r="EM250" s="113">
        <v>0</v>
      </c>
      <c r="EN250" s="113">
        <v>0</v>
      </c>
      <c r="EO250" s="113">
        <v>0</v>
      </c>
      <c r="EP250" s="113">
        <v>0</v>
      </c>
      <c r="EQ250" s="113">
        <v>0</v>
      </c>
      <c r="ER250" s="113">
        <v>0</v>
      </c>
      <c r="ES250" s="113">
        <v>0</v>
      </c>
      <c r="ET250" s="113">
        <v>0</v>
      </c>
      <c r="EU250" s="113">
        <v>0</v>
      </c>
      <c r="EV250" s="113">
        <v>0</v>
      </c>
      <c r="EW250" s="113">
        <v>0</v>
      </c>
      <c r="EX250" s="113">
        <v>0</v>
      </c>
      <c r="EY250" s="113">
        <v>0</v>
      </c>
      <c r="EZ250" s="113">
        <v>0</v>
      </c>
      <c r="FA250" s="113">
        <v>0</v>
      </c>
      <c r="FB250" s="113">
        <v>0</v>
      </c>
      <c r="FC250" s="113">
        <v>0</v>
      </c>
      <c r="FD250" s="113">
        <v>0</v>
      </c>
      <c r="FE250" s="113">
        <v>0</v>
      </c>
      <c r="FF250" s="113">
        <v>0</v>
      </c>
      <c r="FG250" s="113">
        <v>0</v>
      </c>
      <c r="FH250" s="113">
        <v>0</v>
      </c>
      <c r="FI250" s="113">
        <v>0</v>
      </c>
      <c r="FJ250" s="113">
        <v>0</v>
      </c>
      <c r="FK250" s="113">
        <v>0</v>
      </c>
      <c r="FL250" s="113">
        <v>0</v>
      </c>
      <c r="FM250" s="113">
        <v>0</v>
      </c>
      <c r="FN250" s="113">
        <v>0</v>
      </c>
      <c r="FO250" s="113">
        <v>0</v>
      </c>
      <c r="FP250" s="113">
        <v>0</v>
      </c>
      <c r="FQ250" s="113">
        <v>0</v>
      </c>
      <c r="FR250" s="113">
        <v>0</v>
      </c>
      <c r="FS250" s="113">
        <v>0</v>
      </c>
      <c r="FT250" s="113">
        <v>0</v>
      </c>
      <c r="FU250" s="113">
        <v>0</v>
      </c>
      <c r="FV250" s="113">
        <v>0</v>
      </c>
      <c r="FW250" s="113">
        <v>0</v>
      </c>
      <c r="FX250" s="32">
        <v>0</v>
      </c>
      <c r="FY250" s="30">
        <v>0</v>
      </c>
      <c r="FZ250" s="30">
        <v>0</v>
      </c>
    </row>
    <row r="251" spans="1:182" x14ac:dyDescent="0.2">
      <c r="A251" s="28">
        <v>39203</v>
      </c>
      <c r="B251" s="28"/>
      <c r="C251" s="29">
        <v>230807</v>
      </c>
      <c r="D251" s="29">
        <v>189800</v>
      </c>
      <c r="E251" s="29">
        <f t="shared" si="6"/>
        <v>420607</v>
      </c>
      <c r="F251" s="30">
        <v>3161549</v>
      </c>
      <c r="G251" s="30">
        <v>61301</v>
      </c>
      <c r="H251" s="30">
        <f t="shared" si="7"/>
        <v>3222850</v>
      </c>
      <c r="I251" s="42" t="s">
        <v>75</v>
      </c>
      <c r="J251" s="42" t="s">
        <v>75</v>
      </c>
      <c r="K251" s="32">
        <v>4703635</v>
      </c>
      <c r="L251" s="31" t="s">
        <v>75</v>
      </c>
      <c r="M251" s="31" t="s">
        <v>75</v>
      </c>
      <c r="N251" s="30">
        <v>13404986</v>
      </c>
      <c r="O251" s="31" t="s">
        <v>75</v>
      </c>
      <c r="P251" s="31" t="s">
        <v>75</v>
      </c>
      <c r="Q251" s="30">
        <v>12300164</v>
      </c>
      <c r="R251" s="31" t="s">
        <v>75</v>
      </c>
      <c r="S251" s="31" t="s">
        <v>75</v>
      </c>
      <c r="T251" s="32">
        <v>151687</v>
      </c>
      <c r="U251" s="31" t="s">
        <v>75</v>
      </c>
      <c r="V251" s="31" t="s">
        <v>75</v>
      </c>
      <c r="W251" s="30">
        <v>21297</v>
      </c>
      <c r="X251" s="31" t="s">
        <v>75</v>
      </c>
      <c r="Y251" s="31" t="s">
        <v>75</v>
      </c>
      <c r="Z251" s="30">
        <v>58413</v>
      </c>
      <c r="AA251" s="31" t="s">
        <v>75</v>
      </c>
      <c r="AB251" s="31" t="s">
        <v>75</v>
      </c>
      <c r="AC251" s="30">
        <v>124835</v>
      </c>
      <c r="AD251" s="31" t="s">
        <v>75</v>
      </c>
      <c r="AE251" s="31" t="s">
        <v>75</v>
      </c>
      <c r="AF251" s="30">
        <v>9085</v>
      </c>
      <c r="AG251" s="42" t="s">
        <v>75</v>
      </c>
      <c r="AH251" s="42" t="s">
        <v>75</v>
      </c>
      <c r="AI251" s="32">
        <v>26004</v>
      </c>
      <c r="AJ251" s="31" t="s">
        <v>75</v>
      </c>
      <c r="AK251" s="31" t="s">
        <v>75</v>
      </c>
      <c r="AL251" s="31" t="s">
        <v>75</v>
      </c>
      <c r="AM251" s="31"/>
      <c r="AN251" s="31"/>
      <c r="AO251" s="31"/>
      <c r="AP251" s="31"/>
      <c r="AQ251" s="31"/>
      <c r="AR251" s="31"/>
      <c r="AS251" s="31" t="s">
        <v>75</v>
      </c>
      <c r="AT251" s="31" t="s">
        <v>75</v>
      </c>
      <c r="AU251" s="31" t="s">
        <v>75</v>
      </c>
      <c r="AV251" s="31" t="s">
        <v>75</v>
      </c>
      <c r="AW251" s="31" t="s">
        <v>75</v>
      </c>
      <c r="AX251" s="31" t="s">
        <v>75</v>
      </c>
      <c r="AY251" s="31" t="s">
        <v>75</v>
      </c>
      <c r="AZ251" s="31" t="s">
        <v>75</v>
      </c>
      <c r="BA251" s="29">
        <v>11049209</v>
      </c>
      <c r="BB251" s="31" t="s">
        <v>75</v>
      </c>
      <c r="BC251" s="31" t="s">
        <v>75</v>
      </c>
      <c r="BD251" s="29">
        <v>1679121</v>
      </c>
      <c r="BE251" s="113">
        <v>0</v>
      </c>
      <c r="BF251" s="113">
        <v>0</v>
      </c>
      <c r="BG251" s="113">
        <v>0</v>
      </c>
      <c r="BH251" s="113">
        <v>0</v>
      </c>
      <c r="BI251" s="113">
        <v>0</v>
      </c>
      <c r="BJ251" s="113">
        <v>0</v>
      </c>
      <c r="BK251" s="113">
        <v>0</v>
      </c>
      <c r="BL251" s="113">
        <v>0</v>
      </c>
      <c r="BM251" s="113">
        <v>0</v>
      </c>
      <c r="BN251" s="113">
        <v>0</v>
      </c>
      <c r="BO251" s="113">
        <v>0</v>
      </c>
      <c r="BP251" s="113">
        <v>0</v>
      </c>
      <c r="BQ251" s="113">
        <v>0</v>
      </c>
      <c r="BR251" s="113">
        <v>0</v>
      </c>
      <c r="BS251" s="113">
        <v>0</v>
      </c>
      <c r="BT251" s="113">
        <v>0</v>
      </c>
      <c r="BU251" s="113">
        <v>0</v>
      </c>
      <c r="BV251" s="113">
        <v>0</v>
      </c>
      <c r="BW251" s="113"/>
      <c r="BX251" s="113"/>
      <c r="BY251" s="113"/>
      <c r="BZ251" s="113">
        <v>0</v>
      </c>
      <c r="CA251" s="113">
        <v>0</v>
      </c>
      <c r="CB251" s="113">
        <v>0</v>
      </c>
      <c r="CC251" s="113"/>
      <c r="CD251" s="113"/>
      <c r="CE251" s="113"/>
      <c r="CF251" s="113">
        <v>0</v>
      </c>
      <c r="CG251" s="113">
        <v>0</v>
      </c>
      <c r="CH251" s="113">
        <v>0</v>
      </c>
      <c r="CI251" s="113">
        <v>0</v>
      </c>
      <c r="CJ251" s="113">
        <v>0</v>
      </c>
      <c r="CK251" s="113">
        <v>0</v>
      </c>
      <c r="CL251" s="113">
        <v>0</v>
      </c>
      <c r="CM251" s="113">
        <v>0</v>
      </c>
      <c r="CN251" s="113">
        <v>0</v>
      </c>
      <c r="CO251" s="113">
        <v>0</v>
      </c>
      <c r="CP251" s="113">
        <v>0</v>
      </c>
      <c r="CQ251" s="113">
        <v>0</v>
      </c>
      <c r="CR251" s="113">
        <v>0</v>
      </c>
      <c r="CS251" s="113">
        <v>0</v>
      </c>
      <c r="CT251" s="113">
        <v>0</v>
      </c>
      <c r="CU251" s="113">
        <v>0</v>
      </c>
      <c r="CV251" s="113">
        <v>0</v>
      </c>
      <c r="CW251" s="113">
        <v>0</v>
      </c>
      <c r="CX251" s="113">
        <v>0</v>
      </c>
      <c r="CY251" s="113">
        <v>0</v>
      </c>
      <c r="CZ251" s="113">
        <v>0</v>
      </c>
      <c r="DA251" s="113">
        <v>0</v>
      </c>
      <c r="DB251" s="113">
        <v>0</v>
      </c>
      <c r="DC251" s="113">
        <v>0</v>
      </c>
      <c r="DD251" s="113">
        <v>0</v>
      </c>
      <c r="DE251" s="113">
        <v>0</v>
      </c>
      <c r="DF251" s="113">
        <v>0</v>
      </c>
      <c r="DG251" s="113">
        <v>0</v>
      </c>
      <c r="DH251" s="113">
        <v>0</v>
      </c>
      <c r="DI251" s="113">
        <v>0</v>
      </c>
      <c r="DJ251" s="113">
        <v>0</v>
      </c>
      <c r="DK251" s="113">
        <v>0</v>
      </c>
      <c r="DL251" s="113">
        <v>0</v>
      </c>
      <c r="DM251" s="113">
        <v>0</v>
      </c>
      <c r="DN251" s="113">
        <v>0</v>
      </c>
      <c r="DO251" s="113">
        <v>0</v>
      </c>
      <c r="DP251" s="113">
        <v>0</v>
      </c>
      <c r="DQ251" s="113">
        <v>0</v>
      </c>
      <c r="DR251" s="113">
        <v>0</v>
      </c>
      <c r="DS251" s="113">
        <v>0</v>
      </c>
      <c r="DT251" s="113">
        <v>0</v>
      </c>
      <c r="DU251" s="113">
        <v>0</v>
      </c>
      <c r="DV251" s="113">
        <v>0</v>
      </c>
      <c r="DW251" s="113">
        <v>0</v>
      </c>
      <c r="DX251" s="113">
        <v>0</v>
      </c>
      <c r="DY251" s="113">
        <v>0</v>
      </c>
      <c r="DZ251" s="113">
        <v>0</v>
      </c>
      <c r="EA251" s="113">
        <v>0</v>
      </c>
      <c r="EB251" s="113">
        <v>0</v>
      </c>
      <c r="EC251" s="113">
        <v>0</v>
      </c>
      <c r="ED251" s="113">
        <v>0</v>
      </c>
      <c r="EE251" s="113">
        <v>0</v>
      </c>
      <c r="EF251" s="113">
        <v>0</v>
      </c>
      <c r="EG251" s="113">
        <v>0</v>
      </c>
      <c r="EH251" s="113">
        <v>0</v>
      </c>
      <c r="EI251" s="113">
        <v>0</v>
      </c>
      <c r="EJ251" s="113">
        <v>0</v>
      </c>
      <c r="EK251" s="113">
        <v>0</v>
      </c>
      <c r="EL251" s="113">
        <v>0</v>
      </c>
      <c r="EM251" s="113">
        <v>0</v>
      </c>
      <c r="EN251" s="113">
        <v>0</v>
      </c>
      <c r="EO251" s="113">
        <v>0</v>
      </c>
      <c r="EP251" s="113">
        <v>0</v>
      </c>
      <c r="EQ251" s="113">
        <v>0</v>
      </c>
      <c r="ER251" s="113">
        <v>0</v>
      </c>
      <c r="ES251" s="113">
        <v>0</v>
      </c>
      <c r="ET251" s="113">
        <v>0</v>
      </c>
      <c r="EU251" s="113">
        <v>0</v>
      </c>
      <c r="EV251" s="113">
        <v>0</v>
      </c>
      <c r="EW251" s="113">
        <v>0</v>
      </c>
      <c r="EX251" s="113">
        <v>0</v>
      </c>
      <c r="EY251" s="113">
        <v>0</v>
      </c>
      <c r="EZ251" s="113">
        <v>0</v>
      </c>
      <c r="FA251" s="113">
        <v>0</v>
      </c>
      <c r="FB251" s="113">
        <v>0</v>
      </c>
      <c r="FC251" s="113">
        <v>0</v>
      </c>
      <c r="FD251" s="113">
        <v>0</v>
      </c>
      <c r="FE251" s="113">
        <v>0</v>
      </c>
      <c r="FF251" s="113">
        <v>0</v>
      </c>
      <c r="FG251" s="113">
        <v>0</v>
      </c>
      <c r="FH251" s="113">
        <v>0</v>
      </c>
      <c r="FI251" s="113">
        <v>0</v>
      </c>
      <c r="FJ251" s="113">
        <v>0</v>
      </c>
      <c r="FK251" s="113">
        <v>0</v>
      </c>
      <c r="FL251" s="113">
        <v>0</v>
      </c>
      <c r="FM251" s="113">
        <v>0</v>
      </c>
      <c r="FN251" s="113">
        <v>0</v>
      </c>
      <c r="FO251" s="113">
        <v>0</v>
      </c>
      <c r="FP251" s="113">
        <v>0</v>
      </c>
      <c r="FQ251" s="113">
        <v>0</v>
      </c>
      <c r="FR251" s="113">
        <v>0</v>
      </c>
      <c r="FS251" s="113">
        <v>0</v>
      </c>
      <c r="FT251" s="113">
        <v>0</v>
      </c>
      <c r="FU251" s="113">
        <v>0</v>
      </c>
      <c r="FV251" s="113">
        <v>0</v>
      </c>
      <c r="FW251" s="113">
        <v>0</v>
      </c>
      <c r="FX251" s="32">
        <v>0</v>
      </c>
      <c r="FY251" s="30">
        <v>0</v>
      </c>
      <c r="FZ251" s="30">
        <v>0</v>
      </c>
    </row>
    <row r="252" spans="1:182" x14ac:dyDescent="0.2">
      <c r="A252" s="28">
        <v>39234</v>
      </c>
      <c r="B252" s="28"/>
      <c r="C252" s="29">
        <v>216243</v>
      </c>
      <c r="D252" s="29">
        <v>218547</v>
      </c>
      <c r="E252" s="29">
        <f t="shared" si="6"/>
        <v>434790</v>
      </c>
      <c r="F252" s="30">
        <v>2874380</v>
      </c>
      <c r="G252" s="30">
        <v>107445</v>
      </c>
      <c r="H252" s="30">
        <f t="shared" si="7"/>
        <v>2981825</v>
      </c>
      <c r="I252" s="42" t="s">
        <v>75</v>
      </c>
      <c r="J252" s="42" t="s">
        <v>75</v>
      </c>
      <c r="K252" s="32">
        <v>4015507</v>
      </c>
      <c r="L252" s="31" t="s">
        <v>75</v>
      </c>
      <c r="M252" s="31" t="s">
        <v>75</v>
      </c>
      <c r="N252" s="30">
        <v>12019043</v>
      </c>
      <c r="O252" s="31" t="s">
        <v>75</v>
      </c>
      <c r="P252" s="31" t="s">
        <v>75</v>
      </c>
      <c r="Q252" s="30">
        <v>11768936</v>
      </c>
      <c r="R252" s="31" t="s">
        <v>75</v>
      </c>
      <c r="S252" s="31" t="s">
        <v>75</v>
      </c>
      <c r="T252" s="32">
        <v>163441</v>
      </c>
      <c r="U252" s="31" t="s">
        <v>75</v>
      </c>
      <c r="V252" s="31" t="s">
        <v>75</v>
      </c>
      <c r="W252" s="30">
        <v>16562</v>
      </c>
      <c r="X252" s="31" t="s">
        <v>75</v>
      </c>
      <c r="Y252" s="31" t="s">
        <v>75</v>
      </c>
      <c r="Z252" s="30">
        <v>35539</v>
      </c>
      <c r="AA252" s="31" t="s">
        <v>75</v>
      </c>
      <c r="AB252" s="31" t="s">
        <v>75</v>
      </c>
      <c r="AC252" s="30">
        <v>135050</v>
      </c>
      <c r="AD252" s="31" t="s">
        <v>75</v>
      </c>
      <c r="AE252" s="31" t="s">
        <v>75</v>
      </c>
      <c r="AF252" s="30">
        <v>20661</v>
      </c>
      <c r="AG252" s="42" t="s">
        <v>75</v>
      </c>
      <c r="AH252" s="42" t="s">
        <v>75</v>
      </c>
      <c r="AI252" s="32">
        <v>29297</v>
      </c>
      <c r="AJ252" s="31" t="s">
        <v>75</v>
      </c>
      <c r="AK252" s="31" t="s">
        <v>75</v>
      </c>
      <c r="AL252" s="31" t="s">
        <v>75</v>
      </c>
      <c r="AM252" s="31"/>
      <c r="AN252" s="31"/>
      <c r="AO252" s="31"/>
      <c r="AP252" s="31"/>
      <c r="AQ252" s="31"/>
      <c r="AR252" s="31"/>
      <c r="AS252" s="31" t="s">
        <v>75</v>
      </c>
      <c r="AT252" s="31" t="s">
        <v>75</v>
      </c>
      <c r="AU252" s="31" t="s">
        <v>75</v>
      </c>
      <c r="AV252" s="31" t="s">
        <v>75</v>
      </c>
      <c r="AW252" s="31" t="s">
        <v>75</v>
      </c>
      <c r="AX252" s="31" t="s">
        <v>75</v>
      </c>
      <c r="AY252" s="31" t="s">
        <v>75</v>
      </c>
      <c r="AZ252" s="31" t="s">
        <v>75</v>
      </c>
      <c r="BA252" s="29">
        <v>13220731</v>
      </c>
      <c r="BB252" s="31" t="s">
        <v>75</v>
      </c>
      <c r="BC252" s="31" t="s">
        <v>75</v>
      </c>
      <c r="BD252" s="29">
        <v>1748175</v>
      </c>
      <c r="BE252" s="113">
        <v>0</v>
      </c>
      <c r="BF252" s="113">
        <v>0</v>
      </c>
      <c r="BG252" s="113">
        <v>0</v>
      </c>
      <c r="BH252" s="113">
        <v>0</v>
      </c>
      <c r="BI252" s="113">
        <v>0</v>
      </c>
      <c r="BJ252" s="113">
        <v>0</v>
      </c>
      <c r="BK252" s="113">
        <v>0</v>
      </c>
      <c r="BL252" s="113">
        <v>0</v>
      </c>
      <c r="BM252" s="113">
        <v>0</v>
      </c>
      <c r="BN252" s="113">
        <v>0</v>
      </c>
      <c r="BO252" s="113">
        <v>0</v>
      </c>
      <c r="BP252" s="113">
        <v>0</v>
      </c>
      <c r="BQ252" s="113">
        <v>0</v>
      </c>
      <c r="BR252" s="113">
        <v>0</v>
      </c>
      <c r="BS252" s="113">
        <v>0</v>
      </c>
      <c r="BT252" s="113">
        <v>0</v>
      </c>
      <c r="BU252" s="113">
        <v>0</v>
      </c>
      <c r="BV252" s="113">
        <v>0</v>
      </c>
      <c r="BW252" s="113"/>
      <c r="BX252" s="113"/>
      <c r="BY252" s="113"/>
      <c r="BZ252" s="113">
        <v>0</v>
      </c>
      <c r="CA252" s="113">
        <v>0</v>
      </c>
      <c r="CB252" s="113">
        <v>0</v>
      </c>
      <c r="CC252" s="113"/>
      <c r="CD252" s="113"/>
      <c r="CE252" s="113"/>
      <c r="CF252" s="113">
        <v>0</v>
      </c>
      <c r="CG252" s="113">
        <v>0</v>
      </c>
      <c r="CH252" s="113">
        <v>0</v>
      </c>
      <c r="CI252" s="113">
        <v>0</v>
      </c>
      <c r="CJ252" s="113">
        <v>0</v>
      </c>
      <c r="CK252" s="113">
        <v>0</v>
      </c>
      <c r="CL252" s="113">
        <v>0</v>
      </c>
      <c r="CM252" s="113">
        <v>0</v>
      </c>
      <c r="CN252" s="113">
        <v>0</v>
      </c>
      <c r="CO252" s="113">
        <v>0</v>
      </c>
      <c r="CP252" s="113">
        <v>0</v>
      </c>
      <c r="CQ252" s="113">
        <v>0</v>
      </c>
      <c r="CR252" s="113">
        <v>0</v>
      </c>
      <c r="CS252" s="113">
        <v>0</v>
      </c>
      <c r="CT252" s="113">
        <v>0</v>
      </c>
      <c r="CU252" s="113">
        <v>0</v>
      </c>
      <c r="CV252" s="113">
        <v>0</v>
      </c>
      <c r="CW252" s="113">
        <v>0</v>
      </c>
      <c r="CX252" s="113">
        <v>0</v>
      </c>
      <c r="CY252" s="113">
        <v>0</v>
      </c>
      <c r="CZ252" s="113">
        <v>0</v>
      </c>
      <c r="DA252" s="113">
        <v>0</v>
      </c>
      <c r="DB252" s="113">
        <v>0</v>
      </c>
      <c r="DC252" s="113">
        <v>0</v>
      </c>
      <c r="DD252" s="113">
        <v>0</v>
      </c>
      <c r="DE252" s="113">
        <v>0</v>
      </c>
      <c r="DF252" s="113">
        <v>0</v>
      </c>
      <c r="DG252" s="113">
        <v>0</v>
      </c>
      <c r="DH252" s="113">
        <v>0</v>
      </c>
      <c r="DI252" s="113">
        <v>0</v>
      </c>
      <c r="DJ252" s="113">
        <v>0</v>
      </c>
      <c r="DK252" s="113">
        <v>0</v>
      </c>
      <c r="DL252" s="113">
        <v>0</v>
      </c>
      <c r="DM252" s="113">
        <v>0</v>
      </c>
      <c r="DN252" s="113">
        <v>0</v>
      </c>
      <c r="DO252" s="113">
        <v>0</v>
      </c>
      <c r="DP252" s="113">
        <v>0</v>
      </c>
      <c r="DQ252" s="113">
        <v>0</v>
      </c>
      <c r="DR252" s="113">
        <v>0</v>
      </c>
      <c r="DS252" s="113">
        <v>0</v>
      </c>
      <c r="DT252" s="113">
        <v>0</v>
      </c>
      <c r="DU252" s="113">
        <v>0</v>
      </c>
      <c r="DV252" s="113">
        <v>0</v>
      </c>
      <c r="DW252" s="113">
        <v>0</v>
      </c>
      <c r="DX252" s="113">
        <v>0</v>
      </c>
      <c r="DY252" s="113">
        <v>0</v>
      </c>
      <c r="DZ252" s="113">
        <v>0</v>
      </c>
      <c r="EA252" s="113">
        <v>0</v>
      </c>
      <c r="EB252" s="113">
        <v>0</v>
      </c>
      <c r="EC252" s="113">
        <v>0</v>
      </c>
      <c r="ED252" s="113">
        <v>0</v>
      </c>
      <c r="EE252" s="113">
        <v>0</v>
      </c>
      <c r="EF252" s="113">
        <v>0</v>
      </c>
      <c r="EG252" s="113">
        <v>0</v>
      </c>
      <c r="EH252" s="113">
        <v>0</v>
      </c>
      <c r="EI252" s="113">
        <v>0</v>
      </c>
      <c r="EJ252" s="113">
        <v>0</v>
      </c>
      <c r="EK252" s="113">
        <v>0</v>
      </c>
      <c r="EL252" s="113">
        <v>0</v>
      </c>
      <c r="EM252" s="113">
        <v>0</v>
      </c>
      <c r="EN252" s="113">
        <v>0</v>
      </c>
      <c r="EO252" s="113">
        <v>0</v>
      </c>
      <c r="EP252" s="113">
        <v>0</v>
      </c>
      <c r="EQ252" s="113">
        <v>0</v>
      </c>
      <c r="ER252" s="113">
        <v>0</v>
      </c>
      <c r="ES252" s="113">
        <v>0</v>
      </c>
      <c r="ET252" s="113">
        <v>0</v>
      </c>
      <c r="EU252" s="113">
        <v>0</v>
      </c>
      <c r="EV252" s="113">
        <v>0</v>
      </c>
      <c r="EW252" s="113">
        <v>0</v>
      </c>
      <c r="EX252" s="113">
        <v>0</v>
      </c>
      <c r="EY252" s="113">
        <v>0</v>
      </c>
      <c r="EZ252" s="113">
        <v>0</v>
      </c>
      <c r="FA252" s="113">
        <v>0</v>
      </c>
      <c r="FB252" s="113">
        <v>0</v>
      </c>
      <c r="FC252" s="113">
        <v>0</v>
      </c>
      <c r="FD252" s="113">
        <v>0</v>
      </c>
      <c r="FE252" s="113">
        <v>0</v>
      </c>
      <c r="FF252" s="113">
        <v>0</v>
      </c>
      <c r="FG252" s="113">
        <v>0</v>
      </c>
      <c r="FH252" s="113">
        <v>0</v>
      </c>
      <c r="FI252" s="113">
        <v>0</v>
      </c>
      <c r="FJ252" s="113">
        <v>0</v>
      </c>
      <c r="FK252" s="113">
        <v>0</v>
      </c>
      <c r="FL252" s="113">
        <v>0</v>
      </c>
      <c r="FM252" s="113">
        <v>0</v>
      </c>
      <c r="FN252" s="113">
        <v>0</v>
      </c>
      <c r="FO252" s="113">
        <v>0</v>
      </c>
      <c r="FP252" s="113">
        <v>0</v>
      </c>
      <c r="FQ252" s="113">
        <v>0</v>
      </c>
      <c r="FR252" s="113">
        <v>0</v>
      </c>
      <c r="FS252" s="113">
        <v>0</v>
      </c>
      <c r="FT252" s="113">
        <v>0</v>
      </c>
      <c r="FU252" s="113">
        <v>0</v>
      </c>
      <c r="FV252" s="113">
        <v>0</v>
      </c>
      <c r="FW252" s="113">
        <v>0</v>
      </c>
      <c r="FX252" s="32">
        <v>0</v>
      </c>
      <c r="FY252" s="30">
        <v>0</v>
      </c>
      <c r="FZ252" s="30">
        <v>0</v>
      </c>
    </row>
    <row r="253" spans="1:182" x14ac:dyDescent="0.2">
      <c r="A253" s="28">
        <v>39264</v>
      </c>
      <c r="B253" s="28"/>
      <c r="C253" s="29">
        <v>239116</v>
      </c>
      <c r="D253" s="29">
        <v>272591</v>
      </c>
      <c r="E253" s="29">
        <f t="shared" si="6"/>
        <v>511707</v>
      </c>
      <c r="F253" s="30">
        <v>3712912</v>
      </c>
      <c r="G253" s="30">
        <v>60547</v>
      </c>
      <c r="H253" s="30">
        <f t="shared" si="7"/>
        <v>3773459</v>
      </c>
      <c r="I253" s="42" t="s">
        <v>75</v>
      </c>
      <c r="J253" s="42" t="s">
        <v>75</v>
      </c>
      <c r="K253" s="32">
        <v>5235934</v>
      </c>
      <c r="L253" s="31" t="s">
        <v>75</v>
      </c>
      <c r="M253" s="31" t="s">
        <v>75</v>
      </c>
      <c r="N253" s="30">
        <v>17659833</v>
      </c>
      <c r="O253" s="31" t="s">
        <v>75</v>
      </c>
      <c r="P253" s="31" t="s">
        <v>75</v>
      </c>
      <c r="Q253" s="30">
        <v>13364065</v>
      </c>
      <c r="R253" s="31" t="s">
        <v>75</v>
      </c>
      <c r="S253" s="31" t="s">
        <v>75</v>
      </c>
      <c r="T253" s="32">
        <v>184481</v>
      </c>
      <c r="U253" s="31" t="s">
        <v>75</v>
      </c>
      <c r="V253" s="31" t="s">
        <v>75</v>
      </c>
      <c r="W253" s="30">
        <v>28873</v>
      </c>
      <c r="X253" s="31" t="s">
        <v>75</v>
      </c>
      <c r="Y253" s="31" t="s">
        <v>75</v>
      </c>
      <c r="Z253" s="30">
        <v>61974</v>
      </c>
      <c r="AA253" s="31" t="s">
        <v>75</v>
      </c>
      <c r="AB253" s="31" t="s">
        <v>75</v>
      </c>
      <c r="AC253" s="30">
        <v>202992</v>
      </c>
      <c r="AD253" s="31" t="s">
        <v>75</v>
      </c>
      <c r="AE253" s="31" t="s">
        <v>75</v>
      </c>
      <c r="AF253" s="30">
        <v>24565</v>
      </c>
      <c r="AG253" s="42" t="s">
        <v>75</v>
      </c>
      <c r="AH253" s="42" t="s">
        <v>75</v>
      </c>
      <c r="AI253" s="32">
        <v>33938</v>
      </c>
      <c r="AJ253" s="31" t="s">
        <v>75</v>
      </c>
      <c r="AK253" s="31" t="s">
        <v>75</v>
      </c>
      <c r="AL253" s="31" t="s">
        <v>75</v>
      </c>
      <c r="AM253" s="31"/>
      <c r="AN253" s="31"/>
      <c r="AO253" s="31"/>
      <c r="AP253" s="31"/>
      <c r="AQ253" s="31"/>
      <c r="AR253" s="31"/>
      <c r="AS253" s="31" t="s">
        <v>75</v>
      </c>
      <c r="AT253" s="31" t="s">
        <v>75</v>
      </c>
      <c r="AU253" s="31" t="s">
        <v>75</v>
      </c>
      <c r="AV253" s="31" t="s">
        <v>75</v>
      </c>
      <c r="AW253" s="31" t="s">
        <v>75</v>
      </c>
      <c r="AX253" s="31" t="s">
        <v>75</v>
      </c>
      <c r="AY253" s="31" t="s">
        <v>75</v>
      </c>
      <c r="AZ253" s="31" t="s">
        <v>75</v>
      </c>
      <c r="BA253" s="29">
        <v>9402750</v>
      </c>
      <c r="BB253" s="31" t="s">
        <v>75</v>
      </c>
      <c r="BC253" s="31" t="s">
        <v>75</v>
      </c>
      <c r="BD253" s="29">
        <v>1390090</v>
      </c>
      <c r="BE253" s="113">
        <v>0</v>
      </c>
      <c r="BF253" s="113">
        <v>0</v>
      </c>
      <c r="BG253" s="113">
        <v>0</v>
      </c>
      <c r="BH253" s="113">
        <v>0</v>
      </c>
      <c r="BI253" s="113">
        <v>0</v>
      </c>
      <c r="BJ253" s="113">
        <v>0</v>
      </c>
      <c r="BK253" s="113">
        <v>0</v>
      </c>
      <c r="BL253" s="113">
        <v>0</v>
      </c>
      <c r="BM253" s="113">
        <v>0</v>
      </c>
      <c r="BN253" s="113">
        <v>0</v>
      </c>
      <c r="BO253" s="113">
        <v>0</v>
      </c>
      <c r="BP253" s="113">
        <v>0</v>
      </c>
      <c r="BQ253" s="113">
        <v>0</v>
      </c>
      <c r="BR253" s="113">
        <v>0</v>
      </c>
      <c r="BS253" s="113">
        <v>0</v>
      </c>
      <c r="BT253" s="113">
        <v>0</v>
      </c>
      <c r="BU253" s="113">
        <v>0</v>
      </c>
      <c r="BV253" s="113">
        <v>0</v>
      </c>
      <c r="BW253" s="113"/>
      <c r="BX253" s="113"/>
      <c r="BY253" s="113"/>
      <c r="BZ253" s="113">
        <v>0</v>
      </c>
      <c r="CA253" s="113">
        <v>0</v>
      </c>
      <c r="CB253" s="113">
        <v>0</v>
      </c>
      <c r="CC253" s="113"/>
      <c r="CD253" s="113"/>
      <c r="CE253" s="113"/>
      <c r="CF253" s="113">
        <v>0</v>
      </c>
      <c r="CG253" s="113">
        <v>0</v>
      </c>
      <c r="CH253" s="113">
        <v>0</v>
      </c>
      <c r="CI253" s="113">
        <v>0</v>
      </c>
      <c r="CJ253" s="113">
        <v>0</v>
      </c>
      <c r="CK253" s="113">
        <v>0</v>
      </c>
      <c r="CL253" s="113">
        <v>0</v>
      </c>
      <c r="CM253" s="113">
        <v>0</v>
      </c>
      <c r="CN253" s="113">
        <v>0</v>
      </c>
      <c r="CO253" s="113">
        <v>0</v>
      </c>
      <c r="CP253" s="113">
        <v>0</v>
      </c>
      <c r="CQ253" s="113">
        <v>0</v>
      </c>
      <c r="CR253" s="113">
        <v>0</v>
      </c>
      <c r="CS253" s="113">
        <v>0</v>
      </c>
      <c r="CT253" s="113">
        <v>0</v>
      </c>
      <c r="CU253" s="113">
        <v>0</v>
      </c>
      <c r="CV253" s="113">
        <v>0</v>
      </c>
      <c r="CW253" s="113">
        <v>0</v>
      </c>
      <c r="CX253" s="113">
        <v>0</v>
      </c>
      <c r="CY253" s="113">
        <v>0</v>
      </c>
      <c r="CZ253" s="113">
        <v>0</v>
      </c>
      <c r="DA253" s="113">
        <v>0</v>
      </c>
      <c r="DB253" s="113">
        <v>0</v>
      </c>
      <c r="DC253" s="113">
        <v>0</v>
      </c>
      <c r="DD253" s="113">
        <v>0</v>
      </c>
      <c r="DE253" s="113">
        <v>0</v>
      </c>
      <c r="DF253" s="113">
        <v>0</v>
      </c>
      <c r="DG253" s="113">
        <v>0</v>
      </c>
      <c r="DH253" s="113">
        <v>0</v>
      </c>
      <c r="DI253" s="113">
        <v>0</v>
      </c>
      <c r="DJ253" s="113">
        <v>0</v>
      </c>
      <c r="DK253" s="113">
        <v>0</v>
      </c>
      <c r="DL253" s="113">
        <v>0</v>
      </c>
      <c r="DM253" s="113">
        <v>0</v>
      </c>
      <c r="DN253" s="113">
        <v>0</v>
      </c>
      <c r="DO253" s="113">
        <v>0</v>
      </c>
      <c r="DP253" s="113">
        <v>0</v>
      </c>
      <c r="DQ253" s="113">
        <v>0</v>
      </c>
      <c r="DR253" s="113">
        <v>0</v>
      </c>
      <c r="DS253" s="113">
        <v>0</v>
      </c>
      <c r="DT253" s="113">
        <v>0</v>
      </c>
      <c r="DU253" s="113">
        <v>0</v>
      </c>
      <c r="DV253" s="113">
        <v>0</v>
      </c>
      <c r="DW253" s="113">
        <v>0</v>
      </c>
      <c r="DX253" s="113">
        <v>0</v>
      </c>
      <c r="DY253" s="113">
        <v>0</v>
      </c>
      <c r="DZ253" s="113">
        <v>0</v>
      </c>
      <c r="EA253" s="113">
        <v>0</v>
      </c>
      <c r="EB253" s="113">
        <v>0</v>
      </c>
      <c r="EC253" s="113">
        <v>0</v>
      </c>
      <c r="ED253" s="113">
        <v>0</v>
      </c>
      <c r="EE253" s="113">
        <v>0</v>
      </c>
      <c r="EF253" s="113">
        <v>0</v>
      </c>
      <c r="EG253" s="113">
        <v>0</v>
      </c>
      <c r="EH253" s="113">
        <v>0</v>
      </c>
      <c r="EI253" s="113">
        <v>0</v>
      </c>
      <c r="EJ253" s="113">
        <v>0</v>
      </c>
      <c r="EK253" s="113">
        <v>0</v>
      </c>
      <c r="EL253" s="113">
        <v>0</v>
      </c>
      <c r="EM253" s="113">
        <v>0</v>
      </c>
      <c r="EN253" s="113">
        <v>0</v>
      </c>
      <c r="EO253" s="113">
        <v>0</v>
      </c>
      <c r="EP253" s="113">
        <v>0</v>
      </c>
      <c r="EQ253" s="113">
        <v>0</v>
      </c>
      <c r="ER253" s="113">
        <v>0</v>
      </c>
      <c r="ES253" s="113">
        <v>0</v>
      </c>
      <c r="ET253" s="113">
        <v>0</v>
      </c>
      <c r="EU253" s="113">
        <v>0</v>
      </c>
      <c r="EV253" s="113">
        <v>0</v>
      </c>
      <c r="EW253" s="113">
        <v>0</v>
      </c>
      <c r="EX253" s="113">
        <v>0</v>
      </c>
      <c r="EY253" s="113">
        <v>0</v>
      </c>
      <c r="EZ253" s="113">
        <v>0</v>
      </c>
      <c r="FA253" s="113">
        <v>0</v>
      </c>
      <c r="FB253" s="113">
        <v>0</v>
      </c>
      <c r="FC253" s="113">
        <v>0</v>
      </c>
      <c r="FD253" s="113">
        <v>0</v>
      </c>
      <c r="FE253" s="113">
        <v>0</v>
      </c>
      <c r="FF253" s="113">
        <v>0</v>
      </c>
      <c r="FG253" s="113">
        <v>0</v>
      </c>
      <c r="FH253" s="113">
        <v>0</v>
      </c>
      <c r="FI253" s="113">
        <v>0</v>
      </c>
      <c r="FJ253" s="113">
        <v>0</v>
      </c>
      <c r="FK253" s="113">
        <v>0</v>
      </c>
      <c r="FL253" s="113">
        <v>0</v>
      </c>
      <c r="FM253" s="113">
        <v>0</v>
      </c>
      <c r="FN253" s="113">
        <v>0</v>
      </c>
      <c r="FO253" s="113">
        <v>0</v>
      </c>
      <c r="FP253" s="113">
        <v>0</v>
      </c>
      <c r="FQ253" s="113">
        <v>0</v>
      </c>
      <c r="FR253" s="113">
        <v>0</v>
      </c>
      <c r="FS253" s="113">
        <v>0</v>
      </c>
      <c r="FT253" s="113">
        <v>0</v>
      </c>
      <c r="FU253" s="113">
        <v>0</v>
      </c>
      <c r="FV253" s="113">
        <v>0</v>
      </c>
      <c r="FW253" s="113">
        <v>0</v>
      </c>
      <c r="FX253" s="32">
        <v>0</v>
      </c>
      <c r="FY253" s="30">
        <v>0</v>
      </c>
      <c r="FZ253" s="30">
        <v>0</v>
      </c>
    </row>
    <row r="254" spans="1:182" x14ac:dyDescent="0.2">
      <c r="A254" s="28">
        <v>39295</v>
      </c>
      <c r="B254" s="28"/>
      <c r="C254" s="29">
        <v>237827</v>
      </c>
      <c r="D254" s="29">
        <v>216105</v>
      </c>
      <c r="E254" s="29">
        <f t="shared" si="6"/>
        <v>453932</v>
      </c>
      <c r="F254" s="30">
        <v>3904389</v>
      </c>
      <c r="G254" s="30">
        <v>16548</v>
      </c>
      <c r="H254" s="30">
        <f t="shared" si="7"/>
        <v>3920937</v>
      </c>
      <c r="I254" s="42" t="s">
        <v>75</v>
      </c>
      <c r="J254" s="42" t="s">
        <v>75</v>
      </c>
      <c r="K254" s="32">
        <v>5248429</v>
      </c>
      <c r="L254" s="31" t="s">
        <v>75</v>
      </c>
      <c r="M254" s="31" t="s">
        <v>75</v>
      </c>
      <c r="N254" s="30">
        <v>15147840</v>
      </c>
      <c r="O254" s="31" t="s">
        <v>75</v>
      </c>
      <c r="P254" s="31" t="s">
        <v>75</v>
      </c>
      <c r="Q254" s="30">
        <v>14348041</v>
      </c>
      <c r="R254" s="31" t="s">
        <v>75</v>
      </c>
      <c r="S254" s="31" t="s">
        <v>75</v>
      </c>
      <c r="T254" s="32">
        <v>120755</v>
      </c>
      <c r="U254" s="31" t="s">
        <v>75</v>
      </c>
      <c r="V254" s="31" t="s">
        <v>75</v>
      </c>
      <c r="W254" s="30">
        <v>31982</v>
      </c>
      <c r="X254" s="31" t="s">
        <v>75</v>
      </c>
      <c r="Y254" s="31" t="s">
        <v>75</v>
      </c>
      <c r="Z254" s="30">
        <v>58725</v>
      </c>
      <c r="AA254" s="31" t="s">
        <v>75</v>
      </c>
      <c r="AB254" s="31" t="s">
        <v>75</v>
      </c>
      <c r="AC254" s="30">
        <v>135721</v>
      </c>
      <c r="AD254" s="31" t="s">
        <v>75</v>
      </c>
      <c r="AE254" s="31" t="s">
        <v>75</v>
      </c>
      <c r="AF254" s="30">
        <v>22690</v>
      </c>
      <c r="AG254" s="42" t="s">
        <v>75</v>
      </c>
      <c r="AH254" s="42" t="s">
        <v>75</v>
      </c>
      <c r="AI254" s="32">
        <v>40412</v>
      </c>
      <c r="AJ254" s="31" t="s">
        <v>75</v>
      </c>
      <c r="AK254" s="31" t="s">
        <v>75</v>
      </c>
      <c r="AL254" s="31" t="s">
        <v>75</v>
      </c>
      <c r="AM254" s="31"/>
      <c r="AN254" s="31"/>
      <c r="AO254" s="31"/>
      <c r="AP254" s="31"/>
      <c r="AQ254" s="31"/>
      <c r="AR254" s="31"/>
      <c r="AS254" s="31" t="s">
        <v>75</v>
      </c>
      <c r="AT254" s="31" t="s">
        <v>75</v>
      </c>
      <c r="AU254" s="31" t="s">
        <v>75</v>
      </c>
      <c r="AV254" s="31" t="s">
        <v>75</v>
      </c>
      <c r="AW254" s="31" t="s">
        <v>75</v>
      </c>
      <c r="AX254" s="31" t="s">
        <v>75</v>
      </c>
      <c r="AY254" s="31" t="s">
        <v>75</v>
      </c>
      <c r="AZ254" s="31" t="s">
        <v>75</v>
      </c>
      <c r="BA254" s="29">
        <v>10659672</v>
      </c>
      <c r="BB254" s="31" t="s">
        <v>75</v>
      </c>
      <c r="BC254" s="31" t="s">
        <v>75</v>
      </c>
      <c r="BD254" s="29">
        <v>1597796</v>
      </c>
      <c r="BE254" s="113">
        <v>0</v>
      </c>
      <c r="BF254" s="113">
        <v>0</v>
      </c>
      <c r="BG254" s="113">
        <v>0</v>
      </c>
      <c r="BH254" s="113">
        <v>0</v>
      </c>
      <c r="BI254" s="113">
        <v>0</v>
      </c>
      <c r="BJ254" s="113">
        <v>0</v>
      </c>
      <c r="BK254" s="113">
        <v>0</v>
      </c>
      <c r="BL254" s="113">
        <v>0</v>
      </c>
      <c r="BM254" s="113">
        <v>0</v>
      </c>
      <c r="BN254" s="113">
        <v>0</v>
      </c>
      <c r="BO254" s="113">
        <v>0</v>
      </c>
      <c r="BP254" s="113">
        <v>0</v>
      </c>
      <c r="BQ254" s="113">
        <v>0</v>
      </c>
      <c r="BR254" s="113">
        <v>0</v>
      </c>
      <c r="BS254" s="113">
        <v>0</v>
      </c>
      <c r="BT254" s="113">
        <v>0</v>
      </c>
      <c r="BU254" s="113">
        <v>0</v>
      </c>
      <c r="BV254" s="113">
        <v>0</v>
      </c>
      <c r="BW254" s="113"/>
      <c r="BX254" s="113"/>
      <c r="BY254" s="113"/>
      <c r="BZ254" s="113">
        <v>0</v>
      </c>
      <c r="CA254" s="113">
        <v>0</v>
      </c>
      <c r="CB254" s="113">
        <v>0</v>
      </c>
      <c r="CC254" s="113"/>
      <c r="CD254" s="113"/>
      <c r="CE254" s="113"/>
      <c r="CF254" s="113">
        <v>0</v>
      </c>
      <c r="CG254" s="113">
        <v>0</v>
      </c>
      <c r="CH254" s="113">
        <v>0</v>
      </c>
      <c r="CI254" s="113">
        <v>0</v>
      </c>
      <c r="CJ254" s="113">
        <v>0</v>
      </c>
      <c r="CK254" s="113">
        <v>0</v>
      </c>
      <c r="CL254" s="113">
        <v>0</v>
      </c>
      <c r="CM254" s="113">
        <v>0</v>
      </c>
      <c r="CN254" s="113">
        <v>0</v>
      </c>
      <c r="CO254" s="113">
        <v>0</v>
      </c>
      <c r="CP254" s="113">
        <v>0</v>
      </c>
      <c r="CQ254" s="113">
        <v>0</v>
      </c>
      <c r="CR254" s="113">
        <v>0</v>
      </c>
      <c r="CS254" s="113">
        <v>0</v>
      </c>
      <c r="CT254" s="113">
        <v>0</v>
      </c>
      <c r="CU254" s="113">
        <v>0</v>
      </c>
      <c r="CV254" s="113">
        <v>0</v>
      </c>
      <c r="CW254" s="113">
        <v>0</v>
      </c>
      <c r="CX254" s="113">
        <v>0</v>
      </c>
      <c r="CY254" s="113">
        <v>0</v>
      </c>
      <c r="CZ254" s="113">
        <v>0</v>
      </c>
      <c r="DA254" s="113">
        <v>0</v>
      </c>
      <c r="DB254" s="113">
        <v>0</v>
      </c>
      <c r="DC254" s="113">
        <v>0</v>
      </c>
      <c r="DD254" s="113">
        <v>0</v>
      </c>
      <c r="DE254" s="113">
        <v>0</v>
      </c>
      <c r="DF254" s="113">
        <v>0</v>
      </c>
      <c r="DG254" s="113">
        <v>0</v>
      </c>
      <c r="DH254" s="113">
        <v>0</v>
      </c>
      <c r="DI254" s="113">
        <v>0</v>
      </c>
      <c r="DJ254" s="113">
        <v>0</v>
      </c>
      <c r="DK254" s="113">
        <v>0</v>
      </c>
      <c r="DL254" s="113">
        <v>0</v>
      </c>
      <c r="DM254" s="113">
        <v>0</v>
      </c>
      <c r="DN254" s="113">
        <v>0</v>
      </c>
      <c r="DO254" s="113">
        <v>0</v>
      </c>
      <c r="DP254" s="113">
        <v>0</v>
      </c>
      <c r="DQ254" s="113">
        <v>0</v>
      </c>
      <c r="DR254" s="113">
        <v>0</v>
      </c>
      <c r="DS254" s="113">
        <v>0</v>
      </c>
      <c r="DT254" s="113">
        <v>0</v>
      </c>
      <c r="DU254" s="113">
        <v>0</v>
      </c>
      <c r="DV254" s="113">
        <v>0</v>
      </c>
      <c r="DW254" s="113">
        <v>0</v>
      </c>
      <c r="DX254" s="113">
        <v>0</v>
      </c>
      <c r="DY254" s="113">
        <v>0</v>
      </c>
      <c r="DZ254" s="113">
        <v>0</v>
      </c>
      <c r="EA254" s="113">
        <v>0</v>
      </c>
      <c r="EB254" s="113">
        <v>0</v>
      </c>
      <c r="EC254" s="113">
        <v>0</v>
      </c>
      <c r="ED254" s="113">
        <v>0</v>
      </c>
      <c r="EE254" s="113">
        <v>0</v>
      </c>
      <c r="EF254" s="113">
        <v>0</v>
      </c>
      <c r="EG254" s="113">
        <v>0</v>
      </c>
      <c r="EH254" s="113">
        <v>0</v>
      </c>
      <c r="EI254" s="113">
        <v>0</v>
      </c>
      <c r="EJ254" s="113">
        <v>0</v>
      </c>
      <c r="EK254" s="113">
        <v>0</v>
      </c>
      <c r="EL254" s="113">
        <v>0</v>
      </c>
      <c r="EM254" s="113">
        <v>0</v>
      </c>
      <c r="EN254" s="113">
        <v>0</v>
      </c>
      <c r="EO254" s="113">
        <v>0</v>
      </c>
      <c r="EP254" s="113">
        <v>0</v>
      </c>
      <c r="EQ254" s="113">
        <v>0</v>
      </c>
      <c r="ER254" s="113">
        <v>0</v>
      </c>
      <c r="ES254" s="113">
        <v>0</v>
      </c>
      <c r="ET254" s="113">
        <v>0</v>
      </c>
      <c r="EU254" s="113">
        <v>0</v>
      </c>
      <c r="EV254" s="113">
        <v>0</v>
      </c>
      <c r="EW254" s="113">
        <v>0</v>
      </c>
      <c r="EX254" s="113">
        <v>0</v>
      </c>
      <c r="EY254" s="113">
        <v>0</v>
      </c>
      <c r="EZ254" s="113">
        <v>0</v>
      </c>
      <c r="FA254" s="113">
        <v>0</v>
      </c>
      <c r="FB254" s="113">
        <v>0</v>
      </c>
      <c r="FC254" s="113">
        <v>0</v>
      </c>
      <c r="FD254" s="113">
        <v>0</v>
      </c>
      <c r="FE254" s="113">
        <v>0</v>
      </c>
      <c r="FF254" s="113">
        <v>0</v>
      </c>
      <c r="FG254" s="113">
        <v>0</v>
      </c>
      <c r="FH254" s="113">
        <v>0</v>
      </c>
      <c r="FI254" s="113">
        <v>0</v>
      </c>
      <c r="FJ254" s="113">
        <v>0</v>
      </c>
      <c r="FK254" s="113">
        <v>0</v>
      </c>
      <c r="FL254" s="113">
        <v>0</v>
      </c>
      <c r="FM254" s="113">
        <v>0</v>
      </c>
      <c r="FN254" s="113">
        <v>0</v>
      </c>
      <c r="FO254" s="113">
        <v>0</v>
      </c>
      <c r="FP254" s="113">
        <v>0</v>
      </c>
      <c r="FQ254" s="113">
        <v>0</v>
      </c>
      <c r="FR254" s="113">
        <v>0</v>
      </c>
      <c r="FS254" s="113">
        <v>0</v>
      </c>
      <c r="FT254" s="113">
        <v>0</v>
      </c>
      <c r="FU254" s="113">
        <v>0</v>
      </c>
      <c r="FV254" s="113">
        <v>0</v>
      </c>
      <c r="FW254" s="113">
        <v>0</v>
      </c>
      <c r="FX254" s="32">
        <v>0</v>
      </c>
      <c r="FY254" s="30">
        <v>0</v>
      </c>
      <c r="FZ254" s="30">
        <v>0</v>
      </c>
    </row>
    <row r="255" spans="1:182" x14ac:dyDescent="0.2">
      <c r="A255" s="28">
        <v>39326</v>
      </c>
      <c r="B255" s="28"/>
      <c r="C255" s="29">
        <v>243457</v>
      </c>
      <c r="D255" s="29">
        <v>211071</v>
      </c>
      <c r="E255" s="29">
        <f t="shared" si="6"/>
        <v>454528</v>
      </c>
      <c r="F255" s="30">
        <v>5584806</v>
      </c>
      <c r="G255" s="30">
        <v>78127</v>
      </c>
      <c r="H255" s="30">
        <f t="shared" si="7"/>
        <v>5662933</v>
      </c>
      <c r="I255" s="42" t="s">
        <v>75</v>
      </c>
      <c r="J255" s="42" t="s">
        <v>75</v>
      </c>
      <c r="K255" s="32">
        <v>5891099</v>
      </c>
      <c r="L255" s="31" t="s">
        <v>75</v>
      </c>
      <c r="M255" s="31" t="s">
        <v>75</v>
      </c>
      <c r="N255" s="30">
        <v>13366149</v>
      </c>
      <c r="O255" s="31" t="s">
        <v>75</v>
      </c>
      <c r="P255" s="31" t="s">
        <v>75</v>
      </c>
      <c r="Q255" s="30">
        <v>14652141</v>
      </c>
      <c r="R255" s="31" t="s">
        <v>75</v>
      </c>
      <c r="S255" s="31" t="s">
        <v>75</v>
      </c>
      <c r="T255" s="32">
        <v>151687</v>
      </c>
      <c r="U255" s="31" t="s">
        <v>75</v>
      </c>
      <c r="V255" s="31" t="s">
        <v>75</v>
      </c>
      <c r="W255" s="30">
        <v>23510</v>
      </c>
      <c r="X255" s="31" t="s">
        <v>75</v>
      </c>
      <c r="Y255" s="31" t="s">
        <v>75</v>
      </c>
      <c r="Z255" s="30">
        <v>61126</v>
      </c>
      <c r="AA255" s="31" t="s">
        <v>75</v>
      </c>
      <c r="AB255" s="31" t="s">
        <v>75</v>
      </c>
      <c r="AC255" s="30">
        <v>57460</v>
      </c>
      <c r="AD255" s="31" t="s">
        <v>75</v>
      </c>
      <c r="AE255" s="31" t="s">
        <v>75</v>
      </c>
      <c r="AF255" s="30">
        <v>12925</v>
      </c>
      <c r="AG255" s="42" t="s">
        <v>75</v>
      </c>
      <c r="AH255" s="42" t="s">
        <v>75</v>
      </c>
      <c r="AI255" s="32">
        <v>26116</v>
      </c>
      <c r="AJ255" s="31" t="s">
        <v>75</v>
      </c>
      <c r="AK255" s="31" t="s">
        <v>75</v>
      </c>
      <c r="AL255" s="31" t="s">
        <v>75</v>
      </c>
      <c r="AM255" s="31"/>
      <c r="AN255" s="31"/>
      <c r="AO255" s="31"/>
      <c r="AP255" s="31"/>
      <c r="AQ255" s="31"/>
      <c r="AR255" s="31"/>
      <c r="AS255" s="31" t="s">
        <v>75</v>
      </c>
      <c r="AT255" s="31" t="s">
        <v>75</v>
      </c>
      <c r="AU255" s="31" t="s">
        <v>75</v>
      </c>
      <c r="AV255" s="31" t="s">
        <v>75</v>
      </c>
      <c r="AW255" s="31" t="s">
        <v>75</v>
      </c>
      <c r="AX255" s="31" t="s">
        <v>75</v>
      </c>
      <c r="AY255" s="31" t="s">
        <v>75</v>
      </c>
      <c r="AZ255" s="31" t="s">
        <v>75</v>
      </c>
      <c r="BA255" s="29">
        <v>8868033</v>
      </c>
      <c r="BB255" s="31" t="s">
        <v>75</v>
      </c>
      <c r="BC255" s="31" t="s">
        <v>75</v>
      </c>
      <c r="BD255" s="29">
        <v>1550087</v>
      </c>
      <c r="BE255" s="113">
        <v>0</v>
      </c>
      <c r="BF255" s="113">
        <v>0</v>
      </c>
      <c r="BG255" s="113">
        <v>0</v>
      </c>
      <c r="BH255" s="113">
        <v>0</v>
      </c>
      <c r="BI255" s="113">
        <v>0</v>
      </c>
      <c r="BJ255" s="113">
        <v>0</v>
      </c>
      <c r="BK255" s="113">
        <v>0</v>
      </c>
      <c r="BL255" s="113">
        <v>0</v>
      </c>
      <c r="BM255" s="113">
        <v>0</v>
      </c>
      <c r="BN255" s="113">
        <v>0</v>
      </c>
      <c r="BO255" s="113">
        <v>0</v>
      </c>
      <c r="BP255" s="113">
        <v>0</v>
      </c>
      <c r="BQ255" s="113">
        <v>0</v>
      </c>
      <c r="BR255" s="113">
        <v>0</v>
      </c>
      <c r="BS255" s="113">
        <v>0</v>
      </c>
      <c r="BT255" s="113">
        <v>0</v>
      </c>
      <c r="BU255" s="113">
        <v>0</v>
      </c>
      <c r="BV255" s="113">
        <v>0</v>
      </c>
      <c r="BW255" s="113"/>
      <c r="BX255" s="113"/>
      <c r="BY255" s="113"/>
      <c r="BZ255" s="113">
        <v>0</v>
      </c>
      <c r="CA255" s="113">
        <v>0</v>
      </c>
      <c r="CB255" s="113">
        <v>0</v>
      </c>
      <c r="CC255" s="113"/>
      <c r="CD255" s="113"/>
      <c r="CE255" s="113"/>
      <c r="CF255" s="113">
        <v>0</v>
      </c>
      <c r="CG255" s="113">
        <v>0</v>
      </c>
      <c r="CH255" s="113">
        <v>0</v>
      </c>
      <c r="CI255" s="113">
        <v>0</v>
      </c>
      <c r="CJ255" s="113">
        <v>0</v>
      </c>
      <c r="CK255" s="113">
        <v>0</v>
      </c>
      <c r="CL255" s="113">
        <v>0</v>
      </c>
      <c r="CM255" s="113">
        <v>0</v>
      </c>
      <c r="CN255" s="113">
        <v>0</v>
      </c>
      <c r="CO255" s="113">
        <v>0</v>
      </c>
      <c r="CP255" s="113">
        <v>0</v>
      </c>
      <c r="CQ255" s="113">
        <v>0</v>
      </c>
      <c r="CR255" s="113">
        <v>0</v>
      </c>
      <c r="CS255" s="113">
        <v>0</v>
      </c>
      <c r="CT255" s="113">
        <v>0</v>
      </c>
      <c r="CU255" s="113">
        <v>0</v>
      </c>
      <c r="CV255" s="113">
        <v>0</v>
      </c>
      <c r="CW255" s="113">
        <v>0</v>
      </c>
      <c r="CX255" s="113">
        <v>0</v>
      </c>
      <c r="CY255" s="113">
        <v>0</v>
      </c>
      <c r="CZ255" s="113">
        <v>0</v>
      </c>
      <c r="DA255" s="113">
        <v>0</v>
      </c>
      <c r="DB255" s="113">
        <v>0</v>
      </c>
      <c r="DC255" s="113">
        <v>0</v>
      </c>
      <c r="DD255" s="113">
        <v>0</v>
      </c>
      <c r="DE255" s="113">
        <v>0</v>
      </c>
      <c r="DF255" s="113">
        <v>0</v>
      </c>
      <c r="DG255" s="113">
        <v>0</v>
      </c>
      <c r="DH255" s="113">
        <v>0</v>
      </c>
      <c r="DI255" s="113">
        <v>0</v>
      </c>
      <c r="DJ255" s="113">
        <v>0</v>
      </c>
      <c r="DK255" s="113">
        <v>0</v>
      </c>
      <c r="DL255" s="113">
        <v>0</v>
      </c>
      <c r="DM255" s="113">
        <v>0</v>
      </c>
      <c r="DN255" s="113">
        <v>0</v>
      </c>
      <c r="DO255" s="113">
        <v>0</v>
      </c>
      <c r="DP255" s="113">
        <v>0</v>
      </c>
      <c r="DQ255" s="113">
        <v>0</v>
      </c>
      <c r="DR255" s="113">
        <v>0</v>
      </c>
      <c r="DS255" s="113">
        <v>0</v>
      </c>
      <c r="DT255" s="113">
        <v>0</v>
      </c>
      <c r="DU255" s="113">
        <v>0</v>
      </c>
      <c r="DV255" s="113">
        <v>0</v>
      </c>
      <c r="DW255" s="113">
        <v>0</v>
      </c>
      <c r="DX255" s="113">
        <v>0</v>
      </c>
      <c r="DY255" s="113">
        <v>0</v>
      </c>
      <c r="DZ255" s="113">
        <v>0</v>
      </c>
      <c r="EA255" s="113">
        <v>0</v>
      </c>
      <c r="EB255" s="113">
        <v>0</v>
      </c>
      <c r="EC255" s="113">
        <v>0</v>
      </c>
      <c r="ED255" s="113">
        <v>0</v>
      </c>
      <c r="EE255" s="113">
        <v>0</v>
      </c>
      <c r="EF255" s="113">
        <v>0</v>
      </c>
      <c r="EG255" s="113">
        <v>0</v>
      </c>
      <c r="EH255" s="113">
        <v>0</v>
      </c>
      <c r="EI255" s="113">
        <v>0</v>
      </c>
      <c r="EJ255" s="113">
        <v>0</v>
      </c>
      <c r="EK255" s="113">
        <v>0</v>
      </c>
      <c r="EL255" s="113">
        <v>0</v>
      </c>
      <c r="EM255" s="113">
        <v>0</v>
      </c>
      <c r="EN255" s="113">
        <v>0</v>
      </c>
      <c r="EO255" s="113">
        <v>0</v>
      </c>
      <c r="EP255" s="113">
        <v>0</v>
      </c>
      <c r="EQ255" s="113">
        <v>0</v>
      </c>
      <c r="ER255" s="113">
        <v>0</v>
      </c>
      <c r="ES255" s="113">
        <v>0</v>
      </c>
      <c r="ET255" s="113">
        <v>0</v>
      </c>
      <c r="EU255" s="113">
        <v>0</v>
      </c>
      <c r="EV255" s="113">
        <v>0</v>
      </c>
      <c r="EW255" s="113">
        <v>0</v>
      </c>
      <c r="EX255" s="113">
        <v>0</v>
      </c>
      <c r="EY255" s="113">
        <v>0</v>
      </c>
      <c r="EZ255" s="113">
        <v>0</v>
      </c>
      <c r="FA255" s="113">
        <v>0</v>
      </c>
      <c r="FB255" s="113">
        <v>0</v>
      </c>
      <c r="FC255" s="113">
        <v>0</v>
      </c>
      <c r="FD255" s="113">
        <v>0</v>
      </c>
      <c r="FE255" s="113">
        <v>0</v>
      </c>
      <c r="FF255" s="113">
        <v>0</v>
      </c>
      <c r="FG255" s="113">
        <v>0</v>
      </c>
      <c r="FH255" s="113">
        <v>0</v>
      </c>
      <c r="FI255" s="113">
        <v>0</v>
      </c>
      <c r="FJ255" s="113">
        <v>0</v>
      </c>
      <c r="FK255" s="113">
        <v>0</v>
      </c>
      <c r="FL255" s="113">
        <v>0</v>
      </c>
      <c r="FM255" s="113">
        <v>0</v>
      </c>
      <c r="FN255" s="113">
        <v>0</v>
      </c>
      <c r="FO255" s="113">
        <v>0</v>
      </c>
      <c r="FP255" s="113">
        <v>0</v>
      </c>
      <c r="FQ255" s="113">
        <v>0</v>
      </c>
      <c r="FR255" s="113">
        <v>0</v>
      </c>
      <c r="FS255" s="113">
        <v>0</v>
      </c>
      <c r="FT255" s="113">
        <v>0</v>
      </c>
      <c r="FU255" s="113">
        <v>0</v>
      </c>
      <c r="FV255" s="113">
        <v>0</v>
      </c>
      <c r="FW255" s="113">
        <v>0</v>
      </c>
      <c r="FX255" s="32">
        <v>0</v>
      </c>
      <c r="FY255" s="30">
        <v>0</v>
      </c>
      <c r="FZ255" s="30">
        <v>0</v>
      </c>
    </row>
    <row r="256" spans="1:182" x14ac:dyDescent="0.2">
      <c r="A256" s="28">
        <v>39356</v>
      </c>
      <c r="B256" s="28"/>
      <c r="C256" s="29">
        <v>227695</v>
      </c>
      <c r="D256" s="29">
        <v>220702</v>
      </c>
      <c r="E256" s="29">
        <f t="shared" si="6"/>
        <v>448397</v>
      </c>
      <c r="F256" s="30">
        <v>8933412</v>
      </c>
      <c r="G256" s="30">
        <v>194083</v>
      </c>
      <c r="H256" s="30">
        <f t="shared" si="7"/>
        <v>9127495</v>
      </c>
      <c r="I256" s="42" t="s">
        <v>75</v>
      </c>
      <c r="J256" s="42" t="s">
        <v>75</v>
      </c>
      <c r="K256" s="32">
        <v>7026106</v>
      </c>
      <c r="L256" s="31" t="s">
        <v>75</v>
      </c>
      <c r="M256" s="31" t="s">
        <v>75</v>
      </c>
      <c r="N256" s="30">
        <v>16544637</v>
      </c>
      <c r="O256" s="31" t="s">
        <v>75</v>
      </c>
      <c r="P256" s="31" t="s">
        <v>75</v>
      </c>
      <c r="Q256" s="30">
        <v>18686511</v>
      </c>
      <c r="R256" s="31" t="s">
        <v>75</v>
      </c>
      <c r="S256" s="31" t="s">
        <v>75</v>
      </c>
      <c r="T256" s="32">
        <v>132301</v>
      </c>
      <c r="U256" s="31" t="s">
        <v>75</v>
      </c>
      <c r="V256" s="31" t="s">
        <v>75</v>
      </c>
      <c r="W256" s="30">
        <v>27361</v>
      </c>
      <c r="X256" s="31" t="s">
        <v>75</v>
      </c>
      <c r="Y256" s="31" t="s">
        <v>75</v>
      </c>
      <c r="Z256" s="30">
        <v>83473</v>
      </c>
      <c r="AA256" s="31" t="s">
        <v>75</v>
      </c>
      <c r="AB256" s="31" t="s">
        <v>75</v>
      </c>
      <c r="AC256" s="30">
        <v>86292</v>
      </c>
      <c r="AD256" s="31" t="s">
        <v>75</v>
      </c>
      <c r="AE256" s="31" t="s">
        <v>75</v>
      </c>
      <c r="AF256" s="30">
        <v>22112</v>
      </c>
      <c r="AG256" s="42" t="s">
        <v>75</v>
      </c>
      <c r="AH256" s="42" t="s">
        <v>75</v>
      </c>
      <c r="AI256" s="32">
        <v>26529</v>
      </c>
      <c r="AJ256" s="31" t="s">
        <v>75</v>
      </c>
      <c r="AK256" s="31" t="s">
        <v>75</v>
      </c>
      <c r="AL256" s="31" t="s">
        <v>75</v>
      </c>
      <c r="AM256" s="31"/>
      <c r="AN256" s="31"/>
      <c r="AO256" s="31"/>
      <c r="AP256" s="31"/>
      <c r="AQ256" s="31"/>
      <c r="AR256" s="31"/>
      <c r="AS256" s="31" t="s">
        <v>75</v>
      </c>
      <c r="AT256" s="31" t="s">
        <v>75</v>
      </c>
      <c r="AU256" s="31" t="s">
        <v>75</v>
      </c>
      <c r="AV256" s="31" t="s">
        <v>75</v>
      </c>
      <c r="AW256" s="31" t="s">
        <v>75</v>
      </c>
      <c r="AX256" s="31" t="s">
        <v>75</v>
      </c>
      <c r="AY256" s="31" t="s">
        <v>75</v>
      </c>
      <c r="AZ256" s="31" t="s">
        <v>75</v>
      </c>
      <c r="BA256" s="29">
        <v>11723682</v>
      </c>
      <c r="BB256" s="31" t="s">
        <v>75</v>
      </c>
      <c r="BC256" s="31" t="s">
        <v>75</v>
      </c>
      <c r="BD256" s="29">
        <v>1795129</v>
      </c>
      <c r="BE256" s="113">
        <v>0</v>
      </c>
      <c r="BF256" s="113">
        <v>0</v>
      </c>
      <c r="BG256" s="113">
        <v>0</v>
      </c>
      <c r="BH256" s="113">
        <v>0</v>
      </c>
      <c r="BI256" s="113">
        <v>0</v>
      </c>
      <c r="BJ256" s="113">
        <v>0</v>
      </c>
      <c r="BK256" s="113">
        <v>0</v>
      </c>
      <c r="BL256" s="113">
        <v>0</v>
      </c>
      <c r="BM256" s="113">
        <v>0</v>
      </c>
      <c r="BN256" s="113">
        <v>0</v>
      </c>
      <c r="BO256" s="113">
        <v>0</v>
      </c>
      <c r="BP256" s="113">
        <v>0</v>
      </c>
      <c r="BQ256" s="113">
        <v>0</v>
      </c>
      <c r="BR256" s="113">
        <v>0</v>
      </c>
      <c r="BS256" s="113">
        <v>0</v>
      </c>
      <c r="BT256" s="113">
        <v>0</v>
      </c>
      <c r="BU256" s="113">
        <v>0</v>
      </c>
      <c r="BV256" s="113">
        <v>0</v>
      </c>
      <c r="BW256" s="113"/>
      <c r="BX256" s="113"/>
      <c r="BY256" s="113"/>
      <c r="BZ256" s="113">
        <v>0</v>
      </c>
      <c r="CA256" s="113">
        <v>0</v>
      </c>
      <c r="CB256" s="113">
        <v>0</v>
      </c>
      <c r="CC256" s="113"/>
      <c r="CD256" s="113"/>
      <c r="CE256" s="113"/>
      <c r="CF256" s="113">
        <v>0</v>
      </c>
      <c r="CG256" s="113">
        <v>0</v>
      </c>
      <c r="CH256" s="113">
        <v>0</v>
      </c>
      <c r="CI256" s="113">
        <v>0</v>
      </c>
      <c r="CJ256" s="113">
        <v>0</v>
      </c>
      <c r="CK256" s="113">
        <v>0</v>
      </c>
      <c r="CL256" s="113">
        <v>0</v>
      </c>
      <c r="CM256" s="113">
        <v>0</v>
      </c>
      <c r="CN256" s="113">
        <v>0</v>
      </c>
      <c r="CO256" s="113">
        <v>0</v>
      </c>
      <c r="CP256" s="113">
        <v>0</v>
      </c>
      <c r="CQ256" s="113">
        <v>0</v>
      </c>
      <c r="CR256" s="113">
        <v>0</v>
      </c>
      <c r="CS256" s="113">
        <v>0</v>
      </c>
      <c r="CT256" s="113">
        <v>0</v>
      </c>
      <c r="CU256" s="113">
        <v>0</v>
      </c>
      <c r="CV256" s="113">
        <v>0</v>
      </c>
      <c r="CW256" s="113">
        <v>0</v>
      </c>
      <c r="CX256" s="113">
        <v>0</v>
      </c>
      <c r="CY256" s="113">
        <v>0</v>
      </c>
      <c r="CZ256" s="113">
        <v>0</v>
      </c>
      <c r="DA256" s="113">
        <v>0</v>
      </c>
      <c r="DB256" s="113">
        <v>0</v>
      </c>
      <c r="DC256" s="113">
        <v>0</v>
      </c>
      <c r="DD256" s="113">
        <v>0</v>
      </c>
      <c r="DE256" s="113">
        <v>0</v>
      </c>
      <c r="DF256" s="113">
        <v>0</v>
      </c>
      <c r="DG256" s="113">
        <v>0</v>
      </c>
      <c r="DH256" s="113">
        <v>0</v>
      </c>
      <c r="DI256" s="113">
        <v>0</v>
      </c>
      <c r="DJ256" s="113">
        <v>0</v>
      </c>
      <c r="DK256" s="113">
        <v>0</v>
      </c>
      <c r="DL256" s="113">
        <v>0</v>
      </c>
      <c r="DM256" s="113">
        <v>0</v>
      </c>
      <c r="DN256" s="113">
        <v>0</v>
      </c>
      <c r="DO256" s="113">
        <v>0</v>
      </c>
      <c r="DP256" s="113">
        <v>0</v>
      </c>
      <c r="DQ256" s="113">
        <v>0</v>
      </c>
      <c r="DR256" s="113">
        <v>0</v>
      </c>
      <c r="DS256" s="113">
        <v>0</v>
      </c>
      <c r="DT256" s="113">
        <v>0</v>
      </c>
      <c r="DU256" s="113">
        <v>0</v>
      </c>
      <c r="DV256" s="113">
        <v>0</v>
      </c>
      <c r="DW256" s="113">
        <v>0</v>
      </c>
      <c r="DX256" s="113">
        <v>0</v>
      </c>
      <c r="DY256" s="113">
        <v>0</v>
      </c>
      <c r="DZ256" s="113">
        <v>0</v>
      </c>
      <c r="EA256" s="113">
        <v>0</v>
      </c>
      <c r="EB256" s="113">
        <v>0</v>
      </c>
      <c r="EC256" s="113">
        <v>0</v>
      </c>
      <c r="ED256" s="113">
        <v>0</v>
      </c>
      <c r="EE256" s="113">
        <v>0</v>
      </c>
      <c r="EF256" s="113">
        <v>0</v>
      </c>
      <c r="EG256" s="113">
        <v>0</v>
      </c>
      <c r="EH256" s="113">
        <v>0</v>
      </c>
      <c r="EI256" s="113">
        <v>0</v>
      </c>
      <c r="EJ256" s="113">
        <v>0</v>
      </c>
      <c r="EK256" s="113">
        <v>0</v>
      </c>
      <c r="EL256" s="113">
        <v>0</v>
      </c>
      <c r="EM256" s="113">
        <v>0</v>
      </c>
      <c r="EN256" s="113">
        <v>0</v>
      </c>
      <c r="EO256" s="113">
        <v>0</v>
      </c>
      <c r="EP256" s="113">
        <v>0</v>
      </c>
      <c r="EQ256" s="113">
        <v>0</v>
      </c>
      <c r="ER256" s="113">
        <v>0</v>
      </c>
      <c r="ES256" s="113">
        <v>0</v>
      </c>
      <c r="ET256" s="113">
        <v>0</v>
      </c>
      <c r="EU256" s="113">
        <v>0</v>
      </c>
      <c r="EV256" s="113">
        <v>0</v>
      </c>
      <c r="EW256" s="113">
        <v>0</v>
      </c>
      <c r="EX256" s="113">
        <v>0</v>
      </c>
      <c r="EY256" s="113">
        <v>0</v>
      </c>
      <c r="EZ256" s="113">
        <v>0</v>
      </c>
      <c r="FA256" s="113">
        <v>0</v>
      </c>
      <c r="FB256" s="113">
        <v>0</v>
      </c>
      <c r="FC256" s="113">
        <v>0</v>
      </c>
      <c r="FD256" s="113">
        <v>0</v>
      </c>
      <c r="FE256" s="113">
        <v>0</v>
      </c>
      <c r="FF256" s="113">
        <v>0</v>
      </c>
      <c r="FG256" s="113">
        <v>0</v>
      </c>
      <c r="FH256" s="113">
        <v>0</v>
      </c>
      <c r="FI256" s="113">
        <v>0</v>
      </c>
      <c r="FJ256" s="113">
        <v>0</v>
      </c>
      <c r="FK256" s="113">
        <v>0</v>
      </c>
      <c r="FL256" s="113">
        <v>0</v>
      </c>
      <c r="FM256" s="113">
        <v>0</v>
      </c>
      <c r="FN256" s="113">
        <v>0</v>
      </c>
      <c r="FO256" s="113">
        <v>0</v>
      </c>
      <c r="FP256" s="113">
        <v>0</v>
      </c>
      <c r="FQ256" s="113">
        <v>0</v>
      </c>
      <c r="FR256" s="113">
        <v>0</v>
      </c>
      <c r="FS256" s="113">
        <v>0</v>
      </c>
      <c r="FT256" s="113">
        <v>0</v>
      </c>
      <c r="FU256" s="113">
        <v>0</v>
      </c>
      <c r="FV256" s="113">
        <v>0</v>
      </c>
      <c r="FW256" s="113">
        <v>0</v>
      </c>
      <c r="FX256" s="32">
        <v>0</v>
      </c>
      <c r="FY256" s="30">
        <v>0</v>
      </c>
      <c r="FZ256" s="30">
        <v>0</v>
      </c>
    </row>
    <row r="257" spans="1:182" x14ac:dyDescent="0.2">
      <c r="A257" s="28">
        <v>39387</v>
      </c>
      <c r="B257" s="28"/>
      <c r="C257" s="29">
        <v>305119</v>
      </c>
      <c r="D257" s="29">
        <v>341422</v>
      </c>
      <c r="E257" s="29">
        <f t="shared" si="6"/>
        <v>646541</v>
      </c>
      <c r="F257" s="30">
        <v>9402007</v>
      </c>
      <c r="G257" s="30">
        <v>201897</v>
      </c>
      <c r="H257" s="30">
        <f t="shared" si="7"/>
        <v>9603904</v>
      </c>
      <c r="I257" s="42" t="s">
        <v>75</v>
      </c>
      <c r="J257" s="42" t="s">
        <v>75</v>
      </c>
      <c r="K257" s="32">
        <v>7840467</v>
      </c>
      <c r="L257" s="31" t="s">
        <v>75</v>
      </c>
      <c r="M257" s="31" t="s">
        <v>75</v>
      </c>
      <c r="N257" s="30">
        <v>20362582</v>
      </c>
      <c r="O257" s="31" t="s">
        <v>75</v>
      </c>
      <c r="P257" s="31" t="s">
        <v>75</v>
      </c>
      <c r="Q257" s="30">
        <v>17570841</v>
      </c>
      <c r="R257" s="31" t="s">
        <v>75</v>
      </c>
      <c r="S257" s="31" t="s">
        <v>75</v>
      </c>
      <c r="T257" s="32">
        <v>117300</v>
      </c>
      <c r="U257" s="31" t="s">
        <v>75</v>
      </c>
      <c r="V257" s="31" t="s">
        <v>75</v>
      </c>
      <c r="W257" s="30">
        <v>32723</v>
      </c>
      <c r="X257" s="31" t="s">
        <v>75</v>
      </c>
      <c r="Y257" s="31" t="s">
        <v>75</v>
      </c>
      <c r="Z257" s="30">
        <v>118585</v>
      </c>
      <c r="AA257" s="31" t="s">
        <v>75</v>
      </c>
      <c r="AB257" s="31" t="s">
        <v>75</v>
      </c>
      <c r="AC257" s="30">
        <v>71037</v>
      </c>
      <c r="AD257" s="31" t="s">
        <v>75</v>
      </c>
      <c r="AE257" s="31" t="s">
        <v>75</v>
      </c>
      <c r="AF257" s="30">
        <v>43908</v>
      </c>
      <c r="AG257" s="42" t="s">
        <v>75</v>
      </c>
      <c r="AH257" s="42" t="s">
        <v>75</v>
      </c>
      <c r="AI257" s="32">
        <v>36418</v>
      </c>
      <c r="AJ257" s="31" t="s">
        <v>75</v>
      </c>
      <c r="AK257" s="31" t="s">
        <v>75</v>
      </c>
      <c r="AL257" s="31" t="s">
        <v>75</v>
      </c>
      <c r="AM257" s="31"/>
      <c r="AN257" s="31"/>
      <c r="AO257" s="31"/>
      <c r="AP257" s="31"/>
      <c r="AQ257" s="31"/>
      <c r="AR257" s="31"/>
      <c r="AS257" s="31" t="s">
        <v>75</v>
      </c>
      <c r="AT257" s="31" t="s">
        <v>75</v>
      </c>
      <c r="AU257" s="31" t="s">
        <v>75</v>
      </c>
      <c r="AV257" s="31" t="s">
        <v>75</v>
      </c>
      <c r="AW257" s="31" t="s">
        <v>75</v>
      </c>
      <c r="AX257" s="31" t="s">
        <v>75</v>
      </c>
      <c r="AY257" s="31" t="s">
        <v>75</v>
      </c>
      <c r="AZ257" s="31" t="s">
        <v>75</v>
      </c>
      <c r="BA257" s="29">
        <v>11354444</v>
      </c>
      <c r="BB257" s="31" t="s">
        <v>75</v>
      </c>
      <c r="BC257" s="31" t="s">
        <v>75</v>
      </c>
      <c r="BD257" s="29">
        <v>1801973</v>
      </c>
      <c r="BE257" s="113">
        <v>0</v>
      </c>
      <c r="BF257" s="113">
        <v>0</v>
      </c>
      <c r="BG257" s="113">
        <v>0</v>
      </c>
      <c r="BH257" s="113">
        <v>0</v>
      </c>
      <c r="BI257" s="113">
        <v>0</v>
      </c>
      <c r="BJ257" s="113">
        <v>0</v>
      </c>
      <c r="BK257" s="113">
        <v>0</v>
      </c>
      <c r="BL257" s="113">
        <v>0</v>
      </c>
      <c r="BM257" s="113">
        <v>0</v>
      </c>
      <c r="BN257" s="113">
        <v>0</v>
      </c>
      <c r="BO257" s="113">
        <v>0</v>
      </c>
      <c r="BP257" s="113">
        <v>0</v>
      </c>
      <c r="BQ257" s="113">
        <v>0</v>
      </c>
      <c r="BR257" s="113">
        <v>0</v>
      </c>
      <c r="BS257" s="113">
        <v>0</v>
      </c>
      <c r="BT257" s="113">
        <v>0</v>
      </c>
      <c r="BU257" s="113">
        <v>0</v>
      </c>
      <c r="BV257" s="113">
        <v>0</v>
      </c>
      <c r="BW257" s="113"/>
      <c r="BX257" s="113"/>
      <c r="BY257" s="113"/>
      <c r="BZ257" s="113">
        <v>0</v>
      </c>
      <c r="CA257" s="113">
        <v>0</v>
      </c>
      <c r="CB257" s="113">
        <v>0</v>
      </c>
      <c r="CC257" s="113"/>
      <c r="CD257" s="113"/>
      <c r="CE257" s="113"/>
      <c r="CF257" s="113">
        <v>0</v>
      </c>
      <c r="CG257" s="113">
        <v>0</v>
      </c>
      <c r="CH257" s="113">
        <v>0</v>
      </c>
      <c r="CI257" s="113">
        <v>0</v>
      </c>
      <c r="CJ257" s="113">
        <v>0</v>
      </c>
      <c r="CK257" s="113">
        <v>0</v>
      </c>
      <c r="CL257" s="113">
        <v>0</v>
      </c>
      <c r="CM257" s="113">
        <v>0</v>
      </c>
      <c r="CN257" s="113">
        <v>0</v>
      </c>
      <c r="CO257" s="113">
        <v>0</v>
      </c>
      <c r="CP257" s="113">
        <v>0</v>
      </c>
      <c r="CQ257" s="113">
        <v>0</v>
      </c>
      <c r="CR257" s="113">
        <v>0</v>
      </c>
      <c r="CS257" s="113">
        <v>0</v>
      </c>
      <c r="CT257" s="113">
        <v>0</v>
      </c>
      <c r="CU257" s="113">
        <v>0</v>
      </c>
      <c r="CV257" s="113">
        <v>0</v>
      </c>
      <c r="CW257" s="113">
        <v>0</v>
      </c>
      <c r="CX257" s="113">
        <v>0</v>
      </c>
      <c r="CY257" s="113">
        <v>0</v>
      </c>
      <c r="CZ257" s="113">
        <v>0</v>
      </c>
      <c r="DA257" s="113">
        <v>0</v>
      </c>
      <c r="DB257" s="113">
        <v>0</v>
      </c>
      <c r="DC257" s="113">
        <v>0</v>
      </c>
      <c r="DD257" s="113">
        <v>0</v>
      </c>
      <c r="DE257" s="113">
        <v>0</v>
      </c>
      <c r="DF257" s="113">
        <v>0</v>
      </c>
      <c r="DG257" s="113">
        <v>0</v>
      </c>
      <c r="DH257" s="113">
        <v>0</v>
      </c>
      <c r="DI257" s="113">
        <v>0</v>
      </c>
      <c r="DJ257" s="113">
        <v>0</v>
      </c>
      <c r="DK257" s="113">
        <v>0</v>
      </c>
      <c r="DL257" s="113">
        <v>0</v>
      </c>
      <c r="DM257" s="113">
        <v>0</v>
      </c>
      <c r="DN257" s="113">
        <v>0</v>
      </c>
      <c r="DO257" s="113">
        <v>0</v>
      </c>
      <c r="DP257" s="113">
        <v>0</v>
      </c>
      <c r="DQ257" s="113">
        <v>0</v>
      </c>
      <c r="DR257" s="113">
        <v>0</v>
      </c>
      <c r="DS257" s="113">
        <v>0</v>
      </c>
      <c r="DT257" s="113">
        <v>0</v>
      </c>
      <c r="DU257" s="113">
        <v>0</v>
      </c>
      <c r="DV257" s="113">
        <v>0</v>
      </c>
      <c r="DW257" s="113">
        <v>0</v>
      </c>
      <c r="DX257" s="113">
        <v>0</v>
      </c>
      <c r="DY257" s="113">
        <v>0</v>
      </c>
      <c r="DZ257" s="113">
        <v>0</v>
      </c>
      <c r="EA257" s="113">
        <v>0</v>
      </c>
      <c r="EB257" s="113">
        <v>0</v>
      </c>
      <c r="EC257" s="113">
        <v>0</v>
      </c>
      <c r="ED257" s="113">
        <v>0</v>
      </c>
      <c r="EE257" s="113">
        <v>0</v>
      </c>
      <c r="EF257" s="113">
        <v>0</v>
      </c>
      <c r="EG257" s="113">
        <v>0</v>
      </c>
      <c r="EH257" s="113">
        <v>0</v>
      </c>
      <c r="EI257" s="113">
        <v>0</v>
      </c>
      <c r="EJ257" s="113">
        <v>0</v>
      </c>
      <c r="EK257" s="113">
        <v>0</v>
      </c>
      <c r="EL257" s="113">
        <v>0</v>
      </c>
      <c r="EM257" s="113">
        <v>0</v>
      </c>
      <c r="EN257" s="113">
        <v>0</v>
      </c>
      <c r="EO257" s="113">
        <v>0</v>
      </c>
      <c r="EP257" s="113">
        <v>0</v>
      </c>
      <c r="EQ257" s="113">
        <v>0</v>
      </c>
      <c r="ER257" s="113">
        <v>0</v>
      </c>
      <c r="ES257" s="113">
        <v>0</v>
      </c>
      <c r="ET257" s="113">
        <v>0</v>
      </c>
      <c r="EU257" s="113">
        <v>0</v>
      </c>
      <c r="EV257" s="113">
        <v>0</v>
      </c>
      <c r="EW257" s="113">
        <v>0</v>
      </c>
      <c r="EX257" s="113">
        <v>0</v>
      </c>
      <c r="EY257" s="113">
        <v>0</v>
      </c>
      <c r="EZ257" s="113">
        <v>0</v>
      </c>
      <c r="FA257" s="113">
        <v>0</v>
      </c>
      <c r="FB257" s="113">
        <v>0</v>
      </c>
      <c r="FC257" s="113">
        <v>0</v>
      </c>
      <c r="FD257" s="113">
        <v>0</v>
      </c>
      <c r="FE257" s="113">
        <v>0</v>
      </c>
      <c r="FF257" s="113">
        <v>0</v>
      </c>
      <c r="FG257" s="113">
        <v>0</v>
      </c>
      <c r="FH257" s="113">
        <v>0</v>
      </c>
      <c r="FI257" s="113">
        <v>0</v>
      </c>
      <c r="FJ257" s="113">
        <v>0</v>
      </c>
      <c r="FK257" s="113">
        <v>0</v>
      </c>
      <c r="FL257" s="113">
        <v>0</v>
      </c>
      <c r="FM257" s="113">
        <v>0</v>
      </c>
      <c r="FN257" s="113">
        <v>0</v>
      </c>
      <c r="FO257" s="113">
        <v>0</v>
      </c>
      <c r="FP257" s="113">
        <v>0</v>
      </c>
      <c r="FQ257" s="113">
        <v>0</v>
      </c>
      <c r="FR257" s="113">
        <v>0</v>
      </c>
      <c r="FS257" s="113">
        <v>0</v>
      </c>
      <c r="FT257" s="113">
        <v>0</v>
      </c>
      <c r="FU257" s="113">
        <v>0</v>
      </c>
      <c r="FV257" s="113">
        <v>0</v>
      </c>
      <c r="FW257" s="113">
        <v>0</v>
      </c>
      <c r="FX257" s="32">
        <v>0</v>
      </c>
      <c r="FY257" s="30">
        <v>0</v>
      </c>
      <c r="FZ257" s="30">
        <v>0</v>
      </c>
    </row>
    <row r="258" spans="1:182" x14ac:dyDescent="0.2">
      <c r="A258" s="28">
        <v>39417</v>
      </c>
      <c r="B258" s="28"/>
      <c r="C258" s="29">
        <v>386114</v>
      </c>
      <c r="D258" s="29">
        <v>426129</v>
      </c>
      <c r="E258" s="29">
        <f t="shared" si="6"/>
        <v>812243</v>
      </c>
      <c r="F258" s="30">
        <v>12649638</v>
      </c>
      <c r="G258" s="30">
        <v>443035</v>
      </c>
      <c r="H258" s="30">
        <f t="shared" si="7"/>
        <v>13092673</v>
      </c>
      <c r="I258" s="42" t="s">
        <v>75</v>
      </c>
      <c r="J258" s="42" t="s">
        <v>75</v>
      </c>
      <c r="K258" s="32">
        <v>9833966</v>
      </c>
      <c r="L258" s="31" t="s">
        <v>75</v>
      </c>
      <c r="M258" s="31" t="s">
        <v>75</v>
      </c>
      <c r="N258" s="30">
        <v>26300372</v>
      </c>
      <c r="O258" s="31" t="s">
        <v>75</v>
      </c>
      <c r="P258" s="31" t="s">
        <v>75</v>
      </c>
      <c r="Q258" s="30">
        <v>19089755</v>
      </c>
      <c r="R258" s="31" t="s">
        <v>75</v>
      </c>
      <c r="S258" s="31" t="s">
        <v>75</v>
      </c>
      <c r="T258" s="32">
        <v>18220</v>
      </c>
      <c r="U258" s="31" t="s">
        <v>75</v>
      </c>
      <c r="V258" s="31" t="s">
        <v>75</v>
      </c>
      <c r="W258" s="30">
        <v>50701</v>
      </c>
      <c r="X258" s="31" t="s">
        <v>75</v>
      </c>
      <c r="Y258" s="31" t="s">
        <v>75</v>
      </c>
      <c r="Z258" s="30">
        <v>157345</v>
      </c>
      <c r="AA258" s="31" t="s">
        <v>75</v>
      </c>
      <c r="AB258" s="31" t="s">
        <v>75</v>
      </c>
      <c r="AC258" s="30">
        <v>87712</v>
      </c>
      <c r="AD258" s="31" t="s">
        <v>75</v>
      </c>
      <c r="AE258" s="31" t="s">
        <v>75</v>
      </c>
      <c r="AF258" s="30">
        <v>71325</v>
      </c>
      <c r="AG258" s="42" t="s">
        <v>75</v>
      </c>
      <c r="AH258" s="42" t="s">
        <v>75</v>
      </c>
      <c r="AI258" s="32">
        <v>63206</v>
      </c>
      <c r="AJ258" s="31" t="s">
        <v>75</v>
      </c>
      <c r="AK258" s="31" t="s">
        <v>75</v>
      </c>
      <c r="AL258" s="31" t="s">
        <v>75</v>
      </c>
      <c r="AM258" s="31"/>
      <c r="AN258" s="31"/>
      <c r="AO258" s="31"/>
      <c r="AP258" s="31"/>
      <c r="AQ258" s="31"/>
      <c r="AR258" s="31"/>
      <c r="AS258" s="31" t="s">
        <v>75</v>
      </c>
      <c r="AT258" s="31" t="s">
        <v>75</v>
      </c>
      <c r="AU258" s="31" t="s">
        <v>75</v>
      </c>
      <c r="AV258" s="31" t="s">
        <v>75</v>
      </c>
      <c r="AW258" s="31" t="s">
        <v>75</v>
      </c>
      <c r="AX258" s="31" t="s">
        <v>75</v>
      </c>
      <c r="AY258" s="31" t="s">
        <v>75</v>
      </c>
      <c r="AZ258" s="31" t="s">
        <v>75</v>
      </c>
      <c r="BA258" s="29">
        <v>13648405</v>
      </c>
      <c r="BB258" s="31" t="s">
        <v>75</v>
      </c>
      <c r="BC258" s="31" t="s">
        <v>75</v>
      </c>
      <c r="BD258" s="29">
        <v>2140175</v>
      </c>
      <c r="BE258" s="113">
        <v>0</v>
      </c>
      <c r="BF258" s="113">
        <v>0</v>
      </c>
      <c r="BG258" s="113">
        <v>0</v>
      </c>
      <c r="BH258" s="113">
        <v>0</v>
      </c>
      <c r="BI258" s="113">
        <v>0</v>
      </c>
      <c r="BJ258" s="113">
        <v>0</v>
      </c>
      <c r="BK258" s="113">
        <v>0</v>
      </c>
      <c r="BL258" s="113">
        <v>0</v>
      </c>
      <c r="BM258" s="113">
        <v>0</v>
      </c>
      <c r="BN258" s="113">
        <v>0</v>
      </c>
      <c r="BO258" s="113">
        <v>0</v>
      </c>
      <c r="BP258" s="113">
        <v>0</v>
      </c>
      <c r="BQ258" s="113">
        <v>0</v>
      </c>
      <c r="BR258" s="113">
        <v>0</v>
      </c>
      <c r="BS258" s="113">
        <v>0</v>
      </c>
      <c r="BT258" s="113">
        <v>0</v>
      </c>
      <c r="BU258" s="113">
        <v>0</v>
      </c>
      <c r="BV258" s="113">
        <v>0</v>
      </c>
      <c r="BW258" s="113"/>
      <c r="BX258" s="113"/>
      <c r="BY258" s="113"/>
      <c r="BZ258" s="113">
        <v>0</v>
      </c>
      <c r="CA258" s="113">
        <v>0</v>
      </c>
      <c r="CB258" s="113">
        <v>0</v>
      </c>
      <c r="CC258" s="113"/>
      <c r="CD258" s="113"/>
      <c r="CE258" s="113"/>
      <c r="CF258" s="113">
        <v>0</v>
      </c>
      <c r="CG258" s="113">
        <v>0</v>
      </c>
      <c r="CH258" s="113">
        <v>0</v>
      </c>
      <c r="CI258" s="113">
        <v>0</v>
      </c>
      <c r="CJ258" s="113">
        <v>0</v>
      </c>
      <c r="CK258" s="113">
        <v>0</v>
      </c>
      <c r="CL258" s="113">
        <v>0</v>
      </c>
      <c r="CM258" s="113">
        <v>0</v>
      </c>
      <c r="CN258" s="113">
        <v>0</v>
      </c>
      <c r="CO258" s="113">
        <v>0</v>
      </c>
      <c r="CP258" s="113">
        <v>0</v>
      </c>
      <c r="CQ258" s="113">
        <v>0</v>
      </c>
      <c r="CR258" s="113">
        <v>0</v>
      </c>
      <c r="CS258" s="113">
        <v>0</v>
      </c>
      <c r="CT258" s="113">
        <v>0</v>
      </c>
      <c r="CU258" s="113">
        <v>0</v>
      </c>
      <c r="CV258" s="113">
        <v>0</v>
      </c>
      <c r="CW258" s="113">
        <v>0</v>
      </c>
      <c r="CX258" s="113">
        <v>0</v>
      </c>
      <c r="CY258" s="113">
        <v>0</v>
      </c>
      <c r="CZ258" s="113">
        <v>0</v>
      </c>
      <c r="DA258" s="113">
        <v>0</v>
      </c>
      <c r="DB258" s="113">
        <v>0</v>
      </c>
      <c r="DC258" s="113">
        <v>0</v>
      </c>
      <c r="DD258" s="113">
        <v>0</v>
      </c>
      <c r="DE258" s="113">
        <v>0</v>
      </c>
      <c r="DF258" s="113">
        <v>0</v>
      </c>
      <c r="DG258" s="113">
        <v>0</v>
      </c>
      <c r="DH258" s="113">
        <v>0</v>
      </c>
      <c r="DI258" s="113">
        <v>0</v>
      </c>
      <c r="DJ258" s="113">
        <v>0</v>
      </c>
      <c r="DK258" s="113">
        <v>0</v>
      </c>
      <c r="DL258" s="113">
        <v>0</v>
      </c>
      <c r="DM258" s="113">
        <v>0</v>
      </c>
      <c r="DN258" s="113">
        <v>0</v>
      </c>
      <c r="DO258" s="113">
        <v>0</v>
      </c>
      <c r="DP258" s="113">
        <v>0</v>
      </c>
      <c r="DQ258" s="113">
        <v>0</v>
      </c>
      <c r="DR258" s="113">
        <v>0</v>
      </c>
      <c r="DS258" s="113">
        <v>0</v>
      </c>
      <c r="DT258" s="113">
        <v>0</v>
      </c>
      <c r="DU258" s="113">
        <v>0</v>
      </c>
      <c r="DV258" s="113">
        <v>0</v>
      </c>
      <c r="DW258" s="113">
        <v>0</v>
      </c>
      <c r="DX258" s="113">
        <v>0</v>
      </c>
      <c r="DY258" s="113">
        <v>0</v>
      </c>
      <c r="DZ258" s="113">
        <v>0</v>
      </c>
      <c r="EA258" s="113">
        <v>0</v>
      </c>
      <c r="EB258" s="113">
        <v>0</v>
      </c>
      <c r="EC258" s="113">
        <v>0</v>
      </c>
      <c r="ED258" s="113">
        <v>0</v>
      </c>
      <c r="EE258" s="113">
        <v>0</v>
      </c>
      <c r="EF258" s="113">
        <v>0</v>
      </c>
      <c r="EG258" s="113">
        <v>0</v>
      </c>
      <c r="EH258" s="113">
        <v>0</v>
      </c>
      <c r="EI258" s="113">
        <v>0</v>
      </c>
      <c r="EJ258" s="113">
        <v>0</v>
      </c>
      <c r="EK258" s="113">
        <v>0</v>
      </c>
      <c r="EL258" s="113">
        <v>0</v>
      </c>
      <c r="EM258" s="113">
        <v>0</v>
      </c>
      <c r="EN258" s="113">
        <v>0</v>
      </c>
      <c r="EO258" s="113">
        <v>0</v>
      </c>
      <c r="EP258" s="113">
        <v>0</v>
      </c>
      <c r="EQ258" s="113">
        <v>0</v>
      </c>
      <c r="ER258" s="113">
        <v>0</v>
      </c>
      <c r="ES258" s="113">
        <v>0</v>
      </c>
      <c r="ET258" s="113">
        <v>0</v>
      </c>
      <c r="EU258" s="113">
        <v>0</v>
      </c>
      <c r="EV258" s="113">
        <v>0</v>
      </c>
      <c r="EW258" s="113">
        <v>0</v>
      </c>
      <c r="EX258" s="113">
        <v>0</v>
      </c>
      <c r="EY258" s="113">
        <v>0</v>
      </c>
      <c r="EZ258" s="113">
        <v>0</v>
      </c>
      <c r="FA258" s="113">
        <v>0</v>
      </c>
      <c r="FB258" s="113">
        <v>0</v>
      </c>
      <c r="FC258" s="113">
        <v>0</v>
      </c>
      <c r="FD258" s="113">
        <v>0</v>
      </c>
      <c r="FE258" s="113">
        <v>0</v>
      </c>
      <c r="FF258" s="113">
        <v>0</v>
      </c>
      <c r="FG258" s="113">
        <v>0</v>
      </c>
      <c r="FH258" s="113">
        <v>0</v>
      </c>
      <c r="FI258" s="113">
        <v>0</v>
      </c>
      <c r="FJ258" s="113">
        <v>0</v>
      </c>
      <c r="FK258" s="113">
        <v>0</v>
      </c>
      <c r="FL258" s="113">
        <v>0</v>
      </c>
      <c r="FM258" s="113">
        <v>0</v>
      </c>
      <c r="FN258" s="113">
        <v>0</v>
      </c>
      <c r="FO258" s="113">
        <v>0</v>
      </c>
      <c r="FP258" s="113">
        <v>0</v>
      </c>
      <c r="FQ258" s="113">
        <v>0</v>
      </c>
      <c r="FR258" s="113">
        <v>0</v>
      </c>
      <c r="FS258" s="113">
        <v>0</v>
      </c>
      <c r="FT258" s="113">
        <v>0</v>
      </c>
      <c r="FU258" s="113">
        <v>0</v>
      </c>
      <c r="FV258" s="113">
        <v>0</v>
      </c>
      <c r="FW258" s="113">
        <v>0</v>
      </c>
      <c r="FX258" s="32">
        <v>0</v>
      </c>
      <c r="FY258" s="30">
        <v>0</v>
      </c>
      <c r="FZ258" s="30">
        <v>0</v>
      </c>
    </row>
    <row r="259" spans="1:182" x14ac:dyDescent="0.2">
      <c r="A259" s="28">
        <v>39448</v>
      </c>
      <c r="B259" s="28"/>
      <c r="C259" s="29">
        <v>69676</v>
      </c>
      <c r="D259" s="29">
        <v>119963</v>
      </c>
      <c r="E259" s="29">
        <f t="shared" si="6"/>
        <v>189639</v>
      </c>
      <c r="F259" s="30">
        <v>9412135</v>
      </c>
      <c r="G259" s="30">
        <v>73268</v>
      </c>
      <c r="H259" s="30">
        <f t="shared" si="7"/>
        <v>9485403</v>
      </c>
      <c r="I259" s="42" t="s">
        <v>75</v>
      </c>
      <c r="J259" s="42" t="s">
        <v>75</v>
      </c>
      <c r="K259" s="32">
        <v>7191341</v>
      </c>
      <c r="L259" s="31" t="s">
        <v>75</v>
      </c>
      <c r="M259" s="31" t="s">
        <v>75</v>
      </c>
      <c r="N259" s="30">
        <v>20450225</v>
      </c>
      <c r="O259" s="31" t="s">
        <v>75</v>
      </c>
      <c r="P259" s="31" t="s">
        <v>75</v>
      </c>
      <c r="Q259" s="30">
        <v>20134735</v>
      </c>
      <c r="R259" s="31" t="s">
        <v>75</v>
      </c>
      <c r="S259" s="31" t="s">
        <v>75</v>
      </c>
      <c r="T259" s="32">
        <v>19201</v>
      </c>
      <c r="U259" s="31" t="s">
        <v>75</v>
      </c>
      <c r="V259" s="31" t="s">
        <v>75</v>
      </c>
      <c r="W259" s="30">
        <v>35745</v>
      </c>
      <c r="X259" s="31" t="s">
        <v>75</v>
      </c>
      <c r="Y259" s="31" t="s">
        <v>75</v>
      </c>
      <c r="Z259" s="30">
        <v>42386</v>
      </c>
      <c r="AA259" s="31" t="s">
        <v>75</v>
      </c>
      <c r="AB259" s="31" t="s">
        <v>75</v>
      </c>
      <c r="AC259" s="30">
        <v>102996</v>
      </c>
      <c r="AD259" s="31" t="s">
        <v>75</v>
      </c>
      <c r="AE259" s="31" t="s">
        <v>75</v>
      </c>
      <c r="AF259" s="30">
        <v>22915</v>
      </c>
      <c r="AG259" s="42" t="s">
        <v>75</v>
      </c>
      <c r="AH259" s="42" t="s">
        <v>75</v>
      </c>
      <c r="AI259" s="32">
        <v>35593</v>
      </c>
      <c r="AJ259" s="31" t="s">
        <v>75</v>
      </c>
      <c r="AK259" s="31" t="s">
        <v>75</v>
      </c>
      <c r="AL259" s="31" t="s">
        <v>75</v>
      </c>
      <c r="AM259" s="31"/>
      <c r="AN259" s="31"/>
      <c r="AO259" s="31"/>
      <c r="AP259" s="31"/>
      <c r="AQ259" s="31"/>
      <c r="AR259" s="31"/>
      <c r="AS259" s="31" t="s">
        <v>75</v>
      </c>
      <c r="AT259" s="31" t="s">
        <v>75</v>
      </c>
      <c r="AU259" s="31" t="s">
        <v>75</v>
      </c>
      <c r="AV259" s="31" t="s">
        <v>75</v>
      </c>
      <c r="AW259" s="31" t="s">
        <v>75</v>
      </c>
      <c r="AX259" s="31" t="s">
        <v>75</v>
      </c>
      <c r="AY259" s="31" t="s">
        <v>75</v>
      </c>
      <c r="AZ259" s="31" t="s">
        <v>75</v>
      </c>
      <c r="BA259" s="29">
        <v>12907592</v>
      </c>
      <c r="BB259" s="31" t="s">
        <v>75</v>
      </c>
      <c r="BC259" s="31" t="s">
        <v>75</v>
      </c>
      <c r="BD259" s="29">
        <v>1616175</v>
      </c>
      <c r="BE259" s="113">
        <v>0</v>
      </c>
      <c r="BF259" s="113">
        <v>0</v>
      </c>
      <c r="BG259" s="113">
        <v>0</v>
      </c>
      <c r="BH259" s="113">
        <v>0</v>
      </c>
      <c r="BI259" s="113">
        <v>0</v>
      </c>
      <c r="BJ259" s="113">
        <v>0</v>
      </c>
      <c r="BK259" s="113">
        <v>0</v>
      </c>
      <c r="BL259" s="113">
        <v>0</v>
      </c>
      <c r="BM259" s="113">
        <v>0</v>
      </c>
      <c r="BN259" s="113">
        <v>0</v>
      </c>
      <c r="BO259" s="113">
        <v>0</v>
      </c>
      <c r="BP259" s="113">
        <v>0</v>
      </c>
      <c r="BQ259" s="113">
        <v>0</v>
      </c>
      <c r="BR259" s="113">
        <v>0</v>
      </c>
      <c r="BS259" s="113">
        <v>0</v>
      </c>
      <c r="BT259" s="113">
        <v>0</v>
      </c>
      <c r="BU259" s="113">
        <v>0</v>
      </c>
      <c r="BV259" s="113">
        <v>0</v>
      </c>
      <c r="BW259" s="113"/>
      <c r="BX259" s="113"/>
      <c r="BY259" s="113"/>
      <c r="BZ259" s="113">
        <v>0</v>
      </c>
      <c r="CA259" s="113">
        <v>0</v>
      </c>
      <c r="CB259" s="113">
        <v>0</v>
      </c>
      <c r="CC259" s="113"/>
      <c r="CD259" s="113"/>
      <c r="CE259" s="113"/>
      <c r="CF259" s="113">
        <v>0</v>
      </c>
      <c r="CG259" s="113">
        <v>0</v>
      </c>
      <c r="CH259" s="113">
        <v>0</v>
      </c>
      <c r="CI259" s="113">
        <v>0</v>
      </c>
      <c r="CJ259" s="113">
        <v>0</v>
      </c>
      <c r="CK259" s="113">
        <v>0</v>
      </c>
      <c r="CL259" s="113">
        <v>0</v>
      </c>
      <c r="CM259" s="113">
        <v>0</v>
      </c>
      <c r="CN259" s="113">
        <v>0</v>
      </c>
      <c r="CO259" s="113">
        <v>0</v>
      </c>
      <c r="CP259" s="113">
        <v>0</v>
      </c>
      <c r="CQ259" s="113">
        <v>0</v>
      </c>
      <c r="CR259" s="113">
        <v>0</v>
      </c>
      <c r="CS259" s="113">
        <v>0</v>
      </c>
      <c r="CT259" s="113">
        <v>0</v>
      </c>
      <c r="CU259" s="113">
        <v>0</v>
      </c>
      <c r="CV259" s="113">
        <v>0</v>
      </c>
      <c r="CW259" s="113">
        <v>0</v>
      </c>
      <c r="CX259" s="113">
        <v>0</v>
      </c>
      <c r="CY259" s="113">
        <v>0</v>
      </c>
      <c r="CZ259" s="113">
        <v>0</v>
      </c>
      <c r="DA259" s="113">
        <v>0</v>
      </c>
      <c r="DB259" s="113">
        <v>0</v>
      </c>
      <c r="DC259" s="113">
        <v>0</v>
      </c>
      <c r="DD259" s="113">
        <v>0</v>
      </c>
      <c r="DE259" s="113">
        <v>0</v>
      </c>
      <c r="DF259" s="113">
        <v>0</v>
      </c>
      <c r="DG259" s="113">
        <v>0</v>
      </c>
      <c r="DH259" s="113">
        <v>0</v>
      </c>
      <c r="DI259" s="113">
        <v>0</v>
      </c>
      <c r="DJ259" s="113">
        <v>0</v>
      </c>
      <c r="DK259" s="113">
        <v>0</v>
      </c>
      <c r="DL259" s="113">
        <v>0</v>
      </c>
      <c r="DM259" s="113">
        <v>0</v>
      </c>
      <c r="DN259" s="113">
        <v>0</v>
      </c>
      <c r="DO259" s="113">
        <v>0</v>
      </c>
      <c r="DP259" s="113">
        <v>0</v>
      </c>
      <c r="DQ259" s="113">
        <v>0</v>
      </c>
      <c r="DR259" s="113">
        <v>0</v>
      </c>
      <c r="DS259" s="113">
        <v>0</v>
      </c>
      <c r="DT259" s="113">
        <v>0</v>
      </c>
      <c r="DU259" s="113">
        <v>0</v>
      </c>
      <c r="DV259" s="113">
        <v>0</v>
      </c>
      <c r="DW259" s="113">
        <v>0</v>
      </c>
      <c r="DX259" s="113">
        <v>0</v>
      </c>
      <c r="DY259" s="113">
        <v>0</v>
      </c>
      <c r="DZ259" s="113">
        <v>0</v>
      </c>
      <c r="EA259" s="113">
        <v>0</v>
      </c>
      <c r="EB259" s="113">
        <v>0</v>
      </c>
      <c r="EC259" s="113">
        <v>0</v>
      </c>
      <c r="ED259" s="113">
        <v>0</v>
      </c>
      <c r="EE259" s="113">
        <v>0</v>
      </c>
      <c r="EF259" s="113">
        <v>0</v>
      </c>
      <c r="EG259" s="113">
        <v>0</v>
      </c>
      <c r="EH259" s="113">
        <v>0</v>
      </c>
      <c r="EI259" s="113">
        <v>0</v>
      </c>
      <c r="EJ259" s="113">
        <v>0</v>
      </c>
      <c r="EK259" s="113">
        <v>0</v>
      </c>
      <c r="EL259" s="113">
        <v>0</v>
      </c>
      <c r="EM259" s="113">
        <v>0</v>
      </c>
      <c r="EN259" s="113">
        <v>0</v>
      </c>
      <c r="EO259" s="113">
        <v>0</v>
      </c>
      <c r="EP259" s="113">
        <v>0</v>
      </c>
      <c r="EQ259" s="113">
        <v>0</v>
      </c>
      <c r="ER259" s="113">
        <v>0</v>
      </c>
      <c r="ES259" s="113">
        <v>0</v>
      </c>
      <c r="ET259" s="113">
        <v>0</v>
      </c>
      <c r="EU259" s="113">
        <v>0</v>
      </c>
      <c r="EV259" s="113">
        <v>0</v>
      </c>
      <c r="EW259" s="113">
        <v>0</v>
      </c>
      <c r="EX259" s="113">
        <v>0</v>
      </c>
      <c r="EY259" s="113">
        <v>0</v>
      </c>
      <c r="EZ259" s="113">
        <v>0</v>
      </c>
      <c r="FA259" s="113">
        <v>0</v>
      </c>
      <c r="FB259" s="113">
        <v>0</v>
      </c>
      <c r="FC259" s="113">
        <v>0</v>
      </c>
      <c r="FD259" s="113">
        <v>0</v>
      </c>
      <c r="FE259" s="113">
        <v>0</v>
      </c>
      <c r="FF259" s="113">
        <v>0</v>
      </c>
      <c r="FG259" s="113">
        <v>0</v>
      </c>
      <c r="FH259" s="113">
        <v>0</v>
      </c>
      <c r="FI259" s="113">
        <v>0</v>
      </c>
      <c r="FJ259" s="113">
        <v>0</v>
      </c>
      <c r="FK259" s="113">
        <v>0</v>
      </c>
      <c r="FL259" s="113">
        <v>0</v>
      </c>
      <c r="FM259" s="113">
        <v>0</v>
      </c>
      <c r="FN259" s="113">
        <v>0</v>
      </c>
      <c r="FO259" s="113">
        <v>0</v>
      </c>
      <c r="FP259" s="113">
        <v>0</v>
      </c>
      <c r="FQ259" s="113">
        <v>0</v>
      </c>
      <c r="FR259" s="113">
        <v>0</v>
      </c>
      <c r="FS259" s="113">
        <v>0</v>
      </c>
      <c r="FT259" s="113">
        <v>0</v>
      </c>
      <c r="FU259" s="113">
        <v>0</v>
      </c>
      <c r="FV259" s="113">
        <v>0</v>
      </c>
      <c r="FW259" s="113">
        <v>0</v>
      </c>
      <c r="FX259" s="32">
        <v>0</v>
      </c>
      <c r="FY259" s="30">
        <v>0</v>
      </c>
      <c r="FZ259" s="30">
        <v>0</v>
      </c>
    </row>
    <row r="260" spans="1:182" x14ac:dyDescent="0.2">
      <c r="A260" s="28">
        <v>39479</v>
      </c>
      <c r="B260" s="28"/>
      <c r="C260" s="29">
        <v>128917</v>
      </c>
      <c r="D260" s="29">
        <v>135419</v>
      </c>
      <c r="E260" s="29">
        <f t="shared" si="6"/>
        <v>264336</v>
      </c>
      <c r="F260" s="30">
        <v>8013205</v>
      </c>
      <c r="G260" s="30">
        <v>124172</v>
      </c>
      <c r="H260" s="30">
        <f t="shared" si="7"/>
        <v>8137377</v>
      </c>
      <c r="I260" s="42" t="s">
        <v>75</v>
      </c>
      <c r="J260" s="42" t="s">
        <v>75</v>
      </c>
      <c r="K260" s="32">
        <v>7269351</v>
      </c>
      <c r="L260" s="31" t="s">
        <v>75</v>
      </c>
      <c r="M260" s="31" t="s">
        <v>75</v>
      </c>
      <c r="N260" s="30">
        <v>19405151</v>
      </c>
      <c r="O260" s="31" t="s">
        <v>75</v>
      </c>
      <c r="P260" s="31" t="s">
        <v>75</v>
      </c>
      <c r="Q260" s="30">
        <v>19344935</v>
      </c>
      <c r="R260" s="31" t="s">
        <v>75</v>
      </c>
      <c r="S260" s="31" t="s">
        <v>75</v>
      </c>
      <c r="T260" s="32">
        <v>149325</v>
      </c>
      <c r="U260" s="31" t="s">
        <v>75</v>
      </c>
      <c r="V260" s="31" t="s">
        <v>75</v>
      </c>
      <c r="W260" s="30">
        <v>28617</v>
      </c>
      <c r="X260" s="31" t="s">
        <v>75</v>
      </c>
      <c r="Y260" s="31" t="s">
        <v>75</v>
      </c>
      <c r="Z260" s="30">
        <v>36812</v>
      </c>
      <c r="AA260" s="31" t="s">
        <v>75</v>
      </c>
      <c r="AB260" s="31" t="s">
        <v>75</v>
      </c>
      <c r="AC260" s="30">
        <v>69618</v>
      </c>
      <c r="AD260" s="31" t="s">
        <v>75</v>
      </c>
      <c r="AE260" s="31" t="s">
        <v>75</v>
      </c>
      <c r="AF260" s="30">
        <v>13156</v>
      </c>
      <c r="AG260" s="42" t="s">
        <v>75</v>
      </c>
      <c r="AH260" s="42" t="s">
        <v>75</v>
      </c>
      <c r="AI260" s="32">
        <v>20476</v>
      </c>
      <c r="AJ260" s="31" t="s">
        <v>75</v>
      </c>
      <c r="AK260" s="31" t="s">
        <v>75</v>
      </c>
      <c r="AL260" s="31" t="s">
        <v>75</v>
      </c>
      <c r="AM260" s="31"/>
      <c r="AN260" s="31"/>
      <c r="AO260" s="31"/>
      <c r="AP260" s="31"/>
      <c r="AQ260" s="31"/>
      <c r="AR260" s="31"/>
      <c r="AS260" s="31" t="s">
        <v>75</v>
      </c>
      <c r="AT260" s="31" t="s">
        <v>75</v>
      </c>
      <c r="AU260" s="31" t="s">
        <v>75</v>
      </c>
      <c r="AV260" s="31" t="s">
        <v>75</v>
      </c>
      <c r="AW260" s="31" t="s">
        <v>75</v>
      </c>
      <c r="AX260" s="31" t="s">
        <v>75</v>
      </c>
      <c r="AY260" s="31" t="s">
        <v>75</v>
      </c>
      <c r="AZ260" s="31" t="s">
        <v>75</v>
      </c>
      <c r="BA260" s="29">
        <v>10779006</v>
      </c>
      <c r="BB260" s="31" t="s">
        <v>75</v>
      </c>
      <c r="BC260" s="31" t="s">
        <v>75</v>
      </c>
      <c r="BD260" s="29">
        <v>1529040</v>
      </c>
      <c r="BE260" s="113">
        <v>0</v>
      </c>
      <c r="BF260" s="113">
        <v>0</v>
      </c>
      <c r="BG260" s="113">
        <v>0</v>
      </c>
      <c r="BH260" s="113">
        <v>0</v>
      </c>
      <c r="BI260" s="113">
        <v>0</v>
      </c>
      <c r="BJ260" s="113">
        <v>0</v>
      </c>
      <c r="BK260" s="113">
        <v>0</v>
      </c>
      <c r="BL260" s="113">
        <v>0</v>
      </c>
      <c r="BM260" s="113">
        <v>0</v>
      </c>
      <c r="BN260" s="113">
        <v>0</v>
      </c>
      <c r="BO260" s="113">
        <v>0</v>
      </c>
      <c r="BP260" s="113">
        <v>0</v>
      </c>
      <c r="BQ260" s="113">
        <v>0</v>
      </c>
      <c r="BR260" s="113">
        <v>0</v>
      </c>
      <c r="BS260" s="113">
        <v>0</v>
      </c>
      <c r="BT260" s="113">
        <v>0</v>
      </c>
      <c r="BU260" s="113">
        <v>0</v>
      </c>
      <c r="BV260" s="113">
        <v>0</v>
      </c>
      <c r="BW260" s="113"/>
      <c r="BX260" s="113"/>
      <c r="BY260" s="113"/>
      <c r="BZ260" s="113">
        <v>0</v>
      </c>
      <c r="CA260" s="113">
        <v>0</v>
      </c>
      <c r="CB260" s="113">
        <v>0</v>
      </c>
      <c r="CC260" s="113"/>
      <c r="CD260" s="113"/>
      <c r="CE260" s="113"/>
      <c r="CF260" s="113">
        <v>0</v>
      </c>
      <c r="CG260" s="113">
        <v>0</v>
      </c>
      <c r="CH260" s="113">
        <v>0</v>
      </c>
      <c r="CI260" s="113">
        <v>0</v>
      </c>
      <c r="CJ260" s="113">
        <v>0</v>
      </c>
      <c r="CK260" s="113">
        <v>0</v>
      </c>
      <c r="CL260" s="113">
        <v>0</v>
      </c>
      <c r="CM260" s="113">
        <v>0</v>
      </c>
      <c r="CN260" s="113">
        <v>0</v>
      </c>
      <c r="CO260" s="113">
        <v>0</v>
      </c>
      <c r="CP260" s="113">
        <v>0</v>
      </c>
      <c r="CQ260" s="113">
        <v>0</v>
      </c>
      <c r="CR260" s="113">
        <v>0</v>
      </c>
      <c r="CS260" s="113">
        <v>0</v>
      </c>
      <c r="CT260" s="113">
        <v>0</v>
      </c>
      <c r="CU260" s="113">
        <v>0</v>
      </c>
      <c r="CV260" s="113">
        <v>0</v>
      </c>
      <c r="CW260" s="113">
        <v>0</v>
      </c>
      <c r="CX260" s="113">
        <v>0</v>
      </c>
      <c r="CY260" s="113">
        <v>0</v>
      </c>
      <c r="CZ260" s="113">
        <v>0</v>
      </c>
      <c r="DA260" s="113">
        <v>0</v>
      </c>
      <c r="DB260" s="113">
        <v>0</v>
      </c>
      <c r="DC260" s="113">
        <v>0</v>
      </c>
      <c r="DD260" s="113">
        <v>0</v>
      </c>
      <c r="DE260" s="113">
        <v>0</v>
      </c>
      <c r="DF260" s="113">
        <v>0</v>
      </c>
      <c r="DG260" s="113">
        <v>0</v>
      </c>
      <c r="DH260" s="113">
        <v>0</v>
      </c>
      <c r="DI260" s="113">
        <v>0</v>
      </c>
      <c r="DJ260" s="113">
        <v>0</v>
      </c>
      <c r="DK260" s="113">
        <v>0</v>
      </c>
      <c r="DL260" s="113">
        <v>0</v>
      </c>
      <c r="DM260" s="113">
        <v>0</v>
      </c>
      <c r="DN260" s="113">
        <v>0</v>
      </c>
      <c r="DO260" s="113">
        <v>0</v>
      </c>
      <c r="DP260" s="113">
        <v>0</v>
      </c>
      <c r="DQ260" s="113">
        <v>0</v>
      </c>
      <c r="DR260" s="113">
        <v>0</v>
      </c>
      <c r="DS260" s="113">
        <v>0</v>
      </c>
      <c r="DT260" s="113">
        <v>0</v>
      </c>
      <c r="DU260" s="113">
        <v>0</v>
      </c>
      <c r="DV260" s="113">
        <v>0</v>
      </c>
      <c r="DW260" s="113">
        <v>0</v>
      </c>
      <c r="DX260" s="113">
        <v>0</v>
      </c>
      <c r="DY260" s="113">
        <v>0</v>
      </c>
      <c r="DZ260" s="113">
        <v>0</v>
      </c>
      <c r="EA260" s="113">
        <v>0</v>
      </c>
      <c r="EB260" s="113">
        <v>0</v>
      </c>
      <c r="EC260" s="113">
        <v>0</v>
      </c>
      <c r="ED260" s="113">
        <v>0</v>
      </c>
      <c r="EE260" s="113">
        <v>0</v>
      </c>
      <c r="EF260" s="113">
        <v>0</v>
      </c>
      <c r="EG260" s="113">
        <v>0</v>
      </c>
      <c r="EH260" s="113">
        <v>0</v>
      </c>
      <c r="EI260" s="113">
        <v>0</v>
      </c>
      <c r="EJ260" s="113">
        <v>0</v>
      </c>
      <c r="EK260" s="113">
        <v>0</v>
      </c>
      <c r="EL260" s="113">
        <v>0</v>
      </c>
      <c r="EM260" s="113">
        <v>0</v>
      </c>
      <c r="EN260" s="113">
        <v>0</v>
      </c>
      <c r="EO260" s="113">
        <v>0</v>
      </c>
      <c r="EP260" s="113">
        <v>0</v>
      </c>
      <c r="EQ260" s="113">
        <v>0</v>
      </c>
      <c r="ER260" s="113">
        <v>0</v>
      </c>
      <c r="ES260" s="113">
        <v>0</v>
      </c>
      <c r="ET260" s="113">
        <v>0</v>
      </c>
      <c r="EU260" s="113">
        <v>0</v>
      </c>
      <c r="EV260" s="113">
        <v>0</v>
      </c>
      <c r="EW260" s="113">
        <v>0</v>
      </c>
      <c r="EX260" s="113">
        <v>0</v>
      </c>
      <c r="EY260" s="113">
        <v>0</v>
      </c>
      <c r="EZ260" s="113">
        <v>0</v>
      </c>
      <c r="FA260" s="113">
        <v>0</v>
      </c>
      <c r="FB260" s="113">
        <v>0</v>
      </c>
      <c r="FC260" s="113">
        <v>0</v>
      </c>
      <c r="FD260" s="113">
        <v>0</v>
      </c>
      <c r="FE260" s="113">
        <v>0</v>
      </c>
      <c r="FF260" s="113">
        <v>0</v>
      </c>
      <c r="FG260" s="113">
        <v>0</v>
      </c>
      <c r="FH260" s="113">
        <v>0</v>
      </c>
      <c r="FI260" s="113">
        <v>0</v>
      </c>
      <c r="FJ260" s="113">
        <v>0</v>
      </c>
      <c r="FK260" s="113">
        <v>0</v>
      </c>
      <c r="FL260" s="113">
        <v>0</v>
      </c>
      <c r="FM260" s="113">
        <v>0</v>
      </c>
      <c r="FN260" s="113">
        <v>0</v>
      </c>
      <c r="FO260" s="113">
        <v>0</v>
      </c>
      <c r="FP260" s="113">
        <v>0</v>
      </c>
      <c r="FQ260" s="113">
        <v>0</v>
      </c>
      <c r="FR260" s="113">
        <v>0</v>
      </c>
      <c r="FS260" s="113">
        <v>0</v>
      </c>
      <c r="FT260" s="113">
        <v>0</v>
      </c>
      <c r="FU260" s="113">
        <v>0</v>
      </c>
      <c r="FV260" s="113">
        <v>0</v>
      </c>
      <c r="FW260" s="113">
        <v>0</v>
      </c>
      <c r="FX260" s="32">
        <v>0</v>
      </c>
      <c r="FY260" s="30">
        <v>0</v>
      </c>
      <c r="FZ260" s="30">
        <v>0</v>
      </c>
    </row>
    <row r="261" spans="1:182" x14ac:dyDescent="0.2">
      <c r="A261" s="28">
        <v>39508</v>
      </c>
      <c r="B261" s="28"/>
      <c r="C261" s="29">
        <v>312583</v>
      </c>
      <c r="D261" s="29">
        <v>214146</v>
      </c>
      <c r="E261" s="29">
        <f t="shared" si="6"/>
        <v>526729</v>
      </c>
      <c r="F261" s="30">
        <v>6948103</v>
      </c>
      <c r="G261" s="30">
        <v>126121</v>
      </c>
      <c r="H261" s="30">
        <f t="shared" si="7"/>
        <v>7074224</v>
      </c>
      <c r="I261" s="42" t="s">
        <v>75</v>
      </c>
      <c r="J261" s="42" t="s">
        <v>75</v>
      </c>
      <c r="K261" s="32">
        <v>6482800</v>
      </c>
      <c r="L261" s="31" t="s">
        <v>75</v>
      </c>
      <c r="M261" s="31" t="s">
        <v>75</v>
      </c>
      <c r="N261" s="30">
        <v>17173753</v>
      </c>
      <c r="O261" s="31" t="s">
        <v>75</v>
      </c>
      <c r="P261" s="31" t="s">
        <v>75</v>
      </c>
      <c r="Q261" s="30">
        <v>16087563</v>
      </c>
      <c r="R261" s="31" t="s">
        <v>75</v>
      </c>
      <c r="S261" s="31" t="s">
        <v>75</v>
      </c>
      <c r="T261" s="32">
        <v>128021</v>
      </c>
      <c r="U261" s="31" t="s">
        <v>75</v>
      </c>
      <c r="V261" s="31" t="s">
        <v>75</v>
      </c>
      <c r="W261" s="30">
        <v>27744</v>
      </c>
      <c r="X261" s="31" t="s">
        <v>75</v>
      </c>
      <c r="Y261" s="31" t="s">
        <v>75</v>
      </c>
      <c r="Z261" s="30">
        <v>48338</v>
      </c>
      <c r="AA261" s="31" t="s">
        <v>75</v>
      </c>
      <c r="AB261" s="31" t="s">
        <v>75</v>
      </c>
      <c r="AC261" s="30">
        <v>148344</v>
      </c>
      <c r="AD261" s="31" t="s">
        <v>75</v>
      </c>
      <c r="AE261" s="31" t="s">
        <v>75</v>
      </c>
      <c r="AF261" s="30">
        <v>22065</v>
      </c>
      <c r="AG261" s="42" t="s">
        <v>75</v>
      </c>
      <c r="AH261" s="42" t="s">
        <v>75</v>
      </c>
      <c r="AI261" s="32">
        <v>24753</v>
      </c>
      <c r="AJ261" s="31" t="s">
        <v>75</v>
      </c>
      <c r="AK261" s="31" t="s">
        <v>75</v>
      </c>
      <c r="AL261" s="31" t="s">
        <v>75</v>
      </c>
      <c r="AM261" s="31"/>
      <c r="AN261" s="31"/>
      <c r="AO261" s="31"/>
      <c r="AP261" s="31"/>
      <c r="AQ261" s="31"/>
      <c r="AR261" s="31"/>
      <c r="AS261" s="31" t="s">
        <v>75</v>
      </c>
      <c r="AT261" s="31" t="s">
        <v>75</v>
      </c>
      <c r="AU261" s="31" t="s">
        <v>75</v>
      </c>
      <c r="AV261" s="31" t="s">
        <v>75</v>
      </c>
      <c r="AW261" s="31" t="s">
        <v>75</v>
      </c>
      <c r="AX261" s="31" t="s">
        <v>75</v>
      </c>
      <c r="AY261" s="31" t="s">
        <v>75</v>
      </c>
      <c r="AZ261" s="31" t="s">
        <v>75</v>
      </c>
      <c r="BA261" s="29">
        <v>11632906</v>
      </c>
      <c r="BB261" s="31" t="s">
        <v>75</v>
      </c>
      <c r="BC261" s="31" t="s">
        <v>75</v>
      </c>
      <c r="BD261" s="29">
        <v>1875375</v>
      </c>
      <c r="BE261" s="113">
        <v>0</v>
      </c>
      <c r="BF261" s="113">
        <v>0</v>
      </c>
      <c r="BG261" s="113">
        <v>0</v>
      </c>
      <c r="BH261" s="113">
        <v>0</v>
      </c>
      <c r="BI261" s="113">
        <v>0</v>
      </c>
      <c r="BJ261" s="113">
        <v>0</v>
      </c>
      <c r="BK261" s="113">
        <v>0</v>
      </c>
      <c r="BL261" s="113">
        <v>0</v>
      </c>
      <c r="BM261" s="113">
        <v>0</v>
      </c>
      <c r="BN261" s="113">
        <v>0</v>
      </c>
      <c r="BO261" s="113">
        <v>0</v>
      </c>
      <c r="BP261" s="113">
        <v>0</v>
      </c>
      <c r="BQ261" s="113">
        <v>0</v>
      </c>
      <c r="BR261" s="113">
        <v>0</v>
      </c>
      <c r="BS261" s="113">
        <v>0</v>
      </c>
      <c r="BT261" s="113">
        <v>0</v>
      </c>
      <c r="BU261" s="113">
        <v>0</v>
      </c>
      <c r="BV261" s="113">
        <v>0</v>
      </c>
      <c r="BW261" s="113"/>
      <c r="BX261" s="113"/>
      <c r="BY261" s="113"/>
      <c r="BZ261" s="113">
        <v>0</v>
      </c>
      <c r="CA261" s="113">
        <v>0</v>
      </c>
      <c r="CB261" s="113">
        <v>0</v>
      </c>
      <c r="CC261" s="113"/>
      <c r="CD261" s="113"/>
      <c r="CE261" s="113"/>
      <c r="CF261" s="113">
        <v>0</v>
      </c>
      <c r="CG261" s="113">
        <v>0</v>
      </c>
      <c r="CH261" s="113">
        <v>0</v>
      </c>
      <c r="CI261" s="113">
        <v>0</v>
      </c>
      <c r="CJ261" s="113">
        <v>0</v>
      </c>
      <c r="CK261" s="113">
        <v>0</v>
      </c>
      <c r="CL261" s="113">
        <v>0</v>
      </c>
      <c r="CM261" s="113">
        <v>0</v>
      </c>
      <c r="CN261" s="113">
        <v>0</v>
      </c>
      <c r="CO261" s="113">
        <v>0</v>
      </c>
      <c r="CP261" s="113">
        <v>0</v>
      </c>
      <c r="CQ261" s="113">
        <v>0</v>
      </c>
      <c r="CR261" s="113">
        <v>0</v>
      </c>
      <c r="CS261" s="113">
        <v>0</v>
      </c>
      <c r="CT261" s="113">
        <v>0</v>
      </c>
      <c r="CU261" s="113">
        <v>0</v>
      </c>
      <c r="CV261" s="113">
        <v>0</v>
      </c>
      <c r="CW261" s="113">
        <v>0</v>
      </c>
      <c r="CX261" s="113">
        <v>0</v>
      </c>
      <c r="CY261" s="113">
        <v>0</v>
      </c>
      <c r="CZ261" s="113">
        <v>0</v>
      </c>
      <c r="DA261" s="113">
        <v>0</v>
      </c>
      <c r="DB261" s="113">
        <v>0</v>
      </c>
      <c r="DC261" s="113">
        <v>0</v>
      </c>
      <c r="DD261" s="113">
        <v>0</v>
      </c>
      <c r="DE261" s="113">
        <v>0</v>
      </c>
      <c r="DF261" s="113">
        <v>0</v>
      </c>
      <c r="DG261" s="113">
        <v>0</v>
      </c>
      <c r="DH261" s="113">
        <v>0</v>
      </c>
      <c r="DI261" s="113">
        <v>0</v>
      </c>
      <c r="DJ261" s="113">
        <v>0</v>
      </c>
      <c r="DK261" s="113">
        <v>0</v>
      </c>
      <c r="DL261" s="113">
        <v>0</v>
      </c>
      <c r="DM261" s="113">
        <v>0</v>
      </c>
      <c r="DN261" s="113">
        <v>0</v>
      </c>
      <c r="DO261" s="113">
        <v>0</v>
      </c>
      <c r="DP261" s="113">
        <v>0</v>
      </c>
      <c r="DQ261" s="113">
        <v>0</v>
      </c>
      <c r="DR261" s="113">
        <v>0</v>
      </c>
      <c r="DS261" s="113">
        <v>0</v>
      </c>
      <c r="DT261" s="113">
        <v>0</v>
      </c>
      <c r="DU261" s="113">
        <v>0</v>
      </c>
      <c r="DV261" s="113">
        <v>0</v>
      </c>
      <c r="DW261" s="113">
        <v>0</v>
      </c>
      <c r="DX261" s="113">
        <v>0</v>
      </c>
      <c r="DY261" s="113">
        <v>0</v>
      </c>
      <c r="DZ261" s="113">
        <v>0</v>
      </c>
      <c r="EA261" s="113">
        <v>0</v>
      </c>
      <c r="EB261" s="113">
        <v>0</v>
      </c>
      <c r="EC261" s="113">
        <v>0</v>
      </c>
      <c r="ED261" s="113">
        <v>0</v>
      </c>
      <c r="EE261" s="113">
        <v>0</v>
      </c>
      <c r="EF261" s="113">
        <v>0</v>
      </c>
      <c r="EG261" s="113">
        <v>0</v>
      </c>
      <c r="EH261" s="113">
        <v>0</v>
      </c>
      <c r="EI261" s="113">
        <v>0</v>
      </c>
      <c r="EJ261" s="113">
        <v>0</v>
      </c>
      <c r="EK261" s="113">
        <v>0</v>
      </c>
      <c r="EL261" s="113">
        <v>0</v>
      </c>
      <c r="EM261" s="113">
        <v>0</v>
      </c>
      <c r="EN261" s="113">
        <v>0</v>
      </c>
      <c r="EO261" s="113">
        <v>0</v>
      </c>
      <c r="EP261" s="113">
        <v>0</v>
      </c>
      <c r="EQ261" s="113">
        <v>0</v>
      </c>
      <c r="ER261" s="113">
        <v>0</v>
      </c>
      <c r="ES261" s="113">
        <v>0</v>
      </c>
      <c r="ET261" s="113">
        <v>0</v>
      </c>
      <c r="EU261" s="113">
        <v>0</v>
      </c>
      <c r="EV261" s="113">
        <v>0</v>
      </c>
      <c r="EW261" s="113">
        <v>0</v>
      </c>
      <c r="EX261" s="113">
        <v>0</v>
      </c>
      <c r="EY261" s="113">
        <v>0</v>
      </c>
      <c r="EZ261" s="113">
        <v>0</v>
      </c>
      <c r="FA261" s="113">
        <v>0</v>
      </c>
      <c r="FB261" s="113">
        <v>0</v>
      </c>
      <c r="FC261" s="113">
        <v>0</v>
      </c>
      <c r="FD261" s="113">
        <v>0</v>
      </c>
      <c r="FE261" s="113">
        <v>0</v>
      </c>
      <c r="FF261" s="113">
        <v>0</v>
      </c>
      <c r="FG261" s="113">
        <v>0</v>
      </c>
      <c r="FH261" s="113">
        <v>0</v>
      </c>
      <c r="FI261" s="113">
        <v>0</v>
      </c>
      <c r="FJ261" s="113">
        <v>0</v>
      </c>
      <c r="FK261" s="113">
        <v>0</v>
      </c>
      <c r="FL261" s="113">
        <v>0</v>
      </c>
      <c r="FM261" s="113">
        <v>0</v>
      </c>
      <c r="FN261" s="113">
        <v>0</v>
      </c>
      <c r="FO261" s="113">
        <v>0</v>
      </c>
      <c r="FP261" s="113">
        <v>0</v>
      </c>
      <c r="FQ261" s="113">
        <v>0</v>
      </c>
      <c r="FR261" s="113">
        <v>0</v>
      </c>
      <c r="FS261" s="113">
        <v>0</v>
      </c>
      <c r="FT261" s="113">
        <v>0</v>
      </c>
      <c r="FU261" s="113">
        <v>0</v>
      </c>
      <c r="FV261" s="113">
        <v>0</v>
      </c>
      <c r="FW261" s="113">
        <v>0</v>
      </c>
      <c r="FX261" s="32">
        <v>0</v>
      </c>
      <c r="FY261" s="30">
        <v>0</v>
      </c>
      <c r="FZ261" s="30">
        <v>0</v>
      </c>
    </row>
    <row r="262" spans="1:182" x14ac:dyDescent="0.2">
      <c r="A262" s="28">
        <v>39539</v>
      </c>
      <c r="B262" s="28"/>
      <c r="C262" s="29">
        <v>238718</v>
      </c>
      <c r="D262" s="29">
        <v>263606</v>
      </c>
      <c r="E262" s="29">
        <f t="shared" si="6"/>
        <v>502324</v>
      </c>
      <c r="F262" s="30">
        <v>5041959</v>
      </c>
      <c r="G262" s="30">
        <v>91191</v>
      </c>
      <c r="H262" s="30">
        <f t="shared" si="7"/>
        <v>5133150</v>
      </c>
      <c r="I262" s="42" t="s">
        <v>75</v>
      </c>
      <c r="J262" s="42" t="s">
        <v>75</v>
      </c>
      <c r="K262" s="32">
        <v>5993602</v>
      </c>
      <c r="L262" s="31" t="s">
        <v>75</v>
      </c>
      <c r="M262" s="31" t="s">
        <v>75</v>
      </c>
      <c r="N262" s="30">
        <v>17693579</v>
      </c>
      <c r="O262" s="31" t="s">
        <v>75</v>
      </c>
      <c r="P262" s="31" t="s">
        <v>75</v>
      </c>
      <c r="Q262" s="30">
        <v>16128566</v>
      </c>
      <c r="R262" s="31" t="s">
        <v>75</v>
      </c>
      <c r="S262" s="31" t="s">
        <v>75</v>
      </c>
      <c r="T262" s="32">
        <v>150725</v>
      </c>
      <c r="U262" s="31" t="s">
        <v>75</v>
      </c>
      <c r="V262" s="31" t="s">
        <v>75</v>
      </c>
      <c r="W262" s="30">
        <v>26007</v>
      </c>
      <c r="X262" s="31" t="s">
        <v>75</v>
      </c>
      <c r="Y262" s="31" t="s">
        <v>75</v>
      </c>
      <c r="Z262" s="30">
        <v>69641</v>
      </c>
      <c r="AA262" s="31" t="s">
        <v>75</v>
      </c>
      <c r="AB262" s="31" t="s">
        <v>75</v>
      </c>
      <c r="AC262" s="30">
        <v>123141</v>
      </c>
      <c r="AD262" s="31" t="s">
        <v>75</v>
      </c>
      <c r="AE262" s="31" t="s">
        <v>75</v>
      </c>
      <c r="AF262" s="30">
        <v>15380</v>
      </c>
      <c r="AG262" s="42" t="s">
        <v>75</v>
      </c>
      <c r="AH262" s="42" t="s">
        <v>75</v>
      </c>
      <c r="AI262" s="32">
        <v>29890</v>
      </c>
      <c r="AJ262" s="31" t="s">
        <v>75</v>
      </c>
      <c r="AK262" s="31" t="s">
        <v>75</v>
      </c>
      <c r="AL262" s="31" t="s">
        <v>75</v>
      </c>
      <c r="AM262" s="31"/>
      <c r="AN262" s="31"/>
      <c r="AO262" s="31"/>
      <c r="AP262" s="31"/>
      <c r="AQ262" s="31"/>
      <c r="AR262" s="31"/>
      <c r="AS262" s="31" t="s">
        <v>75</v>
      </c>
      <c r="AT262" s="31" t="s">
        <v>75</v>
      </c>
      <c r="AU262" s="31" t="s">
        <v>75</v>
      </c>
      <c r="AV262" s="31" t="s">
        <v>75</v>
      </c>
      <c r="AW262" s="31" t="s">
        <v>75</v>
      </c>
      <c r="AX262" s="31" t="s">
        <v>75</v>
      </c>
      <c r="AY262" s="31" t="s">
        <v>75</v>
      </c>
      <c r="AZ262" s="31" t="s">
        <v>75</v>
      </c>
      <c r="BA262" s="29">
        <v>11026013</v>
      </c>
      <c r="BB262" s="31" t="s">
        <v>75</v>
      </c>
      <c r="BC262" s="31" t="s">
        <v>75</v>
      </c>
      <c r="BD262" s="29">
        <v>1612294</v>
      </c>
      <c r="BE262" s="113">
        <v>0</v>
      </c>
      <c r="BF262" s="113">
        <v>0</v>
      </c>
      <c r="BG262" s="113">
        <v>0</v>
      </c>
      <c r="BH262" s="113">
        <v>0</v>
      </c>
      <c r="BI262" s="113">
        <v>0</v>
      </c>
      <c r="BJ262" s="113">
        <v>0</v>
      </c>
      <c r="BK262" s="113">
        <v>0</v>
      </c>
      <c r="BL262" s="113">
        <v>0</v>
      </c>
      <c r="BM262" s="113">
        <v>0</v>
      </c>
      <c r="BN262" s="113">
        <v>0</v>
      </c>
      <c r="BO262" s="113">
        <v>0</v>
      </c>
      <c r="BP262" s="113">
        <v>0</v>
      </c>
      <c r="BQ262" s="113">
        <v>0</v>
      </c>
      <c r="BR262" s="113">
        <v>0</v>
      </c>
      <c r="BS262" s="113">
        <v>0</v>
      </c>
      <c r="BT262" s="113">
        <v>0</v>
      </c>
      <c r="BU262" s="113">
        <v>0</v>
      </c>
      <c r="BV262" s="113">
        <v>0</v>
      </c>
      <c r="BW262" s="113"/>
      <c r="BX262" s="113"/>
      <c r="BY262" s="113"/>
      <c r="BZ262" s="113">
        <v>0</v>
      </c>
      <c r="CA262" s="113">
        <v>0</v>
      </c>
      <c r="CB262" s="113">
        <v>0</v>
      </c>
      <c r="CC262" s="113"/>
      <c r="CD262" s="113"/>
      <c r="CE262" s="113"/>
      <c r="CF262" s="113">
        <v>0</v>
      </c>
      <c r="CG262" s="113">
        <v>0</v>
      </c>
      <c r="CH262" s="113">
        <v>0</v>
      </c>
      <c r="CI262" s="113">
        <v>0</v>
      </c>
      <c r="CJ262" s="113">
        <v>0</v>
      </c>
      <c r="CK262" s="113">
        <v>0</v>
      </c>
      <c r="CL262" s="113">
        <v>0</v>
      </c>
      <c r="CM262" s="113">
        <v>0</v>
      </c>
      <c r="CN262" s="113">
        <v>0</v>
      </c>
      <c r="CO262" s="113">
        <v>0</v>
      </c>
      <c r="CP262" s="113">
        <v>0</v>
      </c>
      <c r="CQ262" s="113">
        <v>0</v>
      </c>
      <c r="CR262" s="113">
        <v>0</v>
      </c>
      <c r="CS262" s="113">
        <v>0</v>
      </c>
      <c r="CT262" s="113">
        <v>0</v>
      </c>
      <c r="CU262" s="113">
        <v>0</v>
      </c>
      <c r="CV262" s="113">
        <v>0</v>
      </c>
      <c r="CW262" s="113">
        <v>0</v>
      </c>
      <c r="CX262" s="113">
        <v>0</v>
      </c>
      <c r="CY262" s="113">
        <v>0</v>
      </c>
      <c r="CZ262" s="113">
        <v>0</v>
      </c>
      <c r="DA262" s="113">
        <v>0</v>
      </c>
      <c r="DB262" s="113">
        <v>0</v>
      </c>
      <c r="DC262" s="113">
        <v>0</v>
      </c>
      <c r="DD262" s="113">
        <v>0</v>
      </c>
      <c r="DE262" s="113">
        <v>0</v>
      </c>
      <c r="DF262" s="113">
        <v>0</v>
      </c>
      <c r="DG262" s="113">
        <v>0</v>
      </c>
      <c r="DH262" s="113">
        <v>0</v>
      </c>
      <c r="DI262" s="113">
        <v>0</v>
      </c>
      <c r="DJ262" s="113">
        <v>0</v>
      </c>
      <c r="DK262" s="113">
        <v>0</v>
      </c>
      <c r="DL262" s="113">
        <v>0</v>
      </c>
      <c r="DM262" s="113">
        <v>0</v>
      </c>
      <c r="DN262" s="113">
        <v>0</v>
      </c>
      <c r="DO262" s="113">
        <v>0</v>
      </c>
      <c r="DP262" s="113">
        <v>0</v>
      </c>
      <c r="DQ262" s="113">
        <v>0</v>
      </c>
      <c r="DR262" s="113">
        <v>0</v>
      </c>
      <c r="DS262" s="113">
        <v>0</v>
      </c>
      <c r="DT262" s="113">
        <v>0</v>
      </c>
      <c r="DU262" s="113">
        <v>0</v>
      </c>
      <c r="DV262" s="113">
        <v>0</v>
      </c>
      <c r="DW262" s="113">
        <v>0</v>
      </c>
      <c r="DX262" s="113">
        <v>0</v>
      </c>
      <c r="DY262" s="113">
        <v>0</v>
      </c>
      <c r="DZ262" s="113">
        <v>0</v>
      </c>
      <c r="EA262" s="113">
        <v>0</v>
      </c>
      <c r="EB262" s="113">
        <v>0</v>
      </c>
      <c r="EC262" s="113">
        <v>0</v>
      </c>
      <c r="ED262" s="113">
        <v>0</v>
      </c>
      <c r="EE262" s="113">
        <v>0</v>
      </c>
      <c r="EF262" s="113">
        <v>0</v>
      </c>
      <c r="EG262" s="113">
        <v>0</v>
      </c>
      <c r="EH262" s="113">
        <v>0</v>
      </c>
      <c r="EI262" s="113">
        <v>0</v>
      </c>
      <c r="EJ262" s="113">
        <v>0</v>
      </c>
      <c r="EK262" s="113">
        <v>0</v>
      </c>
      <c r="EL262" s="113">
        <v>0</v>
      </c>
      <c r="EM262" s="113">
        <v>0</v>
      </c>
      <c r="EN262" s="113">
        <v>0</v>
      </c>
      <c r="EO262" s="113">
        <v>0</v>
      </c>
      <c r="EP262" s="113">
        <v>0</v>
      </c>
      <c r="EQ262" s="113">
        <v>0</v>
      </c>
      <c r="ER262" s="113">
        <v>0</v>
      </c>
      <c r="ES262" s="113">
        <v>0</v>
      </c>
      <c r="ET262" s="113">
        <v>0</v>
      </c>
      <c r="EU262" s="113">
        <v>0</v>
      </c>
      <c r="EV262" s="113">
        <v>0</v>
      </c>
      <c r="EW262" s="113">
        <v>0</v>
      </c>
      <c r="EX262" s="113">
        <v>0</v>
      </c>
      <c r="EY262" s="113">
        <v>0</v>
      </c>
      <c r="EZ262" s="113">
        <v>0</v>
      </c>
      <c r="FA262" s="113">
        <v>0</v>
      </c>
      <c r="FB262" s="113">
        <v>0</v>
      </c>
      <c r="FC262" s="113">
        <v>0</v>
      </c>
      <c r="FD262" s="113">
        <v>0</v>
      </c>
      <c r="FE262" s="113">
        <v>0</v>
      </c>
      <c r="FF262" s="113">
        <v>0</v>
      </c>
      <c r="FG262" s="113">
        <v>0</v>
      </c>
      <c r="FH262" s="113">
        <v>0</v>
      </c>
      <c r="FI262" s="113">
        <v>0</v>
      </c>
      <c r="FJ262" s="113">
        <v>0</v>
      </c>
      <c r="FK262" s="113">
        <v>0</v>
      </c>
      <c r="FL262" s="113">
        <v>0</v>
      </c>
      <c r="FM262" s="113">
        <v>0</v>
      </c>
      <c r="FN262" s="113">
        <v>0</v>
      </c>
      <c r="FO262" s="113">
        <v>0</v>
      </c>
      <c r="FP262" s="113">
        <v>0</v>
      </c>
      <c r="FQ262" s="113">
        <v>0</v>
      </c>
      <c r="FR262" s="113">
        <v>0</v>
      </c>
      <c r="FS262" s="113">
        <v>0</v>
      </c>
      <c r="FT262" s="113">
        <v>0</v>
      </c>
      <c r="FU262" s="113">
        <v>0</v>
      </c>
      <c r="FV262" s="113">
        <v>0</v>
      </c>
      <c r="FW262" s="113">
        <v>0</v>
      </c>
      <c r="FX262" s="32">
        <v>0</v>
      </c>
      <c r="FY262" s="30">
        <v>0</v>
      </c>
      <c r="FZ262" s="30">
        <v>0</v>
      </c>
    </row>
    <row r="263" spans="1:182" x14ac:dyDescent="0.2">
      <c r="A263" s="28">
        <v>39569</v>
      </c>
      <c r="B263" s="28"/>
      <c r="C263" s="29">
        <v>256223</v>
      </c>
      <c r="D263" s="29">
        <v>221722</v>
      </c>
      <c r="E263" s="29">
        <f t="shared" si="6"/>
        <v>477945</v>
      </c>
      <c r="F263" s="30">
        <v>4227324</v>
      </c>
      <c r="G263" s="30">
        <v>86584</v>
      </c>
      <c r="H263" s="30">
        <f t="shared" si="7"/>
        <v>4313908</v>
      </c>
      <c r="I263" s="42" t="s">
        <v>75</v>
      </c>
      <c r="J263" s="42" t="s">
        <v>75</v>
      </c>
      <c r="K263" s="32">
        <v>5203444</v>
      </c>
      <c r="L263" s="31" t="s">
        <v>75</v>
      </c>
      <c r="M263" s="31" t="s">
        <v>75</v>
      </c>
      <c r="N263" s="30">
        <v>17071446</v>
      </c>
      <c r="O263" s="31" t="s">
        <v>75</v>
      </c>
      <c r="P263" s="31" t="s">
        <v>75</v>
      </c>
      <c r="Q263" s="30">
        <v>14527757</v>
      </c>
      <c r="R263" s="31" t="s">
        <v>75</v>
      </c>
      <c r="S263" s="31" t="s">
        <v>75</v>
      </c>
      <c r="T263" s="32">
        <v>128620</v>
      </c>
      <c r="U263" s="31" t="s">
        <v>75</v>
      </c>
      <c r="V263" s="31" t="s">
        <v>75</v>
      </c>
      <c r="W263" s="30">
        <v>30777</v>
      </c>
      <c r="X263" s="31" t="s">
        <v>75</v>
      </c>
      <c r="Y263" s="31" t="s">
        <v>75</v>
      </c>
      <c r="Z263" s="30">
        <v>52981</v>
      </c>
      <c r="AA263" s="31" t="s">
        <v>75</v>
      </c>
      <c r="AB263" s="31" t="s">
        <v>75</v>
      </c>
      <c r="AC263" s="30">
        <v>127597</v>
      </c>
      <c r="AD263" s="31" t="s">
        <v>75</v>
      </c>
      <c r="AE263" s="31" t="s">
        <v>75</v>
      </c>
      <c r="AF263" s="30">
        <v>13290</v>
      </c>
      <c r="AG263" s="42" t="s">
        <v>75</v>
      </c>
      <c r="AH263" s="42" t="s">
        <v>75</v>
      </c>
      <c r="AI263" s="32">
        <v>42001</v>
      </c>
      <c r="AJ263" s="31" t="s">
        <v>75</v>
      </c>
      <c r="AK263" s="31" t="s">
        <v>75</v>
      </c>
      <c r="AL263" s="31" t="s">
        <v>75</v>
      </c>
      <c r="AM263" s="31"/>
      <c r="AN263" s="31"/>
      <c r="AO263" s="31"/>
      <c r="AP263" s="31"/>
      <c r="AQ263" s="31"/>
      <c r="AR263" s="31"/>
      <c r="AS263" s="31" t="s">
        <v>75</v>
      </c>
      <c r="AT263" s="31" t="s">
        <v>75</v>
      </c>
      <c r="AU263" s="31" t="s">
        <v>75</v>
      </c>
      <c r="AV263" s="31" t="s">
        <v>75</v>
      </c>
      <c r="AW263" s="31" t="s">
        <v>75</v>
      </c>
      <c r="AX263" s="31" t="s">
        <v>75</v>
      </c>
      <c r="AY263" s="31" t="s">
        <v>75</v>
      </c>
      <c r="AZ263" s="31" t="s">
        <v>75</v>
      </c>
      <c r="BA263" s="29">
        <v>10204830</v>
      </c>
      <c r="BB263" s="31" t="s">
        <v>75</v>
      </c>
      <c r="BC263" s="31" t="s">
        <v>75</v>
      </c>
      <c r="BD263" s="29">
        <v>1707941</v>
      </c>
      <c r="BE263" s="113">
        <v>0</v>
      </c>
      <c r="BF263" s="113">
        <v>0</v>
      </c>
      <c r="BG263" s="113">
        <v>0</v>
      </c>
      <c r="BH263" s="113">
        <v>0</v>
      </c>
      <c r="BI263" s="113">
        <v>0</v>
      </c>
      <c r="BJ263" s="113">
        <v>0</v>
      </c>
      <c r="BK263" s="113">
        <v>0</v>
      </c>
      <c r="BL263" s="113">
        <v>0</v>
      </c>
      <c r="BM263" s="113">
        <v>0</v>
      </c>
      <c r="BN263" s="113">
        <v>0</v>
      </c>
      <c r="BO263" s="113">
        <v>0</v>
      </c>
      <c r="BP263" s="113">
        <v>0</v>
      </c>
      <c r="BQ263" s="113">
        <v>0</v>
      </c>
      <c r="BR263" s="113">
        <v>0</v>
      </c>
      <c r="BS263" s="113">
        <v>0</v>
      </c>
      <c r="BT263" s="113">
        <v>0</v>
      </c>
      <c r="BU263" s="113">
        <v>0</v>
      </c>
      <c r="BV263" s="113">
        <v>0</v>
      </c>
      <c r="BW263" s="113"/>
      <c r="BX263" s="113"/>
      <c r="BY263" s="113"/>
      <c r="BZ263" s="113">
        <v>0</v>
      </c>
      <c r="CA263" s="113">
        <v>0</v>
      </c>
      <c r="CB263" s="113">
        <v>0</v>
      </c>
      <c r="CC263" s="113"/>
      <c r="CD263" s="113"/>
      <c r="CE263" s="113"/>
      <c r="CF263" s="113">
        <v>0</v>
      </c>
      <c r="CG263" s="113">
        <v>0</v>
      </c>
      <c r="CH263" s="113">
        <v>0</v>
      </c>
      <c r="CI263" s="113">
        <v>0</v>
      </c>
      <c r="CJ263" s="113">
        <v>0</v>
      </c>
      <c r="CK263" s="113">
        <v>0</v>
      </c>
      <c r="CL263" s="113">
        <v>0</v>
      </c>
      <c r="CM263" s="113">
        <v>0</v>
      </c>
      <c r="CN263" s="113">
        <v>0</v>
      </c>
      <c r="CO263" s="113">
        <v>0</v>
      </c>
      <c r="CP263" s="113">
        <v>0</v>
      </c>
      <c r="CQ263" s="113">
        <v>0</v>
      </c>
      <c r="CR263" s="113">
        <v>0</v>
      </c>
      <c r="CS263" s="113">
        <v>0</v>
      </c>
      <c r="CT263" s="113">
        <v>0</v>
      </c>
      <c r="CU263" s="113">
        <v>0</v>
      </c>
      <c r="CV263" s="113">
        <v>0</v>
      </c>
      <c r="CW263" s="113">
        <v>0</v>
      </c>
      <c r="CX263" s="113">
        <v>0</v>
      </c>
      <c r="CY263" s="113">
        <v>0</v>
      </c>
      <c r="CZ263" s="113">
        <v>0</v>
      </c>
      <c r="DA263" s="113">
        <v>0</v>
      </c>
      <c r="DB263" s="113">
        <v>0</v>
      </c>
      <c r="DC263" s="113">
        <v>0</v>
      </c>
      <c r="DD263" s="113">
        <v>0</v>
      </c>
      <c r="DE263" s="113">
        <v>0</v>
      </c>
      <c r="DF263" s="113">
        <v>0</v>
      </c>
      <c r="DG263" s="113">
        <v>0</v>
      </c>
      <c r="DH263" s="113">
        <v>0</v>
      </c>
      <c r="DI263" s="113">
        <v>0</v>
      </c>
      <c r="DJ263" s="113">
        <v>0</v>
      </c>
      <c r="DK263" s="113">
        <v>0</v>
      </c>
      <c r="DL263" s="113">
        <v>0</v>
      </c>
      <c r="DM263" s="113">
        <v>0</v>
      </c>
      <c r="DN263" s="113">
        <v>0</v>
      </c>
      <c r="DO263" s="113">
        <v>0</v>
      </c>
      <c r="DP263" s="113">
        <v>0</v>
      </c>
      <c r="DQ263" s="113">
        <v>0</v>
      </c>
      <c r="DR263" s="113">
        <v>0</v>
      </c>
      <c r="DS263" s="113">
        <v>0</v>
      </c>
      <c r="DT263" s="113">
        <v>0</v>
      </c>
      <c r="DU263" s="113">
        <v>0</v>
      </c>
      <c r="DV263" s="113">
        <v>0</v>
      </c>
      <c r="DW263" s="113">
        <v>0</v>
      </c>
      <c r="DX263" s="113">
        <v>0</v>
      </c>
      <c r="DY263" s="113">
        <v>0</v>
      </c>
      <c r="DZ263" s="113">
        <v>0</v>
      </c>
      <c r="EA263" s="113">
        <v>0</v>
      </c>
      <c r="EB263" s="113">
        <v>0</v>
      </c>
      <c r="EC263" s="113">
        <v>0</v>
      </c>
      <c r="ED263" s="113">
        <v>0</v>
      </c>
      <c r="EE263" s="113">
        <v>0</v>
      </c>
      <c r="EF263" s="113">
        <v>0</v>
      </c>
      <c r="EG263" s="113">
        <v>0</v>
      </c>
      <c r="EH263" s="113">
        <v>0</v>
      </c>
      <c r="EI263" s="113">
        <v>0</v>
      </c>
      <c r="EJ263" s="113">
        <v>0</v>
      </c>
      <c r="EK263" s="113">
        <v>0</v>
      </c>
      <c r="EL263" s="113">
        <v>0</v>
      </c>
      <c r="EM263" s="113">
        <v>0</v>
      </c>
      <c r="EN263" s="113">
        <v>0</v>
      </c>
      <c r="EO263" s="113">
        <v>0</v>
      </c>
      <c r="EP263" s="113">
        <v>0</v>
      </c>
      <c r="EQ263" s="113">
        <v>0</v>
      </c>
      <c r="ER263" s="113">
        <v>0</v>
      </c>
      <c r="ES263" s="113">
        <v>0</v>
      </c>
      <c r="ET263" s="113">
        <v>0</v>
      </c>
      <c r="EU263" s="113">
        <v>0</v>
      </c>
      <c r="EV263" s="113">
        <v>0</v>
      </c>
      <c r="EW263" s="113">
        <v>0</v>
      </c>
      <c r="EX263" s="113">
        <v>0</v>
      </c>
      <c r="EY263" s="113">
        <v>0</v>
      </c>
      <c r="EZ263" s="113">
        <v>0</v>
      </c>
      <c r="FA263" s="113">
        <v>0</v>
      </c>
      <c r="FB263" s="113">
        <v>0</v>
      </c>
      <c r="FC263" s="113">
        <v>0</v>
      </c>
      <c r="FD263" s="113">
        <v>0</v>
      </c>
      <c r="FE263" s="113">
        <v>0</v>
      </c>
      <c r="FF263" s="113">
        <v>0</v>
      </c>
      <c r="FG263" s="113">
        <v>0</v>
      </c>
      <c r="FH263" s="113">
        <v>0</v>
      </c>
      <c r="FI263" s="113">
        <v>0</v>
      </c>
      <c r="FJ263" s="113">
        <v>0</v>
      </c>
      <c r="FK263" s="113">
        <v>0</v>
      </c>
      <c r="FL263" s="113">
        <v>0</v>
      </c>
      <c r="FM263" s="113">
        <v>0</v>
      </c>
      <c r="FN263" s="113">
        <v>0</v>
      </c>
      <c r="FO263" s="113">
        <v>0</v>
      </c>
      <c r="FP263" s="113">
        <v>0</v>
      </c>
      <c r="FQ263" s="113">
        <v>0</v>
      </c>
      <c r="FR263" s="113">
        <v>0</v>
      </c>
      <c r="FS263" s="113">
        <v>0</v>
      </c>
      <c r="FT263" s="113">
        <v>0</v>
      </c>
      <c r="FU263" s="113">
        <v>0</v>
      </c>
      <c r="FV263" s="113">
        <v>0</v>
      </c>
      <c r="FW263" s="113">
        <v>0</v>
      </c>
      <c r="FX263" s="32">
        <v>0</v>
      </c>
      <c r="FY263" s="30">
        <v>0</v>
      </c>
      <c r="FZ263" s="30">
        <v>0</v>
      </c>
    </row>
    <row r="264" spans="1:182" x14ac:dyDescent="0.2">
      <c r="A264" s="28">
        <v>39600</v>
      </c>
      <c r="B264" s="28"/>
      <c r="C264" s="29">
        <v>224182</v>
      </c>
      <c r="D264" s="29">
        <v>232677</v>
      </c>
      <c r="E264" s="29">
        <f t="shared" ref="E264:E327" si="8">+C264+D264</f>
        <v>456859</v>
      </c>
      <c r="F264" s="30">
        <v>3945735</v>
      </c>
      <c r="G264" s="30">
        <v>63488</v>
      </c>
      <c r="H264" s="30">
        <f t="shared" ref="H264:H327" si="9">+G264+F264</f>
        <v>4009223</v>
      </c>
      <c r="I264" s="42" t="s">
        <v>75</v>
      </c>
      <c r="J264" s="42" t="s">
        <v>75</v>
      </c>
      <c r="K264" s="32">
        <v>4965443</v>
      </c>
      <c r="L264" s="31" t="s">
        <v>75</v>
      </c>
      <c r="M264" s="31" t="s">
        <v>75</v>
      </c>
      <c r="N264" s="30">
        <v>14174289</v>
      </c>
      <c r="O264" s="31" t="s">
        <v>75</v>
      </c>
      <c r="P264" s="31" t="s">
        <v>75</v>
      </c>
      <c r="Q264" s="30">
        <v>13853044</v>
      </c>
      <c r="R264" s="31" t="s">
        <v>75</v>
      </c>
      <c r="S264" s="31" t="s">
        <v>75</v>
      </c>
      <c r="T264" s="32">
        <v>186474</v>
      </c>
      <c r="U264" s="31" t="s">
        <v>75</v>
      </c>
      <c r="V264" s="31" t="s">
        <v>75</v>
      </c>
      <c r="W264" s="30">
        <v>13819</v>
      </c>
      <c r="X264" s="31" t="s">
        <v>75</v>
      </c>
      <c r="Y264" s="31" t="s">
        <v>75</v>
      </c>
      <c r="Z264" s="30">
        <v>48406</v>
      </c>
      <c r="AA264" s="31" t="s">
        <v>75</v>
      </c>
      <c r="AB264" s="31" t="s">
        <v>75</v>
      </c>
      <c r="AC264" s="30">
        <v>198177</v>
      </c>
      <c r="AD264" s="31" t="s">
        <v>75</v>
      </c>
      <c r="AE264" s="31" t="s">
        <v>75</v>
      </c>
      <c r="AF264" s="30">
        <v>14960</v>
      </c>
      <c r="AG264" s="42" t="s">
        <v>75</v>
      </c>
      <c r="AH264" s="42" t="s">
        <v>75</v>
      </c>
      <c r="AI264" s="32">
        <v>26811</v>
      </c>
      <c r="AJ264" s="31" t="s">
        <v>75</v>
      </c>
      <c r="AK264" s="31" t="s">
        <v>75</v>
      </c>
      <c r="AL264" s="31" t="s">
        <v>75</v>
      </c>
      <c r="AM264" s="31"/>
      <c r="AN264" s="31"/>
      <c r="AO264" s="31"/>
      <c r="AP264" s="31"/>
      <c r="AQ264" s="31"/>
      <c r="AR264" s="31"/>
      <c r="AS264" s="31" t="s">
        <v>75</v>
      </c>
      <c r="AT264" s="31" t="s">
        <v>75</v>
      </c>
      <c r="AU264" s="31" t="s">
        <v>75</v>
      </c>
      <c r="AV264" s="31" t="s">
        <v>75</v>
      </c>
      <c r="AW264" s="31" t="s">
        <v>75</v>
      </c>
      <c r="AX264" s="31" t="s">
        <v>75</v>
      </c>
      <c r="AY264" s="31" t="s">
        <v>75</v>
      </c>
      <c r="AZ264" s="31" t="s">
        <v>75</v>
      </c>
      <c r="BA264" s="29">
        <v>10559314</v>
      </c>
      <c r="BB264" s="31" t="s">
        <v>75</v>
      </c>
      <c r="BC264" s="31" t="s">
        <v>75</v>
      </c>
      <c r="BD264" s="29">
        <v>1709504</v>
      </c>
      <c r="BE264" s="113">
        <v>0</v>
      </c>
      <c r="BF264" s="113">
        <v>0</v>
      </c>
      <c r="BG264" s="113">
        <v>0</v>
      </c>
      <c r="BH264" s="113">
        <v>0</v>
      </c>
      <c r="BI264" s="113">
        <v>0</v>
      </c>
      <c r="BJ264" s="113">
        <v>0</v>
      </c>
      <c r="BK264" s="113">
        <v>0</v>
      </c>
      <c r="BL264" s="113">
        <v>0</v>
      </c>
      <c r="BM264" s="113">
        <v>0</v>
      </c>
      <c r="BN264" s="113">
        <v>0</v>
      </c>
      <c r="BO264" s="113">
        <v>0</v>
      </c>
      <c r="BP264" s="113">
        <v>0</v>
      </c>
      <c r="BQ264" s="113">
        <v>0</v>
      </c>
      <c r="BR264" s="113">
        <v>0</v>
      </c>
      <c r="BS264" s="113">
        <v>0</v>
      </c>
      <c r="BT264" s="113">
        <v>0</v>
      </c>
      <c r="BU264" s="113">
        <v>0</v>
      </c>
      <c r="BV264" s="113">
        <v>0</v>
      </c>
      <c r="BW264" s="113"/>
      <c r="BX264" s="113"/>
      <c r="BY264" s="113"/>
      <c r="BZ264" s="113">
        <v>0</v>
      </c>
      <c r="CA264" s="113">
        <v>0</v>
      </c>
      <c r="CB264" s="113">
        <v>0</v>
      </c>
      <c r="CC264" s="113"/>
      <c r="CD264" s="113"/>
      <c r="CE264" s="113"/>
      <c r="CF264" s="113">
        <v>0</v>
      </c>
      <c r="CG264" s="113">
        <v>0</v>
      </c>
      <c r="CH264" s="113">
        <v>0</v>
      </c>
      <c r="CI264" s="113">
        <v>0</v>
      </c>
      <c r="CJ264" s="113">
        <v>0</v>
      </c>
      <c r="CK264" s="113">
        <v>0</v>
      </c>
      <c r="CL264" s="113">
        <v>0</v>
      </c>
      <c r="CM264" s="113">
        <v>0</v>
      </c>
      <c r="CN264" s="113">
        <v>0</v>
      </c>
      <c r="CO264" s="113">
        <v>0</v>
      </c>
      <c r="CP264" s="113">
        <v>0</v>
      </c>
      <c r="CQ264" s="113">
        <v>0</v>
      </c>
      <c r="CR264" s="113">
        <v>0</v>
      </c>
      <c r="CS264" s="113">
        <v>0</v>
      </c>
      <c r="CT264" s="113">
        <v>0</v>
      </c>
      <c r="CU264" s="113">
        <v>0</v>
      </c>
      <c r="CV264" s="113">
        <v>0</v>
      </c>
      <c r="CW264" s="113">
        <v>0</v>
      </c>
      <c r="CX264" s="113">
        <v>0</v>
      </c>
      <c r="CY264" s="113">
        <v>0</v>
      </c>
      <c r="CZ264" s="113">
        <v>0</v>
      </c>
      <c r="DA264" s="113">
        <v>0</v>
      </c>
      <c r="DB264" s="113">
        <v>0</v>
      </c>
      <c r="DC264" s="113">
        <v>0</v>
      </c>
      <c r="DD264" s="113">
        <v>0</v>
      </c>
      <c r="DE264" s="113">
        <v>0</v>
      </c>
      <c r="DF264" s="113">
        <v>0</v>
      </c>
      <c r="DG264" s="113">
        <v>0</v>
      </c>
      <c r="DH264" s="113">
        <v>0</v>
      </c>
      <c r="DI264" s="113">
        <v>0</v>
      </c>
      <c r="DJ264" s="113">
        <v>0</v>
      </c>
      <c r="DK264" s="113">
        <v>0</v>
      </c>
      <c r="DL264" s="113">
        <v>0</v>
      </c>
      <c r="DM264" s="113">
        <v>0</v>
      </c>
      <c r="DN264" s="113">
        <v>0</v>
      </c>
      <c r="DO264" s="113">
        <v>0</v>
      </c>
      <c r="DP264" s="113">
        <v>0</v>
      </c>
      <c r="DQ264" s="113">
        <v>0</v>
      </c>
      <c r="DR264" s="113">
        <v>0</v>
      </c>
      <c r="DS264" s="113">
        <v>0</v>
      </c>
      <c r="DT264" s="113">
        <v>0</v>
      </c>
      <c r="DU264" s="113">
        <v>0</v>
      </c>
      <c r="DV264" s="113">
        <v>0</v>
      </c>
      <c r="DW264" s="113">
        <v>0</v>
      </c>
      <c r="DX264" s="113">
        <v>0</v>
      </c>
      <c r="DY264" s="113">
        <v>0</v>
      </c>
      <c r="DZ264" s="113">
        <v>0</v>
      </c>
      <c r="EA264" s="113">
        <v>0</v>
      </c>
      <c r="EB264" s="113">
        <v>0</v>
      </c>
      <c r="EC264" s="113">
        <v>0</v>
      </c>
      <c r="ED264" s="113">
        <v>0</v>
      </c>
      <c r="EE264" s="113">
        <v>0</v>
      </c>
      <c r="EF264" s="113">
        <v>0</v>
      </c>
      <c r="EG264" s="113">
        <v>0</v>
      </c>
      <c r="EH264" s="113">
        <v>0</v>
      </c>
      <c r="EI264" s="113">
        <v>0</v>
      </c>
      <c r="EJ264" s="113">
        <v>0</v>
      </c>
      <c r="EK264" s="113">
        <v>0</v>
      </c>
      <c r="EL264" s="113">
        <v>0</v>
      </c>
      <c r="EM264" s="113">
        <v>0</v>
      </c>
      <c r="EN264" s="113">
        <v>0</v>
      </c>
      <c r="EO264" s="113">
        <v>0</v>
      </c>
      <c r="EP264" s="113">
        <v>0</v>
      </c>
      <c r="EQ264" s="113">
        <v>0</v>
      </c>
      <c r="ER264" s="113">
        <v>0</v>
      </c>
      <c r="ES264" s="113">
        <v>0</v>
      </c>
      <c r="ET264" s="113">
        <v>0</v>
      </c>
      <c r="EU264" s="113">
        <v>0</v>
      </c>
      <c r="EV264" s="113">
        <v>0</v>
      </c>
      <c r="EW264" s="113">
        <v>0</v>
      </c>
      <c r="EX264" s="113">
        <v>0</v>
      </c>
      <c r="EY264" s="113">
        <v>0</v>
      </c>
      <c r="EZ264" s="113">
        <v>0</v>
      </c>
      <c r="FA264" s="113">
        <v>0</v>
      </c>
      <c r="FB264" s="113">
        <v>0</v>
      </c>
      <c r="FC264" s="113">
        <v>0</v>
      </c>
      <c r="FD264" s="113">
        <v>0</v>
      </c>
      <c r="FE264" s="113">
        <v>0</v>
      </c>
      <c r="FF264" s="113">
        <v>0</v>
      </c>
      <c r="FG264" s="113">
        <v>0</v>
      </c>
      <c r="FH264" s="113">
        <v>0</v>
      </c>
      <c r="FI264" s="113">
        <v>0</v>
      </c>
      <c r="FJ264" s="113">
        <v>0</v>
      </c>
      <c r="FK264" s="113">
        <v>0</v>
      </c>
      <c r="FL264" s="113">
        <v>0</v>
      </c>
      <c r="FM264" s="113">
        <v>0</v>
      </c>
      <c r="FN264" s="113">
        <v>0</v>
      </c>
      <c r="FO264" s="113">
        <v>0</v>
      </c>
      <c r="FP264" s="113">
        <v>0</v>
      </c>
      <c r="FQ264" s="113">
        <v>0</v>
      </c>
      <c r="FR264" s="113">
        <v>0</v>
      </c>
      <c r="FS264" s="113">
        <v>0</v>
      </c>
      <c r="FT264" s="113">
        <v>0</v>
      </c>
      <c r="FU264" s="113">
        <v>0</v>
      </c>
      <c r="FV264" s="113">
        <v>0</v>
      </c>
      <c r="FW264" s="113">
        <v>0</v>
      </c>
      <c r="FX264" s="32">
        <v>0</v>
      </c>
      <c r="FY264" s="30">
        <v>0</v>
      </c>
      <c r="FZ264" s="30">
        <v>0</v>
      </c>
    </row>
    <row r="265" spans="1:182" x14ac:dyDescent="0.2">
      <c r="A265" s="28">
        <v>39630</v>
      </c>
      <c r="B265" s="28"/>
      <c r="C265" s="29">
        <v>281354</v>
      </c>
      <c r="D265" s="29">
        <v>247078</v>
      </c>
      <c r="E265" s="29">
        <f t="shared" si="8"/>
        <v>528432</v>
      </c>
      <c r="F265" s="30">
        <v>6015939</v>
      </c>
      <c r="G265" s="30">
        <v>91855</v>
      </c>
      <c r="H265" s="30">
        <f t="shared" si="9"/>
        <v>6107794</v>
      </c>
      <c r="I265" s="42" t="s">
        <v>75</v>
      </c>
      <c r="J265" s="42" t="s">
        <v>75</v>
      </c>
      <c r="K265" s="32">
        <v>6463538</v>
      </c>
      <c r="L265" s="31" t="s">
        <v>75</v>
      </c>
      <c r="M265" s="31" t="s">
        <v>75</v>
      </c>
      <c r="N265" s="30">
        <v>17059795</v>
      </c>
      <c r="O265" s="31" t="s">
        <v>75</v>
      </c>
      <c r="P265" s="31" t="s">
        <v>75</v>
      </c>
      <c r="Q265" s="30">
        <v>15001316</v>
      </c>
      <c r="R265" s="31" t="s">
        <v>75</v>
      </c>
      <c r="S265" s="31" t="s">
        <v>75</v>
      </c>
      <c r="T265" s="32">
        <v>169020</v>
      </c>
      <c r="U265" s="31" t="s">
        <v>75</v>
      </c>
      <c r="V265" s="31" t="s">
        <v>75</v>
      </c>
      <c r="W265" s="30">
        <v>25796</v>
      </c>
      <c r="X265" s="31" t="s">
        <v>75</v>
      </c>
      <c r="Y265" s="31" t="s">
        <v>75</v>
      </c>
      <c r="Z265" s="30">
        <v>57114</v>
      </c>
      <c r="AA265" s="31" t="s">
        <v>75</v>
      </c>
      <c r="AB265" s="31" t="s">
        <v>75</v>
      </c>
      <c r="AC265" s="30">
        <v>124202</v>
      </c>
      <c r="AD265" s="31" t="s">
        <v>75</v>
      </c>
      <c r="AE265" s="31" t="s">
        <v>75</v>
      </c>
      <c r="AF265" s="30">
        <v>10782</v>
      </c>
      <c r="AG265" s="42" t="s">
        <v>75</v>
      </c>
      <c r="AH265" s="42" t="s">
        <v>75</v>
      </c>
      <c r="AI265" s="32">
        <v>24289</v>
      </c>
      <c r="AJ265" s="31" t="s">
        <v>75</v>
      </c>
      <c r="AK265" s="31" t="s">
        <v>75</v>
      </c>
      <c r="AL265" s="31" t="s">
        <v>75</v>
      </c>
      <c r="AM265" s="31"/>
      <c r="AN265" s="31"/>
      <c r="AO265" s="31"/>
      <c r="AP265" s="31"/>
      <c r="AQ265" s="31"/>
      <c r="AR265" s="31"/>
      <c r="AS265" s="31" t="s">
        <v>75</v>
      </c>
      <c r="AT265" s="31" t="s">
        <v>75</v>
      </c>
      <c r="AU265" s="31" t="s">
        <v>75</v>
      </c>
      <c r="AV265" s="31" t="s">
        <v>75</v>
      </c>
      <c r="AW265" s="31" t="s">
        <v>75</v>
      </c>
      <c r="AX265" s="31" t="s">
        <v>75</v>
      </c>
      <c r="AY265" s="31" t="s">
        <v>75</v>
      </c>
      <c r="AZ265" s="31" t="s">
        <v>75</v>
      </c>
      <c r="BA265" s="29">
        <v>10444424</v>
      </c>
      <c r="BB265" s="31" t="s">
        <v>75</v>
      </c>
      <c r="BC265" s="31" t="s">
        <v>75</v>
      </c>
      <c r="BD265" s="29">
        <v>1690946</v>
      </c>
      <c r="BE265" s="113">
        <v>0</v>
      </c>
      <c r="BF265" s="113">
        <v>0</v>
      </c>
      <c r="BG265" s="113">
        <v>0</v>
      </c>
      <c r="BH265" s="113">
        <v>0</v>
      </c>
      <c r="BI265" s="113">
        <v>0</v>
      </c>
      <c r="BJ265" s="113">
        <v>0</v>
      </c>
      <c r="BK265" s="113">
        <v>0</v>
      </c>
      <c r="BL265" s="113">
        <v>0</v>
      </c>
      <c r="BM265" s="113">
        <v>0</v>
      </c>
      <c r="BN265" s="113">
        <v>0</v>
      </c>
      <c r="BO265" s="113">
        <v>0</v>
      </c>
      <c r="BP265" s="113">
        <v>0</v>
      </c>
      <c r="BQ265" s="113">
        <v>0</v>
      </c>
      <c r="BR265" s="113">
        <v>0</v>
      </c>
      <c r="BS265" s="113">
        <v>0</v>
      </c>
      <c r="BT265" s="113">
        <v>0</v>
      </c>
      <c r="BU265" s="113">
        <v>0</v>
      </c>
      <c r="BV265" s="113">
        <v>0</v>
      </c>
      <c r="BW265" s="113"/>
      <c r="BX265" s="113"/>
      <c r="BY265" s="113"/>
      <c r="BZ265" s="113">
        <v>0</v>
      </c>
      <c r="CA265" s="113">
        <v>0</v>
      </c>
      <c r="CB265" s="113">
        <v>0</v>
      </c>
      <c r="CC265" s="113"/>
      <c r="CD265" s="113"/>
      <c r="CE265" s="113"/>
      <c r="CF265" s="113">
        <v>0</v>
      </c>
      <c r="CG265" s="113">
        <v>0</v>
      </c>
      <c r="CH265" s="113">
        <v>0</v>
      </c>
      <c r="CI265" s="113">
        <v>0</v>
      </c>
      <c r="CJ265" s="113">
        <v>0</v>
      </c>
      <c r="CK265" s="113">
        <v>0</v>
      </c>
      <c r="CL265" s="113">
        <v>0</v>
      </c>
      <c r="CM265" s="113">
        <v>0</v>
      </c>
      <c r="CN265" s="113">
        <v>0</v>
      </c>
      <c r="CO265" s="113">
        <v>0</v>
      </c>
      <c r="CP265" s="113">
        <v>0</v>
      </c>
      <c r="CQ265" s="113">
        <v>0</v>
      </c>
      <c r="CR265" s="113">
        <v>0</v>
      </c>
      <c r="CS265" s="113">
        <v>0</v>
      </c>
      <c r="CT265" s="113">
        <v>0</v>
      </c>
      <c r="CU265" s="113">
        <v>0</v>
      </c>
      <c r="CV265" s="113">
        <v>0</v>
      </c>
      <c r="CW265" s="113">
        <v>0</v>
      </c>
      <c r="CX265" s="113">
        <v>0</v>
      </c>
      <c r="CY265" s="113">
        <v>0</v>
      </c>
      <c r="CZ265" s="113">
        <v>0</v>
      </c>
      <c r="DA265" s="113">
        <v>0</v>
      </c>
      <c r="DB265" s="113">
        <v>0</v>
      </c>
      <c r="DC265" s="113">
        <v>0</v>
      </c>
      <c r="DD265" s="113">
        <v>0</v>
      </c>
      <c r="DE265" s="113">
        <v>0</v>
      </c>
      <c r="DF265" s="113">
        <v>0</v>
      </c>
      <c r="DG265" s="113">
        <v>0</v>
      </c>
      <c r="DH265" s="113">
        <v>0</v>
      </c>
      <c r="DI265" s="113">
        <v>0</v>
      </c>
      <c r="DJ265" s="113">
        <v>0</v>
      </c>
      <c r="DK265" s="113">
        <v>0</v>
      </c>
      <c r="DL265" s="113">
        <v>0</v>
      </c>
      <c r="DM265" s="113">
        <v>0</v>
      </c>
      <c r="DN265" s="113">
        <v>0</v>
      </c>
      <c r="DO265" s="113">
        <v>0</v>
      </c>
      <c r="DP265" s="113">
        <v>0</v>
      </c>
      <c r="DQ265" s="113">
        <v>0</v>
      </c>
      <c r="DR265" s="113">
        <v>0</v>
      </c>
      <c r="DS265" s="113">
        <v>0</v>
      </c>
      <c r="DT265" s="113">
        <v>0</v>
      </c>
      <c r="DU265" s="113">
        <v>0</v>
      </c>
      <c r="DV265" s="113">
        <v>0</v>
      </c>
      <c r="DW265" s="113">
        <v>0</v>
      </c>
      <c r="DX265" s="113">
        <v>0</v>
      </c>
      <c r="DY265" s="113">
        <v>0</v>
      </c>
      <c r="DZ265" s="113">
        <v>0</v>
      </c>
      <c r="EA265" s="113">
        <v>0</v>
      </c>
      <c r="EB265" s="113">
        <v>0</v>
      </c>
      <c r="EC265" s="113">
        <v>0</v>
      </c>
      <c r="ED265" s="113">
        <v>0</v>
      </c>
      <c r="EE265" s="113">
        <v>0</v>
      </c>
      <c r="EF265" s="113">
        <v>0</v>
      </c>
      <c r="EG265" s="113">
        <v>0</v>
      </c>
      <c r="EH265" s="113">
        <v>0</v>
      </c>
      <c r="EI265" s="113">
        <v>0</v>
      </c>
      <c r="EJ265" s="113">
        <v>0</v>
      </c>
      <c r="EK265" s="113">
        <v>0</v>
      </c>
      <c r="EL265" s="113">
        <v>0</v>
      </c>
      <c r="EM265" s="113">
        <v>0</v>
      </c>
      <c r="EN265" s="113">
        <v>0</v>
      </c>
      <c r="EO265" s="113">
        <v>0</v>
      </c>
      <c r="EP265" s="113">
        <v>0</v>
      </c>
      <c r="EQ265" s="113">
        <v>0</v>
      </c>
      <c r="ER265" s="113">
        <v>0</v>
      </c>
      <c r="ES265" s="113">
        <v>0</v>
      </c>
      <c r="ET265" s="113">
        <v>0</v>
      </c>
      <c r="EU265" s="113">
        <v>0</v>
      </c>
      <c r="EV265" s="113">
        <v>0</v>
      </c>
      <c r="EW265" s="113">
        <v>0</v>
      </c>
      <c r="EX265" s="113">
        <v>0</v>
      </c>
      <c r="EY265" s="113">
        <v>0</v>
      </c>
      <c r="EZ265" s="113">
        <v>0</v>
      </c>
      <c r="FA265" s="113">
        <v>0</v>
      </c>
      <c r="FB265" s="113">
        <v>0</v>
      </c>
      <c r="FC265" s="113">
        <v>0</v>
      </c>
      <c r="FD265" s="113">
        <v>0</v>
      </c>
      <c r="FE265" s="113">
        <v>0</v>
      </c>
      <c r="FF265" s="113">
        <v>0</v>
      </c>
      <c r="FG265" s="113">
        <v>0</v>
      </c>
      <c r="FH265" s="113">
        <v>0</v>
      </c>
      <c r="FI265" s="113">
        <v>0</v>
      </c>
      <c r="FJ265" s="113">
        <v>0</v>
      </c>
      <c r="FK265" s="113">
        <v>0</v>
      </c>
      <c r="FL265" s="113">
        <v>0</v>
      </c>
      <c r="FM265" s="113">
        <v>0</v>
      </c>
      <c r="FN265" s="113">
        <v>0</v>
      </c>
      <c r="FO265" s="113">
        <v>0</v>
      </c>
      <c r="FP265" s="113">
        <v>0</v>
      </c>
      <c r="FQ265" s="113">
        <v>0</v>
      </c>
      <c r="FR265" s="113">
        <v>0</v>
      </c>
      <c r="FS265" s="113">
        <v>0</v>
      </c>
      <c r="FT265" s="113">
        <v>0</v>
      </c>
      <c r="FU265" s="113">
        <v>0</v>
      </c>
      <c r="FV265" s="113">
        <v>0</v>
      </c>
      <c r="FW265" s="113">
        <v>0</v>
      </c>
      <c r="FX265" s="32">
        <v>0</v>
      </c>
      <c r="FY265" s="30">
        <v>0</v>
      </c>
      <c r="FZ265" s="30">
        <v>0</v>
      </c>
    </row>
    <row r="266" spans="1:182" x14ac:dyDescent="0.2">
      <c r="A266" s="28">
        <v>39661</v>
      </c>
      <c r="B266" s="28"/>
      <c r="C266" s="29">
        <v>227285</v>
      </c>
      <c r="D266" s="29">
        <v>208200</v>
      </c>
      <c r="E266" s="29">
        <f t="shared" si="8"/>
        <v>435485</v>
      </c>
      <c r="F266" s="30">
        <v>5223811</v>
      </c>
      <c r="G266" s="30">
        <v>99919</v>
      </c>
      <c r="H266" s="30">
        <f t="shared" si="9"/>
        <v>5323730</v>
      </c>
      <c r="I266" s="42" t="s">
        <v>75</v>
      </c>
      <c r="J266" s="42" t="s">
        <v>75</v>
      </c>
      <c r="K266" s="32">
        <v>5824710</v>
      </c>
      <c r="L266" s="31" t="s">
        <v>75</v>
      </c>
      <c r="M266" s="31" t="s">
        <v>75</v>
      </c>
      <c r="N266" s="30">
        <v>15875133</v>
      </c>
      <c r="O266" s="31" t="s">
        <v>75</v>
      </c>
      <c r="P266" s="31" t="s">
        <v>75</v>
      </c>
      <c r="Q266" s="30">
        <v>10859390</v>
      </c>
      <c r="R266" s="31" t="s">
        <v>75</v>
      </c>
      <c r="S266" s="31" t="s">
        <v>75</v>
      </c>
      <c r="T266" s="32">
        <v>142933</v>
      </c>
      <c r="U266" s="31" t="s">
        <v>75</v>
      </c>
      <c r="V266" s="31" t="s">
        <v>75</v>
      </c>
      <c r="W266" s="30">
        <v>25070</v>
      </c>
      <c r="X266" s="31" t="s">
        <v>75</v>
      </c>
      <c r="Y266" s="31" t="s">
        <v>75</v>
      </c>
      <c r="Z266" s="30">
        <v>56801</v>
      </c>
      <c r="AA266" s="31" t="s">
        <v>75</v>
      </c>
      <c r="AB266" s="31" t="s">
        <v>75</v>
      </c>
      <c r="AC266" s="30">
        <v>96407</v>
      </c>
      <c r="AD266" s="31" t="s">
        <v>75</v>
      </c>
      <c r="AE266" s="31" t="s">
        <v>75</v>
      </c>
      <c r="AF266" s="30">
        <v>16401</v>
      </c>
      <c r="AG266" s="42" t="s">
        <v>75</v>
      </c>
      <c r="AH266" s="42" t="s">
        <v>75</v>
      </c>
      <c r="AI266" s="32">
        <v>38195</v>
      </c>
      <c r="AJ266" s="31" t="s">
        <v>75</v>
      </c>
      <c r="AK266" s="31" t="s">
        <v>75</v>
      </c>
      <c r="AL266" s="31" t="s">
        <v>75</v>
      </c>
      <c r="AM266" s="31"/>
      <c r="AN266" s="31"/>
      <c r="AO266" s="31"/>
      <c r="AP266" s="31"/>
      <c r="AQ266" s="31"/>
      <c r="AR266" s="31"/>
      <c r="AS266" s="31" t="s">
        <v>75</v>
      </c>
      <c r="AT266" s="31" t="s">
        <v>75</v>
      </c>
      <c r="AU266" s="31" t="s">
        <v>75</v>
      </c>
      <c r="AV266" s="31" t="s">
        <v>75</v>
      </c>
      <c r="AW266" s="31" t="s">
        <v>75</v>
      </c>
      <c r="AX266" s="31" t="s">
        <v>75</v>
      </c>
      <c r="AY266" s="31" t="s">
        <v>75</v>
      </c>
      <c r="AZ266" s="31" t="s">
        <v>75</v>
      </c>
      <c r="BA266" s="29">
        <v>10194117</v>
      </c>
      <c r="BB266" s="31" t="s">
        <v>75</v>
      </c>
      <c r="BC266" s="31" t="s">
        <v>75</v>
      </c>
      <c r="BD266" s="29">
        <v>1752896</v>
      </c>
      <c r="BE266" s="113">
        <v>0</v>
      </c>
      <c r="BF266" s="113">
        <v>0</v>
      </c>
      <c r="BG266" s="113">
        <v>0</v>
      </c>
      <c r="BH266" s="113">
        <v>0</v>
      </c>
      <c r="BI266" s="113">
        <v>0</v>
      </c>
      <c r="BJ266" s="113">
        <v>0</v>
      </c>
      <c r="BK266" s="113">
        <v>0</v>
      </c>
      <c r="BL266" s="113">
        <v>0</v>
      </c>
      <c r="BM266" s="113">
        <v>0</v>
      </c>
      <c r="BN266" s="113">
        <v>0</v>
      </c>
      <c r="BO266" s="113">
        <v>0</v>
      </c>
      <c r="BP266" s="113">
        <v>0</v>
      </c>
      <c r="BQ266" s="113">
        <v>0</v>
      </c>
      <c r="BR266" s="113">
        <v>0</v>
      </c>
      <c r="BS266" s="113">
        <v>0</v>
      </c>
      <c r="BT266" s="113">
        <v>0</v>
      </c>
      <c r="BU266" s="113">
        <v>0</v>
      </c>
      <c r="BV266" s="113">
        <v>0</v>
      </c>
      <c r="BW266" s="113"/>
      <c r="BX266" s="113"/>
      <c r="BY266" s="113"/>
      <c r="BZ266" s="113">
        <v>0</v>
      </c>
      <c r="CA266" s="113">
        <v>0</v>
      </c>
      <c r="CB266" s="113">
        <v>0</v>
      </c>
      <c r="CC266" s="113"/>
      <c r="CD266" s="113"/>
      <c r="CE266" s="113"/>
      <c r="CF266" s="113">
        <v>0</v>
      </c>
      <c r="CG266" s="113">
        <v>0</v>
      </c>
      <c r="CH266" s="113">
        <v>0</v>
      </c>
      <c r="CI266" s="113">
        <v>0</v>
      </c>
      <c r="CJ266" s="113">
        <v>0</v>
      </c>
      <c r="CK266" s="113">
        <v>0</v>
      </c>
      <c r="CL266" s="113">
        <v>0</v>
      </c>
      <c r="CM266" s="113">
        <v>0</v>
      </c>
      <c r="CN266" s="113">
        <v>0</v>
      </c>
      <c r="CO266" s="113">
        <v>0</v>
      </c>
      <c r="CP266" s="113">
        <v>0</v>
      </c>
      <c r="CQ266" s="113">
        <v>0</v>
      </c>
      <c r="CR266" s="113">
        <v>0</v>
      </c>
      <c r="CS266" s="113">
        <v>0</v>
      </c>
      <c r="CT266" s="113">
        <v>0</v>
      </c>
      <c r="CU266" s="113">
        <v>0</v>
      </c>
      <c r="CV266" s="113">
        <v>0</v>
      </c>
      <c r="CW266" s="113">
        <v>0</v>
      </c>
      <c r="CX266" s="113">
        <v>0</v>
      </c>
      <c r="CY266" s="113">
        <v>0</v>
      </c>
      <c r="CZ266" s="113">
        <v>0</v>
      </c>
      <c r="DA266" s="113">
        <v>0</v>
      </c>
      <c r="DB266" s="113">
        <v>0</v>
      </c>
      <c r="DC266" s="113">
        <v>0</v>
      </c>
      <c r="DD266" s="113">
        <v>0</v>
      </c>
      <c r="DE266" s="113">
        <v>0</v>
      </c>
      <c r="DF266" s="113">
        <v>0</v>
      </c>
      <c r="DG266" s="113">
        <v>0</v>
      </c>
      <c r="DH266" s="113">
        <v>0</v>
      </c>
      <c r="DI266" s="113">
        <v>0</v>
      </c>
      <c r="DJ266" s="113">
        <v>0</v>
      </c>
      <c r="DK266" s="113">
        <v>0</v>
      </c>
      <c r="DL266" s="113">
        <v>0</v>
      </c>
      <c r="DM266" s="113">
        <v>0</v>
      </c>
      <c r="DN266" s="113">
        <v>0</v>
      </c>
      <c r="DO266" s="113">
        <v>0</v>
      </c>
      <c r="DP266" s="113">
        <v>0</v>
      </c>
      <c r="DQ266" s="113">
        <v>0</v>
      </c>
      <c r="DR266" s="113">
        <v>0</v>
      </c>
      <c r="DS266" s="113">
        <v>0</v>
      </c>
      <c r="DT266" s="113">
        <v>0</v>
      </c>
      <c r="DU266" s="113">
        <v>0</v>
      </c>
      <c r="DV266" s="113">
        <v>0</v>
      </c>
      <c r="DW266" s="113">
        <v>0</v>
      </c>
      <c r="DX266" s="113">
        <v>0</v>
      </c>
      <c r="DY266" s="113">
        <v>0</v>
      </c>
      <c r="DZ266" s="113">
        <v>0</v>
      </c>
      <c r="EA266" s="113">
        <v>0</v>
      </c>
      <c r="EB266" s="113">
        <v>0</v>
      </c>
      <c r="EC266" s="113">
        <v>0</v>
      </c>
      <c r="ED266" s="113">
        <v>0</v>
      </c>
      <c r="EE266" s="113">
        <v>0</v>
      </c>
      <c r="EF266" s="113">
        <v>0</v>
      </c>
      <c r="EG266" s="113">
        <v>0</v>
      </c>
      <c r="EH266" s="113">
        <v>0</v>
      </c>
      <c r="EI266" s="113">
        <v>0</v>
      </c>
      <c r="EJ266" s="113">
        <v>0</v>
      </c>
      <c r="EK266" s="113">
        <v>0</v>
      </c>
      <c r="EL266" s="113">
        <v>0</v>
      </c>
      <c r="EM266" s="113">
        <v>0</v>
      </c>
      <c r="EN266" s="113">
        <v>0</v>
      </c>
      <c r="EO266" s="113">
        <v>0</v>
      </c>
      <c r="EP266" s="113">
        <v>0</v>
      </c>
      <c r="EQ266" s="113">
        <v>0</v>
      </c>
      <c r="ER266" s="113">
        <v>0</v>
      </c>
      <c r="ES266" s="113">
        <v>0</v>
      </c>
      <c r="ET266" s="113">
        <v>0</v>
      </c>
      <c r="EU266" s="113">
        <v>0</v>
      </c>
      <c r="EV266" s="113">
        <v>0</v>
      </c>
      <c r="EW266" s="113">
        <v>0</v>
      </c>
      <c r="EX266" s="113">
        <v>0</v>
      </c>
      <c r="EY266" s="113">
        <v>0</v>
      </c>
      <c r="EZ266" s="113">
        <v>0</v>
      </c>
      <c r="FA266" s="113">
        <v>0</v>
      </c>
      <c r="FB266" s="113">
        <v>0</v>
      </c>
      <c r="FC266" s="113">
        <v>0</v>
      </c>
      <c r="FD266" s="113">
        <v>0</v>
      </c>
      <c r="FE266" s="113">
        <v>0</v>
      </c>
      <c r="FF266" s="113">
        <v>0</v>
      </c>
      <c r="FG266" s="113">
        <v>0</v>
      </c>
      <c r="FH266" s="113">
        <v>0</v>
      </c>
      <c r="FI266" s="113">
        <v>0</v>
      </c>
      <c r="FJ266" s="113">
        <v>0</v>
      </c>
      <c r="FK266" s="113">
        <v>0</v>
      </c>
      <c r="FL266" s="113">
        <v>0</v>
      </c>
      <c r="FM266" s="113">
        <v>0</v>
      </c>
      <c r="FN266" s="113">
        <v>0</v>
      </c>
      <c r="FO266" s="113">
        <v>0</v>
      </c>
      <c r="FP266" s="113">
        <v>0</v>
      </c>
      <c r="FQ266" s="113">
        <v>0</v>
      </c>
      <c r="FR266" s="113">
        <v>0</v>
      </c>
      <c r="FS266" s="113">
        <v>0</v>
      </c>
      <c r="FT266" s="113">
        <v>0</v>
      </c>
      <c r="FU266" s="113">
        <v>0</v>
      </c>
      <c r="FV266" s="113">
        <v>0</v>
      </c>
      <c r="FW266" s="113">
        <v>0</v>
      </c>
      <c r="FX266" s="32">
        <v>0</v>
      </c>
      <c r="FY266" s="30">
        <v>0</v>
      </c>
      <c r="FZ266" s="30">
        <v>0</v>
      </c>
    </row>
    <row r="267" spans="1:182" x14ac:dyDescent="0.2">
      <c r="A267" s="28">
        <v>39692</v>
      </c>
      <c r="B267" s="28"/>
      <c r="C267" s="29">
        <v>242272</v>
      </c>
      <c r="D267" s="29">
        <v>131716</v>
      </c>
      <c r="E267" s="29">
        <f t="shared" si="8"/>
        <v>373988</v>
      </c>
      <c r="F267" s="30">
        <v>5197021</v>
      </c>
      <c r="G267" s="30">
        <v>156995</v>
      </c>
      <c r="H267" s="30">
        <f t="shared" si="9"/>
        <v>5354016</v>
      </c>
      <c r="I267" s="42" t="s">
        <v>75</v>
      </c>
      <c r="J267" s="42" t="s">
        <v>75</v>
      </c>
      <c r="K267" s="32">
        <v>5833588</v>
      </c>
      <c r="L267" s="31" t="s">
        <v>75</v>
      </c>
      <c r="M267" s="31" t="s">
        <v>75</v>
      </c>
      <c r="N267" s="30">
        <v>16630942</v>
      </c>
      <c r="O267" s="31" t="s">
        <v>75</v>
      </c>
      <c r="P267" s="31" t="s">
        <v>75</v>
      </c>
      <c r="Q267" s="30">
        <v>18293379</v>
      </c>
      <c r="R267" s="31" t="s">
        <v>75</v>
      </c>
      <c r="S267" s="31" t="s">
        <v>75</v>
      </c>
      <c r="T267" s="32">
        <v>122307</v>
      </c>
      <c r="U267" s="31" t="s">
        <v>75</v>
      </c>
      <c r="V267" s="31" t="s">
        <v>75</v>
      </c>
      <c r="W267" s="30">
        <v>25665</v>
      </c>
      <c r="X267" s="31" t="s">
        <v>75</v>
      </c>
      <c r="Y267" s="31" t="s">
        <v>75</v>
      </c>
      <c r="Z267" s="30">
        <v>72341</v>
      </c>
      <c r="AA267" s="31" t="s">
        <v>75</v>
      </c>
      <c r="AB267" s="31" t="s">
        <v>75</v>
      </c>
      <c r="AC267" s="30">
        <v>104323</v>
      </c>
      <c r="AD267" s="31" t="s">
        <v>75</v>
      </c>
      <c r="AE267" s="31" t="s">
        <v>75</v>
      </c>
      <c r="AF267" s="30">
        <v>28419</v>
      </c>
      <c r="AG267" s="42" t="s">
        <v>75</v>
      </c>
      <c r="AH267" s="42" t="s">
        <v>75</v>
      </c>
      <c r="AI267" s="32">
        <v>33625</v>
      </c>
      <c r="AJ267" s="31" t="s">
        <v>75</v>
      </c>
      <c r="AK267" s="31" t="s">
        <v>75</v>
      </c>
      <c r="AL267" s="31" t="s">
        <v>75</v>
      </c>
      <c r="AM267" s="31"/>
      <c r="AN267" s="31"/>
      <c r="AO267" s="31"/>
      <c r="AP267" s="31"/>
      <c r="AQ267" s="31"/>
      <c r="AR267" s="31"/>
      <c r="AS267" s="31" t="s">
        <v>75</v>
      </c>
      <c r="AT267" s="31" t="s">
        <v>75</v>
      </c>
      <c r="AU267" s="31" t="s">
        <v>75</v>
      </c>
      <c r="AV267" s="31" t="s">
        <v>75</v>
      </c>
      <c r="AW267" s="31" t="s">
        <v>75</v>
      </c>
      <c r="AX267" s="31" t="s">
        <v>75</v>
      </c>
      <c r="AY267" s="31" t="s">
        <v>75</v>
      </c>
      <c r="AZ267" s="31" t="s">
        <v>75</v>
      </c>
      <c r="BA267" s="29">
        <v>11077554</v>
      </c>
      <c r="BB267" s="31" t="s">
        <v>75</v>
      </c>
      <c r="BC267" s="31" t="s">
        <v>75</v>
      </c>
      <c r="BD267" s="29">
        <v>1885497</v>
      </c>
      <c r="BE267" s="113">
        <v>0</v>
      </c>
      <c r="BF267" s="113">
        <v>0</v>
      </c>
      <c r="BG267" s="113">
        <v>0</v>
      </c>
      <c r="BH267" s="113">
        <v>0</v>
      </c>
      <c r="BI267" s="113">
        <v>0</v>
      </c>
      <c r="BJ267" s="113">
        <v>0</v>
      </c>
      <c r="BK267" s="113">
        <v>0</v>
      </c>
      <c r="BL267" s="113">
        <v>0</v>
      </c>
      <c r="BM267" s="113">
        <v>0</v>
      </c>
      <c r="BN267" s="113">
        <v>0</v>
      </c>
      <c r="BO267" s="113">
        <v>0</v>
      </c>
      <c r="BP267" s="113">
        <v>0</v>
      </c>
      <c r="BQ267" s="113">
        <v>0</v>
      </c>
      <c r="BR267" s="113">
        <v>0</v>
      </c>
      <c r="BS267" s="113">
        <v>0</v>
      </c>
      <c r="BT267" s="113">
        <v>0</v>
      </c>
      <c r="BU267" s="113">
        <v>0</v>
      </c>
      <c r="BV267" s="113">
        <v>0</v>
      </c>
      <c r="BW267" s="113"/>
      <c r="BX267" s="113"/>
      <c r="BY267" s="113"/>
      <c r="BZ267" s="113">
        <v>0</v>
      </c>
      <c r="CA267" s="113">
        <v>0</v>
      </c>
      <c r="CB267" s="113">
        <v>0</v>
      </c>
      <c r="CC267" s="113"/>
      <c r="CD267" s="113"/>
      <c r="CE267" s="113"/>
      <c r="CF267" s="113">
        <v>0</v>
      </c>
      <c r="CG267" s="113">
        <v>0</v>
      </c>
      <c r="CH267" s="113">
        <v>0</v>
      </c>
      <c r="CI267" s="113">
        <v>0</v>
      </c>
      <c r="CJ267" s="113">
        <v>0</v>
      </c>
      <c r="CK267" s="113">
        <v>0</v>
      </c>
      <c r="CL267" s="113">
        <v>0</v>
      </c>
      <c r="CM267" s="113">
        <v>0</v>
      </c>
      <c r="CN267" s="113">
        <v>0</v>
      </c>
      <c r="CO267" s="113">
        <v>0</v>
      </c>
      <c r="CP267" s="113">
        <v>0</v>
      </c>
      <c r="CQ267" s="113">
        <v>0</v>
      </c>
      <c r="CR267" s="113">
        <v>0</v>
      </c>
      <c r="CS267" s="113">
        <v>0</v>
      </c>
      <c r="CT267" s="113">
        <v>0</v>
      </c>
      <c r="CU267" s="113">
        <v>0</v>
      </c>
      <c r="CV267" s="113">
        <v>0</v>
      </c>
      <c r="CW267" s="113">
        <v>0</v>
      </c>
      <c r="CX267" s="113">
        <v>0</v>
      </c>
      <c r="CY267" s="113">
        <v>0</v>
      </c>
      <c r="CZ267" s="113">
        <v>0</v>
      </c>
      <c r="DA267" s="113">
        <v>0</v>
      </c>
      <c r="DB267" s="113">
        <v>0</v>
      </c>
      <c r="DC267" s="113">
        <v>0</v>
      </c>
      <c r="DD267" s="113">
        <v>0</v>
      </c>
      <c r="DE267" s="113">
        <v>0</v>
      </c>
      <c r="DF267" s="113">
        <v>0</v>
      </c>
      <c r="DG267" s="113">
        <v>0</v>
      </c>
      <c r="DH267" s="113">
        <v>0</v>
      </c>
      <c r="DI267" s="113">
        <v>0</v>
      </c>
      <c r="DJ267" s="113">
        <v>0</v>
      </c>
      <c r="DK267" s="113">
        <v>0</v>
      </c>
      <c r="DL267" s="113">
        <v>0</v>
      </c>
      <c r="DM267" s="113">
        <v>0</v>
      </c>
      <c r="DN267" s="113">
        <v>0</v>
      </c>
      <c r="DO267" s="113">
        <v>0</v>
      </c>
      <c r="DP267" s="113">
        <v>0</v>
      </c>
      <c r="DQ267" s="113">
        <v>0</v>
      </c>
      <c r="DR267" s="113">
        <v>0</v>
      </c>
      <c r="DS267" s="113">
        <v>0</v>
      </c>
      <c r="DT267" s="113">
        <v>0</v>
      </c>
      <c r="DU267" s="113">
        <v>0</v>
      </c>
      <c r="DV267" s="113">
        <v>0</v>
      </c>
      <c r="DW267" s="113">
        <v>0</v>
      </c>
      <c r="DX267" s="113">
        <v>0</v>
      </c>
      <c r="DY267" s="113">
        <v>0</v>
      </c>
      <c r="DZ267" s="113">
        <v>0</v>
      </c>
      <c r="EA267" s="113">
        <v>0</v>
      </c>
      <c r="EB267" s="113">
        <v>0</v>
      </c>
      <c r="EC267" s="113">
        <v>0</v>
      </c>
      <c r="ED267" s="113">
        <v>0</v>
      </c>
      <c r="EE267" s="113">
        <v>0</v>
      </c>
      <c r="EF267" s="113">
        <v>0</v>
      </c>
      <c r="EG267" s="113">
        <v>0</v>
      </c>
      <c r="EH267" s="113">
        <v>0</v>
      </c>
      <c r="EI267" s="113">
        <v>0</v>
      </c>
      <c r="EJ267" s="113">
        <v>0</v>
      </c>
      <c r="EK267" s="113">
        <v>0</v>
      </c>
      <c r="EL267" s="113">
        <v>0</v>
      </c>
      <c r="EM267" s="113">
        <v>0</v>
      </c>
      <c r="EN267" s="113">
        <v>0</v>
      </c>
      <c r="EO267" s="113">
        <v>0</v>
      </c>
      <c r="EP267" s="113">
        <v>0</v>
      </c>
      <c r="EQ267" s="113">
        <v>0</v>
      </c>
      <c r="ER267" s="113">
        <v>0</v>
      </c>
      <c r="ES267" s="113">
        <v>0</v>
      </c>
      <c r="ET267" s="113">
        <v>0</v>
      </c>
      <c r="EU267" s="113">
        <v>0</v>
      </c>
      <c r="EV267" s="113">
        <v>0</v>
      </c>
      <c r="EW267" s="113">
        <v>0</v>
      </c>
      <c r="EX267" s="113">
        <v>0</v>
      </c>
      <c r="EY267" s="113">
        <v>0</v>
      </c>
      <c r="EZ267" s="113">
        <v>0</v>
      </c>
      <c r="FA267" s="113">
        <v>0</v>
      </c>
      <c r="FB267" s="113">
        <v>0</v>
      </c>
      <c r="FC267" s="113">
        <v>0</v>
      </c>
      <c r="FD267" s="113">
        <v>0</v>
      </c>
      <c r="FE267" s="113">
        <v>0</v>
      </c>
      <c r="FF267" s="113">
        <v>0</v>
      </c>
      <c r="FG267" s="113">
        <v>0</v>
      </c>
      <c r="FH267" s="113">
        <v>0</v>
      </c>
      <c r="FI267" s="113">
        <v>0</v>
      </c>
      <c r="FJ267" s="113">
        <v>0</v>
      </c>
      <c r="FK267" s="113">
        <v>0</v>
      </c>
      <c r="FL267" s="113">
        <v>0</v>
      </c>
      <c r="FM267" s="113">
        <v>0</v>
      </c>
      <c r="FN267" s="113">
        <v>0</v>
      </c>
      <c r="FO267" s="113">
        <v>0</v>
      </c>
      <c r="FP267" s="113">
        <v>0</v>
      </c>
      <c r="FQ267" s="113">
        <v>0</v>
      </c>
      <c r="FR267" s="113">
        <v>0</v>
      </c>
      <c r="FS267" s="113">
        <v>0</v>
      </c>
      <c r="FT267" s="113">
        <v>0</v>
      </c>
      <c r="FU267" s="113">
        <v>0</v>
      </c>
      <c r="FV267" s="113">
        <v>0</v>
      </c>
      <c r="FW267" s="113">
        <v>0</v>
      </c>
      <c r="FX267" s="32">
        <v>0</v>
      </c>
      <c r="FY267" s="30">
        <v>0</v>
      </c>
      <c r="FZ267" s="30">
        <v>0</v>
      </c>
    </row>
    <row r="268" spans="1:182" x14ac:dyDescent="0.2">
      <c r="A268" s="28">
        <v>39722</v>
      </c>
      <c r="B268" s="28"/>
      <c r="C268" s="29">
        <v>277065</v>
      </c>
      <c r="D268" s="29">
        <v>224516</v>
      </c>
      <c r="E268" s="29">
        <f t="shared" si="8"/>
        <v>501581</v>
      </c>
      <c r="F268" s="30">
        <v>7709499</v>
      </c>
      <c r="G268" s="30">
        <v>125883</v>
      </c>
      <c r="H268" s="30">
        <f t="shared" si="9"/>
        <v>7835382</v>
      </c>
      <c r="I268" s="42" t="s">
        <v>75</v>
      </c>
      <c r="J268" s="42" t="s">
        <v>75</v>
      </c>
      <c r="K268" s="32">
        <v>8202251</v>
      </c>
      <c r="L268" s="31" t="s">
        <v>75</v>
      </c>
      <c r="M268" s="31" t="s">
        <v>75</v>
      </c>
      <c r="N268" s="30">
        <v>20639905</v>
      </c>
      <c r="O268" s="31" t="s">
        <v>75</v>
      </c>
      <c r="P268" s="31" t="s">
        <v>75</v>
      </c>
      <c r="Q268" s="30">
        <v>18759153</v>
      </c>
      <c r="R268" s="31" t="s">
        <v>75</v>
      </c>
      <c r="S268" s="31" t="s">
        <v>75</v>
      </c>
      <c r="T268" s="32">
        <v>152830</v>
      </c>
      <c r="U268" s="31" t="s">
        <v>75</v>
      </c>
      <c r="V268" s="31" t="s">
        <v>75</v>
      </c>
      <c r="W268" s="30">
        <v>25459</v>
      </c>
      <c r="X268" s="31" t="s">
        <v>75</v>
      </c>
      <c r="Y268" s="31" t="s">
        <v>75</v>
      </c>
      <c r="Z268" s="30">
        <v>58446</v>
      </c>
      <c r="AA268" s="31" t="s">
        <v>75</v>
      </c>
      <c r="AB268" s="31" t="s">
        <v>75</v>
      </c>
      <c r="AC268" s="30">
        <v>82000</v>
      </c>
      <c r="AD268" s="31" t="s">
        <v>75</v>
      </c>
      <c r="AE268" s="31" t="s">
        <v>75</v>
      </c>
      <c r="AF268" s="30">
        <v>25015</v>
      </c>
      <c r="AG268" s="42" t="s">
        <v>75</v>
      </c>
      <c r="AH268" s="42" t="s">
        <v>75</v>
      </c>
      <c r="AI268" s="32">
        <v>32111</v>
      </c>
      <c r="AJ268" s="31" t="s">
        <v>75</v>
      </c>
      <c r="AK268" s="31" t="s">
        <v>75</v>
      </c>
      <c r="AL268" s="31" t="s">
        <v>75</v>
      </c>
      <c r="AM268" s="31"/>
      <c r="AN268" s="31"/>
      <c r="AO268" s="31"/>
      <c r="AP268" s="31"/>
      <c r="AQ268" s="31"/>
      <c r="AR268" s="31"/>
      <c r="AS268" s="31" t="s">
        <v>75</v>
      </c>
      <c r="AT268" s="31" t="s">
        <v>75</v>
      </c>
      <c r="AU268" s="31" t="s">
        <v>75</v>
      </c>
      <c r="AV268" s="31" t="s">
        <v>75</v>
      </c>
      <c r="AW268" s="31" t="s">
        <v>75</v>
      </c>
      <c r="AX268" s="31" t="s">
        <v>75</v>
      </c>
      <c r="AY268" s="31" t="s">
        <v>75</v>
      </c>
      <c r="AZ268" s="31" t="s">
        <v>75</v>
      </c>
      <c r="BA268" s="29">
        <v>10488824</v>
      </c>
      <c r="BB268" s="31" t="s">
        <v>75</v>
      </c>
      <c r="BC268" s="31" t="s">
        <v>75</v>
      </c>
      <c r="BD268" s="29">
        <v>1816795</v>
      </c>
      <c r="BE268" s="113">
        <v>0</v>
      </c>
      <c r="BF268" s="113">
        <v>0</v>
      </c>
      <c r="BG268" s="113">
        <v>0</v>
      </c>
      <c r="BH268" s="113">
        <v>0</v>
      </c>
      <c r="BI268" s="113">
        <v>0</v>
      </c>
      <c r="BJ268" s="113">
        <v>0</v>
      </c>
      <c r="BK268" s="113">
        <v>0</v>
      </c>
      <c r="BL268" s="113">
        <v>0</v>
      </c>
      <c r="BM268" s="113">
        <v>0</v>
      </c>
      <c r="BN268" s="113">
        <v>0</v>
      </c>
      <c r="BO268" s="113">
        <v>0</v>
      </c>
      <c r="BP268" s="113">
        <v>0</v>
      </c>
      <c r="BQ268" s="113">
        <v>0</v>
      </c>
      <c r="BR268" s="113">
        <v>0</v>
      </c>
      <c r="BS268" s="113">
        <v>0</v>
      </c>
      <c r="BT268" s="113">
        <v>0</v>
      </c>
      <c r="BU268" s="113">
        <v>0</v>
      </c>
      <c r="BV268" s="113">
        <v>0</v>
      </c>
      <c r="BW268" s="113"/>
      <c r="BX268" s="113"/>
      <c r="BY268" s="113"/>
      <c r="BZ268" s="113">
        <v>0</v>
      </c>
      <c r="CA268" s="113">
        <v>0</v>
      </c>
      <c r="CB268" s="113">
        <v>0</v>
      </c>
      <c r="CC268" s="113"/>
      <c r="CD268" s="113"/>
      <c r="CE268" s="113"/>
      <c r="CF268" s="113">
        <v>0</v>
      </c>
      <c r="CG268" s="113">
        <v>0</v>
      </c>
      <c r="CH268" s="113">
        <v>0</v>
      </c>
      <c r="CI268" s="113">
        <v>0</v>
      </c>
      <c r="CJ268" s="113">
        <v>0</v>
      </c>
      <c r="CK268" s="113">
        <v>0</v>
      </c>
      <c r="CL268" s="113">
        <v>0</v>
      </c>
      <c r="CM268" s="113">
        <v>0</v>
      </c>
      <c r="CN268" s="113">
        <v>0</v>
      </c>
      <c r="CO268" s="113">
        <v>0</v>
      </c>
      <c r="CP268" s="113">
        <v>0</v>
      </c>
      <c r="CQ268" s="113">
        <v>0</v>
      </c>
      <c r="CR268" s="113">
        <v>0</v>
      </c>
      <c r="CS268" s="113">
        <v>0</v>
      </c>
      <c r="CT268" s="113">
        <v>0</v>
      </c>
      <c r="CU268" s="113">
        <v>0</v>
      </c>
      <c r="CV268" s="113">
        <v>0</v>
      </c>
      <c r="CW268" s="113">
        <v>0</v>
      </c>
      <c r="CX268" s="113">
        <v>0</v>
      </c>
      <c r="CY268" s="113">
        <v>0</v>
      </c>
      <c r="CZ268" s="113">
        <v>0</v>
      </c>
      <c r="DA268" s="113">
        <v>0</v>
      </c>
      <c r="DB268" s="113">
        <v>0</v>
      </c>
      <c r="DC268" s="113">
        <v>0</v>
      </c>
      <c r="DD268" s="113">
        <v>0</v>
      </c>
      <c r="DE268" s="113">
        <v>0</v>
      </c>
      <c r="DF268" s="113">
        <v>0</v>
      </c>
      <c r="DG268" s="113">
        <v>0</v>
      </c>
      <c r="DH268" s="113">
        <v>0</v>
      </c>
      <c r="DI268" s="113">
        <v>0</v>
      </c>
      <c r="DJ268" s="113">
        <v>0</v>
      </c>
      <c r="DK268" s="113">
        <v>0</v>
      </c>
      <c r="DL268" s="113">
        <v>0</v>
      </c>
      <c r="DM268" s="113">
        <v>0</v>
      </c>
      <c r="DN268" s="113">
        <v>0</v>
      </c>
      <c r="DO268" s="113">
        <v>0</v>
      </c>
      <c r="DP268" s="113">
        <v>0</v>
      </c>
      <c r="DQ268" s="113">
        <v>0</v>
      </c>
      <c r="DR268" s="113">
        <v>0</v>
      </c>
      <c r="DS268" s="113">
        <v>0</v>
      </c>
      <c r="DT268" s="113">
        <v>0</v>
      </c>
      <c r="DU268" s="113">
        <v>0</v>
      </c>
      <c r="DV268" s="113">
        <v>0</v>
      </c>
      <c r="DW268" s="113">
        <v>0</v>
      </c>
      <c r="DX268" s="113">
        <v>0</v>
      </c>
      <c r="DY268" s="113">
        <v>0</v>
      </c>
      <c r="DZ268" s="113">
        <v>0</v>
      </c>
      <c r="EA268" s="113">
        <v>0</v>
      </c>
      <c r="EB268" s="113">
        <v>0</v>
      </c>
      <c r="EC268" s="113">
        <v>0</v>
      </c>
      <c r="ED268" s="113">
        <v>0</v>
      </c>
      <c r="EE268" s="113">
        <v>0</v>
      </c>
      <c r="EF268" s="113">
        <v>0</v>
      </c>
      <c r="EG268" s="113">
        <v>0</v>
      </c>
      <c r="EH268" s="113">
        <v>0</v>
      </c>
      <c r="EI268" s="113">
        <v>0</v>
      </c>
      <c r="EJ268" s="113">
        <v>0</v>
      </c>
      <c r="EK268" s="113">
        <v>0</v>
      </c>
      <c r="EL268" s="113">
        <v>0</v>
      </c>
      <c r="EM268" s="113">
        <v>0</v>
      </c>
      <c r="EN268" s="113">
        <v>0</v>
      </c>
      <c r="EO268" s="113">
        <v>0</v>
      </c>
      <c r="EP268" s="113">
        <v>0</v>
      </c>
      <c r="EQ268" s="113">
        <v>0</v>
      </c>
      <c r="ER268" s="113">
        <v>0</v>
      </c>
      <c r="ES268" s="113">
        <v>0</v>
      </c>
      <c r="ET268" s="113">
        <v>0</v>
      </c>
      <c r="EU268" s="113">
        <v>0</v>
      </c>
      <c r="EV268" s="113">
        <v>0</v>
      </c>
      <c r="EW268" s="113">
        <v>0</v>
      </c>
      <c r="EX268" s="113">
        <v>0</v>
      </c>
      <c r="EY268" s="113">
        <v>0</v>
      </c>
      <c r="EZ268" s="113">
        <v>0</v>
      </c>
      <c r="FA268" s="113">
        <v>0</v>
      </c>
      <c r="FB268" s="113">
        <v>0</v>
      </c>
      <c r="FC268" s="113">
        <v>0</v>
      </c>
      <c r="FD268" s="113">
        <v>0</v>
      </c>
      <c r="FE268" s="113">
        <v>0</v>
      </c>
      <c r="FF268" s="113">
        <v>0</v>
      </c>
      <c r="FG268" s="113">
        <v>0</v>
      </c>
      <c r="FH268" s="113">
        <v>0</v>
      </c>
      <c r="FI268" s="113">
        <v>0</v>
      </c>
      <c r="FJ268" s="113">
        <v>0</v>
      </c>
      <c r="FK268" s="113">
        <v>0</v>
      </c>
      <c r="FL268" s="113">
        <v>0</v>
      </c>
      <c r="FM268" s="113">
        <v>0</v>
      </c>
      <c r="FN268" s="113">
        <v>0</v>
      </c>
      <c r="FO268" s="113">
        <v>0</v>
      </c>
      <c r="FP268" s="113">
        <v>0</v>
      </c>
      <c r="FQ268" s="113">
        <v>0</v>
      </c>
      <c r="FR268" s="113">
        <v>0</v>
      </c>
      <c r="FS268" s="113">
        <v>0</v>
      </c>
      <c r="FT268" s="113">
        <v>0</v>
      </c>
      <c r="FU268" s="113">
        <v>0</v>
      </c>
      <c r="FV268" s="113">
        <v>0</v>
      </c>
      <c r="FW268" s="113">
        <v>0</v>
      </c>
      <c r="FX268" s="32">
        <v>0</v>
      </c>
      <c r="FY268" s="30">
        <v>0</v>
      </c>
      <c r="FZ268" s="30">
        <v>0</v>
      </c>
    </row>
    <row r="269" spans="1:182" x14ac:dyDescent="0.2">
      <c r="A269" s="28">
        <v>39753</v>
      </c>
      <c r="B269" s="28"/>
      <c r="C269" s="29">
        <v>184191</v>
      </c>
      <c r="D269" s="29">
        <v>411792</v>
      </c>
      <c r="E269" s="29">
        <f t="shared" si="8"/>
        <v>595983</v>
      </c>
      <c r="F269" s="30">
        <v>10958932</v>
      </c>
      <c r="G269" s="30">
        <v>159790</v>
      </c>
      <c r="H269" s="30">
        <f t="shared" si="9"/>
        <v>11118722</v>
      </c>
      <c r="I269" s="42" t="s">
        <v>75</v>
      </c>
      <c r="J269" s="42" t="s">
        <v>75</v>
      </c>
      <c r="K269" s="32">
        <v>9596241</v>
      </c>
      <c r="L269" s="31" t="s">
        <v>75</v>
      </c>
      <c r="M269" s="31" t="s">
        <v>75</v>
      </c>
      <c r="N269" s="30">
        <v>21215475</v>
      </c>
      <c r="O269" s="31" t="s">
        <v>75</v>
      </c>
      <c r="P269" s="31" t="s">
        <v>75</v>
      </c>
      <c r="Q269" s="30">
        <v>22602669</v>
      </c>
      <c r="R269" s="31" t="s">
        <v>75</v>
      </c>
      <c r="S269" s="31" t="s">
        <v>75</v>
      </c>
      <c r="T269" s="32">
        <v>101878</v>
      </c>
      <c r="U269" s="31" t="s">
        <v>75</v>
      </c>
      <c r="V269" s="31" t="s">
        <v>75</v>
      </c>
      <c r="W269" s="30">
        <v>29039</v>
      </c>
      <c r="X269" s="31" t="s">
        <v>75</v>
      </c>
      <c r="Y269" s="31" t="s">
        <v>75</v>
      </c>
      <c r="Z269" s="30">
        <v>162871</v>
      </c>
      <c r="AA269" s="31" t="s">
        <v>75</v>
      </c>
      <c r="AB269" s="31" t="s">
        <v>75</v>
      </c>
      <c r="AC269" s="30">
        <v>65626</v>
      </c>
      <c r="AD269" s="31" t="s">
        <v>75</v>
      </c>
      <c r="AE269" s="31" t="s">
        <v>75</v>
      </c>
      <c r="AF269" s="30">
        <v>35236</v>
      </c>
      <c r="AG269" s="42" t="s">
        <v>75</v>
      </c>
      <c r="AH269" s="42" t="s">
        <v>75</v>
      </c>
      <c r="AI269" s="32">
        <v>39230</v>
      </c>
      <c r="AJ269" s="31" t="s">
        <v>75</v>
      </c>
      <c r="AK269" s="31" t="s">
        <v>75</v>
      </c>
      <c r="AL269" s="31" t="s">
        <v>75</v>
      </c>
      <c r="AM269" s="31"/>
      <c r="AN269" s="31"/>
      <c r="AO269" s="31"/>
      <c r="AP269" s="31"/>
      <c r="AQ269" s="31"/>
      <c r="AR269" s="31"/>
      <c r="AS269" s="31" t="s">
        <v>75</v>
      </c>
      <c r="AT269" s="31" t="s">
        <v>75</v>
      </c>
      <c r="AU269" s="31" t="s">
        <v>75</v>
      </c>
      <c r="AV269" s="31" t="s">
        <v>75</v>
      </c>
      <c r="AW269" s="31" t="s">
        <v>75</v>
      </c>
      <c r="AX269" s="31" t="s">
        <v>75</v>
      </c>
      <c r="AY269" s="31" t="s">
        <v>75</v>
      </c>
      <c r="AZ269" s="31" t="s">
        <v>75</v>
      </c>
      <c r="BA269" s="29">
        <v>10583693</v>
      </c>
      <c r="BB269" s="31" t="s">
        <v>75</v>
      </c>
      <c r="BC269" s="31" t="s">
        <v>75</v>
      </c>
      <c r="BD269" s="29">
        <v>1724121</v>
      </c>
      <c r="BE269" s="113">
        <v>0</v>
      </c>
      <c r="BF269" s="113">
        <v>0</v>
      </c>
      <c r="BG269" s="113">
        <v>0</v>
      </c>
      <c r="BH269" s="113">
        <v>0</v>
      </c>
      <c r="BI269" s="113">
        <v>0</v>
      </c>
      <c r="BJ269" s="113">
        <v>0</v>
      </c>
      <c r="BK269" s="113">
        <v>0</v>
      </c>
      <c r="BL269" s="113">
        <v>0</v>
      </c>
      <c r="BM269" s="113">
        <v>0</v>
      </c>
      <c r="BN269" s="113">
        <v>0</v>
      </c>
      <c r="BO269" s="113">
        <v>0</v>
      </c>
      <c r="BP269" s="113">
        <v>0</v>
      </c>
      <c r="BQ269" s="113">
        <v>0</v>
      </c>
      <c r="BR269" s="113">
        <v>0</v>
      </c>
      <c r="BS269" s="113">
        <v>0</v>
      </c>
      <c r="BT269" s="113">
        <v>0</v>
      </c>
      <c r="BU269" s="113">
        <v>0</v>
      </c>
      <c r="BV269" s="113">
        <v>0</v>
      </c>
      <c r="BW269" s="113"/>
      <c r="BX269" s="113"/>
      <c r="BY269" s="113"/>
      <c r="BZ269" s="113">
        <v>0</v>
      </c>
      <c r="CA269" s="113">
        <v>0</v>
      </c>
      <c r="CB269" s="113">
        <v>0</v>
      </c>
      <c r="CC269" s="113"/>
      <c r="CD269" s="113"/>
      <c r="CE269" s="113"/>
      <c r="CF269" s="113">
        <v>0</v>
      </c>
      <c r="CG269" s="113">
        <v>0</v>
      </c>
      <c r="CH269" s="113">
        <v>0</v>
      </c>
      <c r="CI269" s="113">
        <v>0</v>
      </c>
      <c r="CJ269" s="113">
        <v>0</v>
      </c>
      <c r="CK269" s="113">
        <v>0</v>
      </c>
      <c r="CL269" s="113">
        <v>0</v>
      </c>
      <c r="CM269" s="113">
        <v>0</v>
      </c>
      <c r="CN269" s="113">
        <v>0</v>
      </c>
      <c r="CO269" s="113">
        <v>0</v>
      </c>
      <c r="CP269" s="113">
        <v>0</v>
      </c>
      <c r="CQ269" s="113">
        <v>0</v>
      </c>
      <c r="CR269" s="113">
        <v>0</v>
      </c>
      <c r="CS269" s="113">
        <v>0</v>
      </c>
      <c r="CT269" s="113">
        <v>0</v>
      </c>
      <c r="CU269" s="113">
        <v>0</v>
      </c>
      <c r="CV269" s="113">
        <v>0</v>
      </c>
      <c r="CW269" s="113">
        <v>0</v>
      </c>
      <c r="CX269" s="113">
        <v>0</v>
      </c>
      <c r="CY269" s="113">
        <v>0</v>
      </c>
      <c r="CZ269" s="113">
        <v>0</v>
      </c>
      <c r="DA269" s="113">
        <v>0</v>
      </c>
      <c r="DB269" s="113">
        <v>0</v>
      </c>
      <c r="DC269" s="113">
        <v>0</v>
      </c>
      <c r="DD269" s="113">
        <v>0</v>
      </c>
      <c r="DE269" s="113">
        <v>0</v>
      </c>
      <c r="DF269" s="113">
        <v>0</v>
      </c>
      <c r="DG269" s="113">
        <v>0</v>
      </c>
      <c r="DH269" s="113">
        <v>0</v>
      </c>
      <c r="DI269" s="113">
        <v>0</v>
      </c>
      <c r="DJ269" s="113">
        <v>0</v>
      </c>
      <c r="DK269" s="113">
        <v>0</v>
      </c>
      <c r="DL269" s="113">
        <v>0</v>
      </c>
      <c r="DM269" s="113">
        <v>0</v>
      </c>
      <c r="DN269" s="113">
        <v>0</v>
      </c>
      <c r="DO269" s="113">
        <v>0</v>
      </c>
      <c r="DP269" s="113">
        <v>0</v>
      </c>
      <c r="DQ269" s="113">
        <v>0</v>
      </c>
      <c r="DR269" s="113">
        <v>0</v>
      </c>
      <c r="DS269" s="113">
        <v>0</v>
      </c>
      <c r="DT269" s="113">
        <v>0</v>
      </c>
      <c r="DU269" s="113">
        <v>0</v>
      </c>
      <c r="DV269" s="113">
        <v>0</v>
      </c>
      <c r="DW269" s="113">
        <v>0</v>
      </c>
      <c r="DX269" s="113">
        <v>0</v>
      </c>
      <c r="DY269" s="113">
        <v>0</v>
      </c>
      <c r="DZ269" s="113">
        <v>0</v>
      </c>
      <c r="EA269" s="113">
        <v>0</v>
      </c>
      <c r="EB269" s="113">
        <v>0</v>
      </c>
      <c r="EC269" s="113">
        <v>0</v>
      </c>
      <c r="ED269" s="113">
        <v>0</v>
      </c>
      <c r="EE269" s="113">
        <v>0</v>
      </c>
      <c r="EF269" s="113">
        <v>0</v>
      </c>
      <c r="EG269" s="113">
        <v>0</v>
      </c>
      <c r="EH269" s="113">
        <v>0</v>
      </c>
      <c r="EI269" s="113">
        <v>0</v>
      </c>
      <c r="EJ269" s="113">
        <v>0</v>
      </c>
      <c r="EK269" s="113">
        <v>0</v>
      </c>
      <c r="EL269" s="113">
        <v>0</v>
      </c>
      <c r="EM269" s="113">
        <v>0</v>
      </c>
      <c r="EN269" s="113">
        <v>0</v>
      </c>
      <c r="EO269" s="113">
        <v>0</v>
      </c>
      <c r="EP269" s="113">
        <v>0</v>
      </c>
      <c r="EQ269" s="113">
        <v>0</v>
      </c>
      <c r="ER269" s="113">
        <v>0</v>
      </c>
      <c r="ES269" s="113">
        <v>0</v>
      </c>
      <c r="ET269" s="113">
        <v>0</v>
      </c>
      <c r="EU269" s="113">
        <v>0</v>
      </c>
      <c r="EV269" s="113">
        <v>0</v>
      </c>
      <c r="EW269" s="113">
        <v>0</v>
      </c>
      <c r="EX269" s="113">
        <v>0</v>
      </c>
      <c r="EY269" s="113">
        <v>0</v>
      </c>
      <c r="EZ269" s="113">
        <v>0</v>
      </c>
      <c r="FA269" s="113">
        <v>0</v>
      </c>
      <c r="FB269" s="113">
        <v>0</v>
      </c>
      <c r="FC269" s="113">
        <v>0</v>
      </c>
      <c r="FD269" s="113">
        <v>0</v>
      </c>
      <c r="FE269" s="113">
        <v>0</v>
      </c>
      <c r="FF269" s="113">
        <v>0</v>
      </c>
      <c r="FG269" s="113">
        <v>0</v>
      </c>
      <c r="FH269" s="113">
        <v>0</v>
      </c>
      <c r="FI269" s="113">
        <v>0</v>
      </c>
      <c r="FJ269" s="113">
        <v>0</v>
      </c>
      <c r="FK269" s="113">
        <v>0</v>
      </c>
      <c r="FL269" s="113">
        <v>0</v>
      </c>
      <c r="FM269" s="113">
        <v>0</v>
      </c>
      <c r="FN269" s="113">
        <v>0</v>
      </c>
      <c r="FO269" s="113">
        <v>0</v>
      </c>
      <c r="FP269" s="113">
        <v>0</v>
      </c>
      <c r="FQ269" s="113">
        <v>0</v>
      </c>
      <c r="FR269" s="113">
        <v>0</v>
      </c>
      <c r="FS269" s="113">
        <v>0</v>
      </c>
      <c r="FT269" s="113">
        <v>0</v>
      </c>
      <c r="FU269" s="113">
        <v>0</v>
      </c>
      <c r="FV269" s="113">
        <v>0</v>
      </c>
      <c r="FW269" s="113">
        <v>0</v>
      </c>
      <c r="FX269" s="32">
        <v>0</v>
      </c>
      <c r="FY269" s="30">
        <v>0</v>
      </c>
      <c r="FZ269" s="30">
        <v>0</v>
      </c>
    </row>
    <row r="270" spans="1:182" x14ac:dyDescent="0.2">
      <c r="A270" s="28">
        <v>39783</v>
      </c>
      <c r="B270" s="28"/>
      <c r="C270" s="29">
        <v>338289</v>
      </c>
      <c r="D270" s="29">
        <v>510365</v>
      </c>
      <c r="E270" s="29">
        <f t="shared" si="8"/>
        <v>848654</v>
      </c>
      <c r="F270" s="30">
        <v>17405640</v>
      </c>
      <c r="G270" s="30">
        <v>224512</v>
      </c>
      <c r="H270" s="30">
        <f t="shared" si="9"/>
        <v>17630152</v>
      </c>
      <c r="I270" s="42" t="s">
        <v>75</v>
      </c>
      <c r="J270" s="42" t="s">
        <v>75</v>
      </c>
      <c r="K270" s="32">
        <v>10145821</v>
      </c>
      <c r="L270" s="31" t="s">
        <v>75</v>
      </c>
      <c r="M270" s="31" t="s">
        <v>75</v>
      </c>
      <c r="N270" s="30">
        <v>29386439</v>
      </c>
      <c r="O270" s="31" t="s">
        <v>75</v>
      </c>
      <c r="P270" s="31" t="s">
        <v>75</v>
      </c>
      <c r="Q270" s="30">
        <v>24673762</v>
      </c>
      <c r="R270" s="31" t="s">
        <v>75</v>
      </c>
      <c r="S270" s="31" t="s">
        <v>75</v>
      </c>
      <c r="T270" s="32">
        <v>91404</v>
      </c>
      <c r="U270" s="31" t="s">
        <v>75</v>
      </c>
      <c r="V270" s="31" t="s">
        <v>75</v>
      </c>
      <c r="W270" s="30">
        <v>44099</v>
      </c>
      <c r="X270" s="31" t="s">
        <v>75</v>
      </c>
      <c r="Y270" s="31" t="s">
        <v>75</v>
      </c>
      <c r="Z270" s="30">
        <v>133137</v>
      </c>
      <c r="AA270" s="31" t="s">
        <v>75</v>
      </c>
      <c r="AB270" s="31" t="s">
        <v>75</v>
      </c>
      <c r="AC270" s="30">
        <v>92332</v>
      </c>
      <c r="AD270" s="31" t="s">
        <v>75</v>
      </c>
      <c r="AE270" s="31" t="s">
        <v>75</v>
      </c>
      <c r="AF270" s="30">
        <v>119458</v>
      </c>
      <c r="AG270" s="42" t="s">
        <v>75</v>
      </c>
      <c r="AH270" s="42" t="s">
        <v>75</v>
      </c>
      <c r="AI270" s="32">
        <v>63353</v>
      </c>
      <c r="AJ270" s="31" t="s">
        <v>75</v>
      </c>
      <c r="AK270" s="31" t="s">
        <v>75</v>
      </c>
      <c r="AL270" s="31" t="s">
        <v>75</v>
      </c>
      <c r="AM270" s="31"/>
      <c r="AN270" s="31"/>
      <c r="AO270" s="31"/>
      <c r="AP270" s="31"/>
      <c r="AQ270" s="31"/>
      <c r="AR270" s="31"/>
      <c r="AS270" s="31" t="s">
        <v>75</v>
      </c>
      <c r="AT270" s="31" t="s">
        <v>75</v>
      </c>
      <c r="AU270" s="31" t="s">
        <v>75</v>
      </c>
      <c r="AV270" s="31" t="s">
        <v>75</v>
      </c>
      <c r="AW270" s="31" t="s">
        <v>75</v>
      </c>
      <c r="AX270" s="31" t="s">
        <v>75</v>
      </c>
      <c r="AY270" s="31" t="s">
        <v>75</v>
      </c>
      <c r="AZ270" s="31" t="s">
        <v>75</v>
      </c>
      <c r="BA270" s="29">
        <v>18060942</v>
      </c>
      <c r="BB270" s="31" t="s">
        <v>75</v>
      </c>
      <c r="BC270" s="31" t="s">
        <v>75</v>
      </c>
      <c r="BD270" s="29">
        <v>2333662</v>
      </c>
      <c r="BE270" s="113">
        <v>0</v>
      </c>
      <c r="BF270" s="113">
        <v>0</v>
      </c>
      <c r="BG270" s="113">
        <v>0</v>
      </c>
      <c r="BH270" s="113">
        <v>0</v>
      </c>
      <c r="BI270" s="113">
        <v>0</v>
      </c>
      <c r="BJ270" s="113">
        <v>0</v>
      </c>
      <c r="BK270" s="113">
        <v>0</v>
      </c>
      <c r="BL270" s="113">
        <v>0</v>
      </c>
      <c r="BM270" s="113">
        <v>0</v>
      </c>
      <c r="BN270" s="113">
        <v>0</v>
      </c>
      <c r="BO270" s="113">
        <v>0</v>
      </c>
      <c r="BP270" s="113">
        <v>0</v>
      </c>
      <c r="BQ270" s="113">
        <v>0</v>
      </c>
      <c r="BR270" s="113">
        <v>0</v>
      </c>
      <c r="BS270" s="113">
        <v>0</v>
      </c>
      <c r="BT270" s="113">
        <v>0</v>
      </c>
      <c r="BU270" s="113">
        <v>0</v>
      </c>
      <c r="BV270" s="113">
        <v>0</v>
      </c>
      <c r="BW270" s="113"/>
      <c r="BX270" s="113"/>
      <c r="BY270" s="113"/>
      <c r="BZ270" s="113">
        <v>0</v>
      </c>
      <c r="CA270" s="113">
        <v>0</v>
      </c>
      <c r="CB270" s="113">
        <v>0</v>
      </c>
      <c r="CC270" s="113"/>
      <c r="CD270" s="113"/>
      <c r="CE270" s="113"/>
      <c r="CF270" s="113">
        <v>0</v>
      </c>
      <c r="CG270" s="113">
        <v>0</v>
      </c>
      <c r="CH270" s="113">
        <v>0</v>
      </c>
      <c r="CI270" s="113">
        <v>0</v>
      </c>
      <c r="CJ270" s="113">
        <v>0</v>
      </c>
      <c r="CK270" s="113">
        <v>0</v>
      </c>
      <c r="CL270" s="113">
        <v>0</v>
      </c>
      <c r="CM270" s="113">
        <v>0</v>
      </c>
      <c r="CN270" s="113">
        <v>0</v>
      </c>
      <c r="CO270" s="113">
        <v>0</v>
      </c>
      <c r="CP270" s="113">
        <v>0</v>
      </c>
      <c r="CQ270" s="113">
        <v>0</v>
      </c>
      <c r="CR270" s="113">
        <v>0</v>
      </c>
      <c r="CS270" s="113">
        <v>0</v>
      </c>
      <c r="CT270" s="113">
        <v>0</v>
      </c>
      <c r="CU270" s="113">
        <v>0</v>
      </c>
      <c r="CV270" s="113">
        <v>0</v>
      </c>
      <c r="CW270" s="113">
        <v>0</v>
      </c>
      <c r="CX270" s="113">
        <v>0</v>
      </c>
      <c r="CY270" s="113">
        <v>0</v>
      </c>
      <c r="CZ270" s="113">
        <v>0</v>
      </c>
      <c r="DA270" s="113">
        <v>0</v>
      </c>
      <c r="DB270" s="113">
        <v>0</v>
      </c>
      <c r="DC270" s="113">
        <v>0</v>
      </c>
      <c r="DD270" s="113">
        <v>0</v>
      </c>
      <c r="DE270" s="113">
        <v>0</v>
      </c>
      <c r="DF270" s="113">
        <v>0</v>
      </c>
      <c r="DG270" s="113">
        <v>0</v>
      </c>
      <c r="DH270" s="113">
        <v>0</v>
      </c>
      <c r="DI270" s="113">
        <v>0</v>
      </c>
      <c r="DJ270" s="113">
        <v>0</v>
      </c>
      <c r="DK270" s="113">
        <v>0</v>
      </c>
      <c r="DL270" s="113">
        <v>0</v>
      </c>
      <c r="DM270" s="113">
        <v>0</v>
      </c>
      <c r="DN270" s="113">
        <v>0</v>
      </c>
      <c r="DO270" s="113">
        <v>0</v>
      </c>
      <c r="DP270" s="113">
        <v>0</v>
      </c>
      <c r="DQ270" s="113">
        <v>0</v>
      </c>
      <c r="DR270" s="113">
        <v>0</v>
      </c>
      <c r="DS270" s="113">
        <v>0</v>
      </c>
      <c r="DT270" s="113">
        <v>0</v>
      </c>
      <c r="DU270" s="113">
        <v>0</v>
      </c>
      <c r="DV270" s="113">
        <v>0</v>
      </c>
      <c r="DW270" s="113">
        <v>0</v>
      </c>
      <c r="DX270" s="113">
        <v>0</v>
      </c>
      <c r="DY270" s="113">
        <v>0</v>
      </c>
      <c r="DZ270" s="113">
        <v>0</v>
      </c>
      <c r="EA270" s="113">
        <v>0</v>
      </c>
      <c r="EB270" s="113">
        <v>0</v>
      </c>
      <c r="EC270" s="113">
        <v>0</v>
      </c>
      <c r="ED270" s="113">
        <v>0</v>
      </c>
      <c r="EE270" s="113">
        <v>0</v>
      </c>
      <c r="EF270" s="113">
        <v>0</v>
      </c>
      <c r="EG270" s="113">
        <v>0</v>
      </c>
      <c r="EH270" s="113">
        <v>0</v>
      </c>
      <c r="EI270" s="113">
        <v>0</v>
      </c>
      <c r="EJ270" s="113">
        <v>0</v>
      </c>
      <c r="EK270" s="113">
        <v>0</v>
      </c>
      <c r="EL270" s="113">
        <v>0</v>
      </c>
      <c r="EM270" s="113">
        <v>0</v>
      </c>
      <c r="EN270" s="113">
        <v>0</v>
      </c>
      <c r="EO270" s="113">
        <v>0</v>
      </c>
      <c r="EP270" s="113">
        <v>0</v>
      </c>
      <c r="EQ270" s="113">
        <v>0</v>
      </c>
      <c r="ER270" s="113">
        <v>0</v>
      </c>
      <c r="ES270" s="113">
        <v>0</v>
      </c>
      <c r="ET270" s="113">
        <v>0</v>
      </c>
      <c r="EU270" s="113">
        <v>0</v>
      </c>
      <c r="EV270" s="113">
        <v>0</v>
      </c>
      <c r="EW270" s="113">
        <v>0</v>
      </c>
      <c r="EX270" s="113">
        <v>0</v>
      </c>
      <c r="EY270" s="113">
        <v>0</v>
      </c>
      <c r="EZ270" s="113">
        <v>0</v>
      </c>
      <c r="FA270" s="113">
        <v>0</v>
      </c>
      <c r="FB270" s="113">
        <v>0</v>
      </c>
      <c r="FC270" s="113">
        <v>0</v>
      </c>
      <c r="FD270" s="113">
        <v>0</v>
      </c>
      <c r="FE270" s="113">
        <v>0</v>
      </c>
      <c r="FF270" s="113">
        <v>0</v>
      </c>
      <c r="FG270" s="113">
        <v>0</v>
      </c>
      <c r="FH270" s="113">
        <v>0</v>
      </c>
      <c r="FI270" s="113">
        <v>0</v>
      </c>
      <c r="FJ270" s="113">
        <v>0</v>
      </c>
      <c r="FK270" s="113">
        <v>0</v>
      </c>
      <c r="FL270" s="113">
        <v>0</v>
      </c>
      <c r="FM270" s="113">
        <v>0</v>
      </c>
      <c r="FN270" s="113">
        <v>0</v>
      </c>
      <c r="FO270" s="113">
        <v>0</v>
      </c>
      <c r="FP270" s="113">
        <v>0</v>
      </c>
      <c r="FQ270" s="113">
        <v>0</v>
      </c>
      <c r="FR270" s="113">
        <v>0</v>
      </c>
      <c r="FS270" s="113">
        <v>0</v>
      </c>
      <c r="FT270" s="113">
        <v>0</v>
      </c>
      <c r="FU270" s="113">
        <v>0</v>
      </c>
      <c r="FV270" s="113">
        <v>0</v>
      </c>
      <c r="FW270" s="113">
        <v>0</v>
      </c>
      <c r="FX270" s="32">
        <v>0</v>
      </c>
      <c r="FY270" s="30">
        <v>0</v>
      </c>
      <c r="FZ270" s="30">
        <v>0</v>
      </c>
    </row>
    <row r="271" spans="1:182" x14ac:dyDescent="0.2">
      <c r="A271" s="28">
        <v>39814</v>
      </c>
      <c r="B271" s="28"/>
      <c r="C271" s="29">
        <v>154201</v>
      </c>
      <c r="D271" s="29">
        <v>102906</v>
      </c>
      <c r="E271" s="29">
        <f t="shared" si="8"/>
        <v>257107</v>
      </c>
      <c r="F271" s="30">
        <v>10169572</v>
      </c>
      <c r="G271" s="30">
        <v>346105</v>
      </c>
      <c r="H271" s="30">
        <f t="shared" si="9"/>
        <v>10515677</v>
      </c>
      <c r="I271" s="42" t="s">
        <v>75</v>
      </c>
      <c r="J271" s="42" t="s">
        <v>75</v>
      </c>
      <c r="K271" s="32">
        <v>8491705</v>
      </c>
      <c r="L271" s="31" t="s">
        <v>75</v>
      </c>
      <c r="M271" s="31" t="s">
        <v>75</v>
      </c>
      <c r="N271" s="30">
        <v>21719520</v>
      </c>
      <c r="O271" s="31" t="s">
        <v>75</v>
      </c>
      <c r="P271" s="31" t="s">
        <v>75</v>
      </c>
      <c r="Q271" s="30">
        <v>20097555</v>
      </c>
      <c r="R271" s="31" t="s">
        <v>75</v>
      </c>
      <c r="S271" s="31" t="s">
        <v>75</v>
      </c>
      <c r="T271" s="32">
        <v>119756</v>
      </c>
      <c r="U271" s="31" t="s">
        <v>75</v>
      </c>
      <c r="V271" s="31" t="s">
        <v>75</v>
      </c>
      <c r="W271" s="30">
        <v>39591</v>
      </c>
      <c r="X271" s="31" t="s">
        <v>75</v>
      </c>
      <c r="Y271" s="31" t="s">
        <v>75</v>
      </c>
      <c r="Z271" s="30">
        <v>48301</v>
      </c>
      <c r="AA271" s="31" t="s">
        <v>75</v>
      </c>
      <c r="AB271" s="31" t="s">
        <v>75</v>
      </c>
      <c r="AC271" s="30">
        <v>59277</v>
      </c>
      <c r="AD271" s="31" t="s">
        <v>75</v>
      </c>
      <c r="AE271" s="31" t="s">
        <v>75</v>
      </c>
      <c r="AF271" s="30">
        <v>21116</v>
      </c>
      <c r="AG271" s="42" t="s">
        <v>75</v>
      </c>
      <c r="AH271" s="42" t="s">
        <v>75</v>
      </c>
      <c r="AI271" s="32">
        <v>58699</v>
      </c>
      <c r="AJ271" s="31" t="s">
        <v>75</v>
      </c>
      <c r="AK271" s="31" t="s">
        <v>75</v>
      </c>
      <c r="AL271" s="31" t="s">
        <v>75</v>
      </c>
      <c r="AM271" s="31"/>
      <c r="AN271" s="31"/>
      <c r="AO271" s="31"/>
      <c r="AP271" s="31"/>
      <c r="AQ271" s="31"/>
      <c r="AR271" s="31"/>
      <c r="AS271" s="31" t="s">
        <v>75</v>
      </c>
      <c r="AT271" s="31" t="s">
        <v>75</v>
      </c>
      <c r="AU271" s="31" t="s">
        <v>75</v>
      </c>
      <c r="AV271" s="31" t="s">
        <v>75</v>
      </c>
      <c r="AW271" s="31" t="s">
        <v>75</v>
      </c>
      <c r="AX271" s="31" t="s">
        <v>75</v>
      </c>
      <c r="AY271" s="31" t="s">
        <v>75</v>
      </c>
      <c r="AZ271" s="31" t="s">
        <v>75</v>
      </c>
      <c r="BA271" s="29">
        <v>10354940</v>
      </c>
      <c r="BB271" s="31" t="s">
        <v>75</v>
      </c>
      <c r="BC271" s="31" t="s">
        <v>75</v>
      </c>
      <c r="BD271" s="29">
        <v>1416003</v>
      </c>
      <c r="BE271" s="113">
        <v>0</v>
      </c>
      <c r="BF271" s="113">
        <v>0</v>
      </c>
      <c r="BG271" s="113">
        <v>0</v>
      </c>
      <c r="BH271" s="113">
        <v>0</v>
      </c>
      <c r="BI271" s="113">
        <v>0</v>
      </c>
      <c r="BJ271" s="113">
        <v>0</v>
      </c>
      <c r="BK271" s="113">
        <v>0</v>
      </c>
      <c r="BL271" s="113">
        <v>0</v>
      </c>
      <c r="BM271" s="113">
        <v>0</v>
      </c>
      <c r="BN271" s="113">
        <v>0</v>
      </c>
      <c r="BO271" s="113">
        <v>0</v>
      </c>
      <c r="BP271" s="113">
        <v>0</v>
      </c>
      <c r="BQ271" s="113">
        <v>0</v>
      </c>
      <c r="BR271" s="113">
        <v>0</v>
      </c>
      <c r="BS271" s="113">
        <v>0</v>
      </c>
      <c r="BT271" s="113">
        <v>0</v>
      </c>
      <c r="BU271" s="113">
        <v>0</v>
      </c>
      <c r="BV271" s="113">
        <v>0</v>
      </c>
      <c r="BW271" s="113"/>
      <c r="BX271" s="113"/>
      <c r="BY271" s="113"/>
      <c r="BZ271" s="113">
        <v>0</v>
      </c>
      <c r="CA271" s="113">
        <v>0</v>
      </c>
      <c r="CB271" s="113">
        <v>0</v>
      </c>
      <c r="CC271" s="113"/>
      <c r="CD271" s="113"/>
      <c r="CE271" s="113"/>
      <c r="CF271" s="113">
        <v>0</v>
      </c>
      <c r="CG271" s="113">
        <v>0</v>
      </c>
      <c r="CH271" s="113">
        <v>0</v>
      </c>
      <c r="CI271" s="113">
        <v>0</v>
      </c>
      <c r="CJ271" s="113">
        <v>0</v>
      </c>
      <c r="CK271" s="113">
        <v>0</v>
      </c>
      <c r="CL271" s="113">
        <v>0</v>
      </c>
      <c r="CM271" s="113">
        <v>0</v>
      </c>
      <c r="CN271" s="113">
        <v>0</v>
      </c>
      <c r="CO271" s="113">
        <v>0</v>
      </c>
      <c r="CP271" s="113">
        <v>0</v>
      </c>
      <c r="CQ271" s="113">
        <v>0</v>
      </c>
      <c r="CR271" s="113">
        <v>0</v>
      </c>
      <c r="CS271" s="113">
        <v>0</v>
      </c>
      <c r="CT271" s="113">
        <v>0</v>
      </c>
      <c r="CU271" s="113">
        <v>0</v>
      </c>
      <c r="CV271" s="113">
        <v>0</v>
      </c>
      <c r="CW271" s="113">
        <v>0</v>
      </c>
      <c r="CX271" s="113">
        <v>0</v>
      </c>
      <c r="CY271" s="113">
        <v>0</v>
      </c>
      <c r="CZ271" s="113">
        <v>0</v>
      </c>
      <c r="DA271" s="113">
        <v>0</v>
      </c>
      <c r="DB271" s="113">
        <v>0</v>
      </c>
      <c r="DC271" s="113">
        <v>0</v>
      </c>
      <c r="DD271" s="113">
        <v>0</v>
      </c>
      <c r="DE271" s="113">
        <v>0</v>
      </c>
      <c r="DF271" s="113">
        <v>0</v>
      </c>
      <c r="DG271" s="113">
        <v>0</v>
      </c>
      <c r="DH271" s="113">
        <v>0</v>
      </c>
      <c r="DI271" s="113">
        <v>0</v>
      </c>
      <c r="DJ271" s="113">
        <v>0</v>
      </c>
      <c r="DK271" s="113">
        <v>0</v>
      </c>
      <c r="DL271" s="113">
        <v>0</v>
      </c>
      <c r="DM271" s="113">
        <v>0</v>
      </c>
      <c r="DN271" s="113">
        <v>0</v>
      </c>
      <c r="DO271" s="113">
        <v>0</v>
      </c>
      <c r="DP271" s="113">
        <v>0</v>
      </c>
      <c r="DQ271" s="113">
        <v>0</v>
      </c>
      <c r="DR271" s="113">
        <v>0</v>
      </c>
      <c r="DS271" s="113">
        <v>0</v>
      </c>
      <c r="DT271" s="113">
        <v>0</v>
      </c>
      <c r="DU271" s="113">
        <v>0</v>
      </c>
      <c r="DV271" s="113">
        <v>0</v>
      </c>
      <c r="DW271" s="113">
        <v>0</v>
      </c>
      <c r="DX271" s="113">
        <v>0</v>
      </c>
      <c r="DY271" s="113">
        <v>0</v>
      </c>
      <c r="DZ271" s="113">
        <v>0</v>
      </c>
      <c r="EA271" s="113">
        <v>0</v>
      </c>
      <c r="EB271" s="113">
        <v>0</v>
      </c>
      <c r="EC271" s="113">
        <v>0</v>
      </c>
      <c r="ED271" s="113">
        <v>0</v>
      </c>
      <c r="EE271" s="113">
        <v>0</v>
      </c>
      <c r="EF271" s="113">
        <v>0</v>
      </c>
      <c r="EG271" s="113">
        <v>0</v>
      </c>
      <c r="EH271" s="113">
        <v>0</v>
      </c>
      <c r="EI271" s="113">
        <v>0</v>
      </c>
      <c r="EJ271" s="113">
        <v>0</v>
      </c>
      <c r="EK271" s="113">
        <v>0</v>
      </c>
      <c r="EL271" s="113">
        <v>0</v>
      </c>
      <c r="EM271" s="113">
        <v>0</v>
      </c>
      <c r="EN271" s="113">
        <v>0</v>
      </c>
      <c r="EO271" s="113">
        <v>0</v>
      </c>
      <c r="EP271" s="113">
        <v>0</v>
      </c>
      <c r="EQ271" s="113">
        <v>0</v>
      </c>
      <c r="ER271" s="113">
        <v>0</v>
      </c>
      <c r="ES271" s="113">
        <v>0</v>
      </c>
      <c r="ET271" s="113">
        <v>0</v>
      </c>
      <c r="EU271" s="113">
        <v>0</v>
      </c>
      <c r="EV271" s="113">
        <v>0</v>
      </c>
      <c r="EW271" s="113">
        <v>0</v>
      </c>
      <c r="EX271" s="113">
        <v>0</v>
      </c>
      <c r="EY271" s="113">
        <v>0</v>
      </c>
      <c r="EZ271" s="113">
        <v>0</v>
      </c>
      <c r="FA271" s="113">
        <v>0</v>
      </c>
      <c r="FB271" s="113">
        <v>0</v>
      </c>
      <c r="FC271" s="113">
        <v>0</v>
      </c>
      <c r="FD271" s="113">
        <v>0</v>
      </c>
      <c r="FE271" s="113">
        <v>0</v>
      </c>
      <c r="FF271" s="113">
        <v>0</v>
      </c>
      <c r="FG271" s="113">
        <v>0</v>
      </c>
      <c r="FH271" s="113">
        <v>0</v>
      </c>
      <c r="FI271" s="113">
        <v>0</v>
      </c>
      <c r="FJ271" s="113">
        <v>0</v>
      </c>
      <c r="FK271" s="113">
        <v>0</v>
      </c>
      <c r="FL271" s="113">
        <v>0</v>
      </c>
      <c r="FM271" s="113">
        <v>0</v>
      </c>
      <c r="FN271" s="113">
        <v>0</v>
      </c>
      <c r="FO271" s="113">
        <v>0</v>
      </c>
      <c r="FP271" s="113">
        <v>0</v>
      </c>
      <c r="FQ271" s="113">
        <v>0</v>
      </c>
      <c r="FR271" s="113">
        <v>0</v>
      </c>
      <c r="FS271" s="113">
        <v>0</v>
      </c>
      <c r="FT271" s="113">
        <v>0</v>
      </c>
      <c r="FU271" s="113">
        <v>0</v>
      </c>
      <c r="FV271" s="113">
        <v>0</v>
      </c>
      <c r="FW271" s="113">
        <v>0</v>
      </c>
      <c r="FX271" s="32">
        <v>0</v>
      </c>
      <c r="FY271" s="30">
        <v>0</v>
      </c>
      <c r="FZ271" s="30">
        <v>0</v>
      </c>
    </row>
    <row r="272" spans="1:182" x14ac:dyDescent="0.2">
      <c r="A272" s="28">
        <v>39845</v>
      </c>
      <c r="B272" s="28"/>
      <c r="C272" s="29">
        <v>192524</v>
      </c>
      <c r="D272" s="29">
        <v>145830</v>
      </c>
      <c r="E272" s="29">
        <f t="shared" si="8"/>
        <v>338354</v>
      </c>
      <c r="F272" s="30">
        <v>8333508</v>
      </c>
      <c r="G272" s="30">
        <v>194489</v>
      </c>
      <c r="H272" s="30">
        <f t="shared" si="9"/>
        <v>8527997</v>
      </c>
      <c r="I272" s="42" t="s">
        <v>75</v>
      </c>
      <c r="J272" s="42" t="s">
        <v>75</v>
      </c>
      <c r="K272" s="32">
        <v>8472003</v>
      </c>
      <c r="L272" s="31" t="s">
        <v>75</v>
      </c>
      <c r="M272" s="31" t="s">
        <v>75</v>
      </c>
      <c r="N272" s="30">
        <v>18482372</v>
      </c>
      <c r="O272" s="31" t="s">
        <v>75</v>
      </c>
      <c r="P272" s="31" t="s">
        <v>75</v>
      </c>
      <c r="Q272" s="30">
        <v>19113052</v>
      </c>
      <c r="R272" s="31" t="s">
        <v>75</v>
      </c>
      <c r="S272" s="31" t="s">
        <v>75</v>
      </c>
      <c r="T272" s="32">
        <v>102616</v>
      </c>
      <c r="U272" s="31" t="s">
        <v>75</v>
      </c>
      <c r="V272" s="31" t="s">
        <v>75</v>
      </c>
      <c r="W272" s="30">
        <v>28994</v>
      </c>
      <c r="X272" s="31" t="s">
        <v>75</v>
      </c>
      <c r="Y272" s="31" t="s">
        <v>75</v>
      </c>
      <c r="Z272" s="30">
        <v>39104</v>
      </c>
      <c r="AA272" s="31" t="s">
        <v>75</v>
      </c>
      <c r="AB272" s="31" t="s">
        <v>75</v>
      </c>
      <c r="AC272" s="30">
        <v>77039</v>
      </c>
      <c r="AD272" s="31" t="s">
        <v>75</v>
      </c>
      <c r="AE272" s="31" t="s">
        <v>75</v>
      </c>
      <c r="AF272" s="30">
        <v>13437</v>
      </c>
      <c r="AG272" s="42" t="s">
        <v>75</v>
      </c>
      <c r="AH272" s="42" t="s">
        <v>75</v>
      </c>
      <c r="AI272" s="32">
        <v>37681</v>
      </c>
      <c r="AJ272" s="31" t="s">
        <v>75</v>
      </c>
      <c r="AK272" s="31" t="s">
        <v>75</v>
      </c>
      <c r="AL272" s="31" t="s">
        <v>75</v>
      </c>
      <c r="AM272" s="31"/>
      <c r="AN272" s="31"/>
      <c r="AO272" s="31"/>
      <c r="AP272" s="31"/>
      <c r="AQ272" s="31"/>
      <c r="AR272" s="31"/>
      <c r="AS272" s="31" t="s">
        <v>75</v>
      </c>
      <c r="AT272" s="31" t="s">
        <v>75</v>
      </c>
      <c r="AU272" s="31" t="s">
        <v>75</v>
      </c>
      <c r="AV272" s="31" t="s">
        <v>75</v>
      </c>
      <c r="AW272" s="31" t="s">
        <v>75</v>
      </c>
      <c r="AX272" s="31" t="s">
        <v>75</v>
      </c>
      <c r="AY272" s="31" t="s">
        <v>75</v>
      </c>
      <c r="AZ272" s="31" t="s">
        <v>75</v>
      </c>
      <c r="BA272" s="29">
        <v>11389055</v>
      </c>
      <c r="BB272" s="31" t="s">
        <v>75</v>
      </c>
      <c r="BC272" s="31" t="s">
        <v>75</v>
      </c>
      <c r="BD272" s="29">
        <v>1681984</v>
      </c>
      <c r="BE272" s="113">
        <v>0</v>
      </c>
      <c r="BF272" s="113">
        <v>0</v>
      </c>
      <c r="BG272" s="113">
        <v>0</v>
      </c>
      <c r="BH272" s="113">
        <v>0</v>
      </c>
      <c r="BI272" s="113">
        <v>0</v>
      </c>
      <c r="BJ272" s="113">
        <v>0</v>
      </c>
      <c r="BK272" s="113">
        <v>0</v>
      </c>
      <c r="BL272" s="113">
        <v>0</v>
      </c>
      <c r="BM272" s="113">
        <v>0</v>
      </c>
      <c r="BN272" s="113">
        <v>0</v>
      </c>
      <c r="BO272" s="113">
        <v>0</v>
      </c>
      <c r="BP272" s="113">
        <v>0</v>
      </c>
      <c r="BQ272" s="113">
        <v>0</v>
      </c>
      <c r="BR272" s="113">
        <v>0</v>
      </c>
      <c r="BS272" s="113">
        <v>0</v>
      </c>
      <c r="BT272" s="113">
        <v>0</v>
      </c>
      <c r="BU272" s="113">
        <v>0</v>
      </c>
      <c r="BV272" s="113">
        <v>0</v>
      </c>
      <c r="BW272" s="113"/>
      <c r="BX272" s="113"/>
      <c r="BY272" s="113"/>
      <c r="BZ272" s="113">
        <v>0</v>
      </c>
      <c r="CA272" s="113">
        <v>0</v>
      </c>
      <c r="CB272" s="113">
        <v>0</v>
      </c>
      <c r="CC272" s="113"/>
      <c r="CD272" s="113"/>
      <c r="CE272" s="113"/>
      <c r="CF272" s="113">
        <v>0</v>
      </c>
      <c r="CG272" s="113">
        <v>0</v>
      </c>
      <c r="CH272" s="113">
        <v>0</v>
      </c>
      <c r="CI272" s="113">
        <v>0</v>
      </c>
      <c r="CJ272" s="113">
        <v>0</v>
      </c>
      <c r="CK272" s="113">
        <v>0</v>
      </c>
      <c r="CL272" s="113">
        <v>0</v>
      </c>
      <c r="CM272" s="113">
        <v>0</v>
      </c>
      <c r="CN272" s="113">
        <v>0</v>
      </c>
      <c r="CO272" s="113">
        <v>0</v>
      </c>
      <c r="CP272" s="113">
        <v>0</v>
      </c>
      <c r="CQ272" s="113">
        <v>0</v>
      </c>
      <c r="CR272" s="113">
        <v>0</v>
      </c>
      <c r="CS272" s="113">
        <v>0</v>
      </c>
      <c r="CT272" s="113">
        <v>0</v>
      </c>
      <c r="CU272" s="113">
        <v>0</v>
      </c>
      <c r="CV272" s="113">
        <v>0</v>
      </c>
      <c r="CW272" s="113">
        <v>0</v>
      </c>
      <c r="CX272" s="113">
        <v>0</v>
      </c>
      <c r="CY272" s="113">
        <v>0</v>
      </c>
      <c r="CZ272" s="113">
        <v>0</v>
      </c>
      <c r="DA272" s="113">
        <v>0</v>
      </c>
      <c r="DB272" s="113">
        <v>0</v>
      </c>
      <c r="DC272" s="113">
        <v>0</v>
      </c>
      <c r="DD272" s="113">
        <v>0</v>
      </c>
      <c r="DE272" s="113">
        <v>0</v>
      </c>
      <c r="DF272" s="113">
        <v>0</v>
      </c>
      <c r="DG272" s="113">
        <v>0</v>
      </c>
      <c r="DH272" s="113">
        <v>0</v>
      </c>
      <c r="DI272" s="113">
        <v>0</v>
      </c>
      <c r="DJ272" s="113">
        <v>0</v>
      </c>
      <c r="DK272" s="113">
        <v>0</v>
      </c>
      <c r="DL272" s="113">
        <v>0</v>
      </c>
      <c r="DM272" s="113">
        <v>0</v>
      </c>
      <c r="DN272" s="113">
        <v>0</v>
      </c>
      <c r="DO272" s="113">
        <v>0</v>
      </c>
      <c r="DP272" s="113">
        <v>0</v>
      </c>
      <c r="DQ272" s="113">
        <v>0</v>
      </c>
      <c r="DR272" s="113">
        <v>0</v>
      </c>
      <c r="DS272" s="113">
        <v>0</v>
      </c>
      <c r="DT272" s="113">
        <v>0</v>
      </c>
      <c r="DU272" s="113">
        <v>0</v>
      </c>
      <c r="DV272" s="113">
        <v>0</v>
      </c>
      <c r="DW272" s="113">
        <v>0</v>
      </c>
      <c r="DX272" s="113">
        <v>0</v>
      </c>
      <c r="DY272" s="113">
        <v>0</v>
      </c>
      <c r="DZ272" s="113">
        <v>0</v>
      </c>
      <c r="EA272" s="113">
        <v>0</v>
      </c>
      <c r="EB272" s="113">
        <v>0</v>
      </c>
      <c r="EC272" s="113">
        <v>0</v>
      </c>
      <c r="ED272" s="113">
        <v>0</v>
      </c>
      <c r="EE272" s="113">
        <v>0</v>
      </c>
      <c r="EF272" s="113">
        <v>0</v>
      </c>
      <c r="EG272" s="113">
        <v>0</v>
      </c>
      <c r="EH272" s="113">
        <v>0</v>
      </c>
      <c r="EI272" s="113">
        <v>0</v>
      </c>
      <c r="EJ272" s="113">
        <v>0</v>
      </c>
      <c r="EK272" s="113">
        <v>0</v>
      </c>
      <c r="EL272" s="113">
        <v>0</v>
      </c>
      <c r="EM272" s="113">
        <v>0</v>
      </c>
      <c r="EN272" s="113">
        <v>0</v>
      </c>
      <c r="EO272" s="113">
        <v>0</v>
      </c>
      <c r="EP272" s="113">
        <v>0</v>
      </c>
      <c r="EQ272" s="113">
        <v>0</v>
      </c>
      <c r="ER272" s="113">
        <v>0</v>
      </c>
      <c r="ES272" s="113">
        <v>0</v>
      </c>
      <c r="ET272" s="113">
        <v>0</v>
      </c>
      <c r="EU272" s="113">
        <v>0</v>
      </c>
      <c r="EV272" s="113">
        <v>0</v>
      </c>
      <c r="EW272" s="113">
        <v>0</v>
      </c>
      <c r="EX272" s="113">
        <v>0</v>
      </c>
      <c r="EY272" s="113">
        <v>0</v>
      </c>
      <c r="EZ272" s="113">
        <v>0</v>
      </c>
      <c r="FA272" s="113">
        <v>0</v>
      </c>
      <c r="FB272" s="113">
        <v>0</v>
      </c>
      <c r="FC272" s="113">
        <v>0</v>
      </c>
      <c r="FD272" s="113">
        <v>0</v>
      </c>
      <c r="FE272" s="113">
        <v>0</v>
      </c>
      <c r="FF272" s="113">
        <v>0</v>
      </c>
      <c r="FG272" s="113">
        <v>0</v>
      </c>
      <c r="FH272" s="113">
        <v>0</v>
      </c>
      <c r="FI272" s="113">
        <v>0</v>
      </c>
      <c r="FJ272" s="113">
        <v>0</v>
      </c>
      <c r="FK272" s="113">
        <v>0</v>
      </c>
      <c r="FL272" s="113">
        <v>0</v>
      </c>
      <c r="FM272" s="113">
        <v>0</v>
      </c>
      <c r="FN272" s="113">
        <v>0</v>
      </c>
      <c r="FO272" s="113">
        <v>0</v>
      </c>
      <c r="FP272" s="113">
        <v>0</v>
      </c>
      <c r="FQ272" s="113">
        <v>0</v>
      </c>
      <c r="FR272" s="113">
        <v>0</v>
      </c>
      <c r="FS272" s="113">
        <v>0</v>
      </c>
      <c r="FT272" s="113">
        <v>0</v>
      </c>
      <c r="FU272" s="113">
        <v>0</v>
      </c>
      <c r="FV272" s="113">
        <v>0</v>
      </c>
      <c r="FW272" s="113">
        <v>0</v>
      </c>
      <c r="FX272" s="32">
        <v>0</v>
      </c>
      <c r="FY272" s="30">
        <v>0</v>
      </c>
      <c r="FZ272" s="30">
        <v>0</v>
      </c>
    </row>
    <row r="273" spans="1:182" x14ac:dyDescent="0.2">
      <c r="A273" s="28">
        <v>39873</v>
      </c>
      <c r="B273" s="28"/>
      <c r="C273" s="29">
        <v>311129</v>
      </c>
      <c r="D273" s="29">
        <v>234627</v>
      </c>
      <c r="E273" s="29">
        <f t="shared" si="8"/>
        <v>545756</v>
      </c>
      <c r="F273" s="30">
        <v>7035500</v>
      </c>
      <c r="G273" s="30">
        <v>190984</v>
      </c>
      <c r="H273" s="30">
        <f t="shared" si="9"/>
        <v>7226484</v>
      </c>
      <c r="I273" s="42" t="s">
        <v>75</v>
      </c>
      <c r="J273" s="42" t="s">
        <v>75</v>
      </c>
      <c r="K273" s="32">
        <v>7677182</v>
      </c>
      <c r="L273" s="31" t="s">
        <v>75</v>
      </c>
      <c r="M273" s="31" t="s">
        <v>75</v>
      </c>
      <c r="N273" s="30">
        <v>19609761</v>
      </c>
      <c r="O273" s="31" t="s">
        <v>75</v>
      </c>
      <c r="P273" s="31" t="s">
        <v>75</v>
      </c>
      <c r="Q273" s="30">
        <v>18857966</v>
      </c>
      <c r="R273" s="31" t="s">
        <v>75</v>
      </c>
      <c r="S273" s="31" t="s">
        <v>75</v>
      </c>
      <c r="T273" s="32">
        <v>114498</v>
      </c>
      <c r="U273" s="31" t="s">
        <v>75</v>
      </c>
      <c r="V273" s="31" t="s">
        <v>75</v>
      </c>
      <c r="W273" s="30">
        <v>33630</v>
      </c>
      <c r="X273" s="31" t="s">
        <v>75</v>
      </c>
      <c r="Y273" s="31" t="s">
        <v>75</v>
      </c>
      <c r="Z273" s="30">
        <v>51655</v>
      </c>
      <c r="AA273" s="31" t="s">
        <v>75</v>
      </c>
      <c r="AB273" s="31" t="s">
        <v>75</v>
      </c>
      <c r="AC273" s="30">
        <v>151397</v>
      </c>
      <c r="AD273" s="31" t="s">
        <v>75</v>
      </c>
      <c r="AE273" s="31" t="s">
        <v>75</v>
      </c>
      <c r="AF273" s="30">
        <v>15993</v>
      </c>
      <c r="AG273" s="42" t="s">
        <v>75</v>
      </c>
      <c r="AH273" s="42" t="s">
        <v>75</v>
      </c>
      <c r="AI273" s="32">
        <v>29198</v>
      </c>
      <c r="AJ273" s="31" t="s">
        <v>75</v>
      </c>
      <c r="AK273" s="31" t="s">
        <v>75</v>
      </c>
      <c r="AL273" s="31" t="s">
        <v>75</v>
      </c>
      <c r="AM273" s="31"/>
      <c r="AN273" s="31"/>
      <c r="AO273" s="31"/>
      <c r="AP273" s="31"/>
      <c r="AQ273" s="31"/>
      <c r="AR273" s="31"/>
      <c r="AS273" s="31" t="s">
        <v>75</v>
      </c>
      <c r="AT273" s="31" t="s">
        <v>75</v>
      </c>
      <c r="AU273" s="31" t="s">
        <v>75</v>
      </c>
      <c r="AV273" s="31" t="s">
        <v>75</v>
      </c>
      <c r="AW273" s="31" t="s">
        <v>75</v>
      </c>
      <c r="AX273" s="31" t="s">
        <v>75</v>
      </c>
      <c r="AY273" s="31" t="s">
        <v>75</v>
      </c>
      <c r="AZ273" s="31" t="s">
        <v>75</v>
      </c>
      <c r="BA273" s="29">
        <v>12372874</v>
      </c>
      <c r="BB273" s="31" t="s">
        <v>75</v>
      </c>
      <c r="BC273" s="31" t="s">
        <v>75</v>
      </c>
      <c r="BD273" s="29">
        <v>1995182</v>
      </c>
      <c r="BE273" s="113">
        <v>0</v>
      </c>
      <c r="BF273" s="113">
        <v>0</v>
      </c>
      <c r="BG273" s="113">
        <v>0</v>
      </c>
      <c r="BH273" s="113">
        <v>0</v>
      </c>
      <c r="BI273" s="113">
        <v>0</v>
      </c>
      <c r="BJ273" s="113">
        <v>0</v>
      </c>
      <c r="BK273" s="113">
        <v>0</v>
      </c>
      <c r="BL273" s="113">
        <v>0</v>
      </c>
      <c r="BM273" s="113">
        <v>0</v>
      </c>
      <c r="BN273" s="113">
        <v>0</v>
      </c>
      <c r="BO273" s="113">
        <v>0</v>
      </c>
      <c r="BP273" s="113">
        <v>0</v>
      </c>
      <c r="BQ273" s="113">
        <v>0</v>
      </c>
      <c r="BR273" s="113">
        <v>0</v>
      </c>
      <c r="BS273" s="113">
        <v>0</v>
      </c>
      <c r="BT273" s="113">
        <v>0</v>
      </c>
      <c r="BU273" s="113">
        <v>0</v>
      </c>
      <c r="BV273" s="113">
        <v>0</v>
      </c>
      <c r="BW273" s="113"/>
      <c r="BX273" s="113"/>
      <c r="BY273" s="113"/>
      <c r="BZ273" s="113">
        <v>0</v>
      </c>
      <c r="CA273" s="113">
        <v>0</v>
      </c>
      <c r="CB273" s="113">
        <v>0</v>
      </c>
      <c r="CC273" s="113"/>
      <c r="CD273" s="113"/>
      <c r="CE273" s="113"/>
      <c r="CF273" s="113">
        <v>0</v>
      </c>
      <c r="CG273" s="113">
        <v>0</v>
      </c>
      <c r="CH273" s="113">
        <v>0</v>
      </c>
      <c r="CI273" s="113">
        <v>0</v>
      </c>
      <c r="CJ273" s="113">
        <v>0</v>
      </c>
      <c r="CK273" s="113">
        <v>0</v>
      </c>
      <c r="CL273" s="113">
        <v>0</v>
      </c>
      <c r="CM273" s="113">
        <v>0</v>
      </c>
      <c r="CN273" s="113">
        <v>0</v>
      </c>
      <c r="CO273" s="113">
        <v>0</v>
      </c>
      <c r="CP273" s="113">
        <v>0</v>
      </c>
      <c r="CQ273" s="113">
        <v>0</v>
      </c>
      <c r="CR273" s="113">
        <v>0</v>
      </c>
      <c r="CS273" s="113">
        <v>0</v>
      </c>
      <c r="CT273" s="113">
        <v>0</v>
      </c>
      <c r="CU273" s="113">
        <v>0</v>
      </c>
      <c r="CV273" s="113">
        <v>0</v>
      </c>
      <c r="CW273" s="113">
        <v>0</v>
      </c>
      <c r="CX273" s="113">
        <v>0</v>
      </c>
      <c r="CY273" s="113">
        <v>0</v>
      </c>
      <c r="CZ273" s="113">
        <v>0</v>
      </c>
      <c r="DA273" s="113">
        <v>0</v>
      </c>
      <c r="DB273" s="113">
        <v>0</v>
      </c>
      <c r="DC273" s="113">
        <v>0</v>
      </c>
      <c r="DD273" s="113">
        <v>0</v>
      </c>
      <c r="DE273" s="113">
        <v>0</v>
      </c>
      <c r="DF273" s="113">
        <v>0</v>
      </c>
      <c r="DG273" s="113">
        <v>0</v>
      </c>
      <c r="DH273" s="113">
        <v>0</v>
      </c>
      <c r="DI273" s="113">
        <v>0</v>
      </c>
      <c r="DJ273" s="113">
        <v>0</v>
      </c>
      <c r="DK273" s="113">
        <v>0</v>
      </c>
      <c r="DL273" s="113">
        <v>0</v>
      </c>
      <c r="DM273" s="113">
        <v>0</v>
      </c>
      <c r="DN273" s="113">
        <v>0</v>
      </c>
      <c r="DO273" s="113">
        <v>0</v>
      </c>
      <c r="DP273" s="113">
        <v>0</v>
      </c>
      <c r="DQ273" s="113">
        <v>0</v>
      </c>
      <c r="DR273" s="113">
        <v>0</v>
      </c>
      <c r="DS273" s="113">
        <v>0</v>
      </c>
      <c r="DT273" s="113">
        <v>0</v>
      </c>
      <c r="DU273" s="113">
        <v>0</v>
      </c>
      <c r="DV273" s="113">
        <v>0</v>
      </c>
      <c r="DW273" s="113">
        <v>0</v>
      </c>
      <c r="DX273" s="113">
        <v>0</v>
      </c>
      <c r="DY273" s="113">
        <v>0</v>
      </c>
      <c r="DZ273" s="113">
        <v>0</v>
      </c>
      <c r="EA273" s="113">
        <v>0</v>
      </c>
      <c r="EB273" s="113">
        <v>0</v>
      </c>
      <c r="EC273" s="113">
        <v>0</v>
      </c>
      <c r="ED273" s="113">
        <v>0</v>
      </c>
      <c r="EE273" s="113">
        <v>0</v>
      </c>
      <c r="EF273" s="113">
        <v>0</v>
      </c>
      <c r="EG273" s="113">
        <v>0</v>
      </c>
      <c r="EH273" s="113">
        <v>0</v>
      </c>
      <c r="EI273" s="113">
        <v>0</v>
      </c>
      <c r="EJ273" s="113">
        <v>0</v>
      </c>
      <c r="EK273" s="113">
        <v>0</v>
      </c>
      <c r="EL273" s="113">
        <v>0</v>
      </c>
      <c r="EM273" s="113">
        <v>0</v>
      </c>
      <c r="EN273" s="113">
        <v>0</v>
      </c>
      <c r="EO273" s="113">
        <v>0</v>
      </c>
      <c r="EP273" s="113">
        <v>0</v>
      </c>
      <c r="EQ273" s="113">
        <v>0</v>
      </c>
      <c r="ER273" s="113">
        <v>0</v>
      </c>
      <c r="ES273" s="113">
        <v>0</v>
      </c>
      <c r="ET273" s="113">
        <v>0</v>
      </c>
      <c r="EU273" s="113">
        <v>0</v>
      </c>
      <c r="EV273" s="113">
        <v>0</v>
      </c>
      <c r="EW273" s="113">
        <v>0</v>
      </c>
      <c r="EX273" s="113">
        <v>0</v>
      </c>
      <c r="EY273" s="113">
        <v>0</v>
      </c>
      <c r="EZ273" s="113">
        <v>0</v>
      </c>
      <c r="FA273" s="113">
        <v>0</v>
      </c>
      <c r="FB273" s="113">
        <v>0</v>
      </c>
      <c r="FC273" s="113">
        <v>0</v>
      </c>
      <c r="FD273" s="113">
        <v>0</v>
      </c>
      <c r="FE273" s="113">
        <v>0</v>
      </c>
      <c r="FF273" s="113">
        <v>0</v>
      </c>
      <c r="FG273" s="113">
        <v>0</v>
      </c>
      <c r="FH273" s="113">
        <v>0</v>
      </c>
      <c r="FI273" s="113">
        <v>0</v>
      </c>
      <c r="FJ273" s="113">
        <v>0</v>
      </c>
      <c r="FK273" s="113">
        <v>0</v>
      </c>
      <c r="FL273" s="113">
        <v>0</v>
      </c>
      <c r="FM273" s="113">
        <v>0</v>
      </c>
      <c r="FN273" s="113">
        <v>0</v>
      </c>
      <c r="FO273" s="113">
        <v>0</v>
      </c>
      <c r="FP273" s="113">
        <v>0</v>
      </c>
      <c r="FQ273" s="113">
        <v>0</v>
      </c>
      <c r="FR273" s="113">
        <v>0</v>
      </c>
      <c r="FS273" s="113">
        <v>0</v>
      </c>
      <c r="FT273" s="113">
        <v>0</v>
      </c>
      <c r="FU273" s="113">
        <v>0</v>
      </c>
      <c r="FV273" s="113">
        <v>0</v>
      </c>
      <c r="FW273" s="113">
        <v>0</v>
      </c>
      <c r="FX273" s="32">
        <v>0</v>
      </c>
      <c r="FY273" s="30">
        <v>0</v>
      </c>
      <c r="FZ273" s="30">
        <v>0</v>
      </c>
    </row>
    <row r="274" spans="1:182" x14ac:dyDescent="0.2">
      <c r="A274" s="28">
        <v>39904</v>
      </c>
      <c r="B274" s="28"/>
      <c r="C274" s="29">
        <v>90341</v>
      </c>
      <c r="D274" s="29">
        <v>315254</v>
      </c>
      <c r="E274" s="29">
        <f t="shared" si="8"/>
        <v>405595</v>
      </c>
      <c r="F274" s="30">
        <v>5690307</v>
      </c>
      <c r="G274" s="30">
        <v>88269</v>
      </c>
      <c r="H274" s="30">
        <f t="shared" si="9"/>
        <v>5778576</v>
      </c>
      <c r="I274" s="42" t="s">
        <v>75</v>
      </c>
      <c r="J274" s="42" t="s">
        <v>75</v>
      </c>
      <c r="K274" s="32">
        <v>6730885</v>
      </c>
      <c r="L274" s="31" t="s">
        <v>75</v>
      </c>
      <c r="M274" s="31" t="s">
        <v>75</v>
      </c>
      <c r="N274" s="30">
        <v>18580530</v>
      </c>
      <c r="O274" s="31" t="s">
        <v>75</v>
      </c>
      <c r="P274" s="31" t="s">
        <v>75</v>
      </c>
      <c r="Q274" s="30">
        <v>11080961</v>
      </c>
      <c r="R274" s="31" t="s">
        <v>75</v>
      </c>
      <c r="S274" s="31" t="s">
        <v>75</v>
      </c>
      <c r="T274" s="32">
        <v>131659</v>
      </c>
      <c r="U274" s="31" t="s">
        <v>75</v>
      </c>
      <c r="V274" s="31" t="s">
        <v>75</v>
      </c>
      <c r="W274" s="30">
        <v>33161</v>
      </c>
      <c r="X274" s="31" t="s">
        <v>75</v>
      </c>
      <c r="Y274" s="31" t="s">
        <v>75</v>
      </c>
      <c r="Z274" s="30">
        <v>90722</v>
      </c>
      <c r="AA274" s="31" t="s">
        <v>75</v>
      </c>
      <c r="AB274" s="31" t="s">
        <v>75</v>
      </c>
      <c r="AC274" s="30">
        <v>128545</v>
      </c>
      <c r="AD274" s="31" t="s">
        <v>75</v>
      </c>
      <c r="AE274" s="31" t="s">
        <v>75</v>
      </c>
      <c r="AF274" s="30">
        <v>17600</v>
      </c>
      <c r="AG274" s="42" t="s">
        <v>75</v>
      </c>
      <c r="AH274" s="42" t="s">
        <v>75</v>
      </c>
      <c r="AI274" s="32">
        <v>41943</v>
      </c>
      <c r="AJ274" s="31" t="s">
        <v>75</v>
      </c>
      <c r="AK274" s="31" t="s">
        <v>75</v>
      </c>
      <c r="AL274" s="31" t="s">
        <v>75</v>
      </c>
      <c r="AM274" s="31"/>
      <c r="AN274" s="31"/>
      <c r="AO274" s="31"/>
      <c r="AP274" s="31"/>
      <c r="AQ274" s="31"/>
      <c r="AR274" s="31"/>
      <c r="AS274" s="31" t="s">
        <v>75</v>
      </c>
      <c r="AT274" s="31" t="s">
        <v>75</v>
      </c>
      <c r="AU274" s="31" t="s">
        <v>75</v>
      </c>
      <c r="AV274" s="31" t="s">
        <v>75</v>
      </c>
      <c r="AW274" s="31" t="s">
        <v>75</v>
      </c>
      <c r="AX274" s="31" t="s">
        <v>75</v>
      </c>
      <c r="AY274" s="31" t="s">
        <v>75</v>
      </c>
      <c r="AZ274" s="31" t="s">
        <v>75</v>
      </c>
      <c r="BA274" s="29">
        <v>9701453</v>
      </c>
      <c r="BB274" s="31" t="s">
        <v>75</v>
      </c>
      <c r="BC274" s="31" t="s">
        <v>75</v>
      </c>
      <c r="BD274" s="29">
        <v>1716573</v>
      </c>
      <c r="BE274" s="113">
        <v>0</v>
      </c>
      <c r="BF274" s="113">
        <v>0</v>
      </c>
      <c r="BG274" s="113">
        <v>0</v>
      </c>
      <c r="BH274" s="113">
        <v>0</v>
      </c>
      <c r="BI274" s="113">
        <v>0</v>
      </c>
      <c r="BJ274" s="113">
        <v>0</v>
      </c>
      <c r="BK274" s="113">
        <v>0</v>
      </c>
      <c r="BL274" s="113">
        <v>0</v>
      </c>
      <c r="BM274" s="113">
        <v>0</v>
      </c>
      <c r="BN274" s="113">
        <v>0</v>
      </c>
      <c r="BO274" s="113">
        <v>0</v>
      </c>
      <c r="BP274" s="113">
        <v>0</v>
      </c>
      <c r="BQ274" s="113">
        <v>0</v>
      </c>
      <c r="BR274" s="113">
        <v>0</v>
      </c>
      <c r="BS274" s="113">
        <v>0</v>
      </c>
      <c r="BT274" s="113">
        <v>0</v>
      </c>
      <c r="BU274" s="113">
        <v>0</v>
      </c>
      <c r="BV274" s="113">
        <v>0</v>
      </c>
      <c r="BW274" s="113"/>
      <c r="BX274" s="113"/>
      <c r="BY274" s="113"/>
      <c r="BZ274" s="113">
        <v>0</v>
      </c>
      <c r="CA274" s="113">
        <v>0</v>
      </c>
      <c r="CB274" s="113">
        <v>0</v>
      </c>
      <c r="CC274" s="113"/>
      <c r="CD274" s="113"/>
      <c r="CE274" s="113"/>
      <c r="CF274" s="113">
        <v>0</v>
      </c>
      <c r="CG274" s="113">
        <v>0</v>
      </c>
      <c r="CH274" s="113">
        <v>0</v>
      </c>
      <c r="CI274" s="113">
        <v>0</v>
      </c>
      <c r="CJ274" s="113">
        <v>0</v>
      </c>
      <c r="CK274" s="113">
        <v>0</v>
      </c>
      <c r="CL274" s="113">
        <v>0</v>
      </c>
      <c r="CM274" s="113">
        <v>0</v>
      </c>
      <c r="CN274" s="113">
        <v>0</v>
      </c>
      <c r="CO274" s="113">
        <v>0</v>
      </c>
      <c r="CP274" s="113">
        <v>0</v>
      </c>
      <c r="CQ274" s="113">
        <v>0</v>
      </c>
      <c r="CR274" s="113">
        <v>0</v>
      </c>
      <c r="CS274" s="113">
        <v>0</v>
      </c>
      <c r="CT274" s="113">
        <v>0</v>
      </c>
      <c r="CU274" s="113">
        <v>0</v>
      </c>
      <c r="CV274" s="113">
        <v>0</v>
      </c>
      <c r="CW274" s="113">
        <v>0</v>
      </c>
      <c r="CX274" s="113">
        <v>0</v>
      </c>
      <c r="CY274" s="113">
        <v>0</v>
      </c>
      <c r="CZ274" s="113">
        <v>0</v>
      </c>
      <c r="DA274" s="113">
        <v>0</v>
      </c>
      <c r="DB274" s="113">
        <v>0</v>
      </c>
      <c r="DC274" s="113">
        <v>0</v>
      </c>
      <c r="DD274" s="113">
        <v>0</v>
      </c>
      <c r="DE274" s="113">
        <v>0</v>
      </c>
      <c r="DF274" s="113">
        <v>0</v>
      </c>
      <c r="DG274" s="113">
        <v>0</v>
      </c>
      <c r="DH274" s="113">
        <v>0</v>
      </c>
      <c r="DI274" s="113">
        <v>0</v>
      </c>
      <c r="DJ274" s="113">
        <v>0</v>
      </c>
      <c r="DK274" s="113">
        <v>0</v>
      </c>
      <c r="DL274" s="113">
        <v>0</v>
      </c>
      <c r="DM274" s="113">
        <v>0</v>
      </c>
      <c r="DN274" s="113">
        <v>0</v>
      </c>
      <c r="DO274" s="113">
        <v>0</v>
      </c>
      <c r="DP274" s="113">
        <v>0</v>
      </c>
      <c r="DQ274" s="113">
        <v>0</v>
      </c>
      <c r="DR274" s="113">
        <v>0</v>
      </c>
      <c r="DS274" s="113">
        <v>0</v>
      </c>
      <c r="DT274" s="113">
        <v>0</v>
      </c>
      <c r="DU274" s="113">
        <v>0</v>
      </c>
      <c r="DV274" s="113">
        <v>0</v>
      </c>
      <c r="DW274" s="113">
        <v>0</v>
      </c>
      <c r="DX274" s="113">
        <v>0</v>
      </c>
      <c r="DY274" s="113">
        <v>0</v>
      </c>
      <c r="DZ274" s="113">
        <v>0</v>
      </c>
      <c r="EA274" s="113">
        <v>0</v>
      </c>
      <c r="EB274" s="113">
        <v>0</v>
      </c>
      <c r="EC274" s="113">
        <v>0</v>
      </c>
      <c r="ED274" s="113">
        <v>0</v>
      </c>
      <c r="EE274" s="113">
        <v>0</v>
      </c>
      <c r="EF274" s="113">
        <v>0</v>
      </c>
      <c r="EG274" s="113">
        <v>0</v>
      </c>
      <c r="EH274" s="113">
        <v>0</v>
      </c>
      <c r="EI274" s="113">
        <v>0</v>
      </c>
      <c r="EJ274" s="113">
        <v>0</v>
      </c>
      <c r="EK274" s="113">
        <v>0</v>
      </c>
      <c r="EL274" s="113">
        <v>0</v>
      </c>
      <c r="EM274" s="113">
        <v>0</v>
      </c>
      <c r="EN274" s="113">
        <v>0</v>
      </c>
      <c r="EO274" s="113">
        <v>0</v>
      </c>
      <c r="EP274" s="113">
        <v>0</v>
      </c>
      <c r="EQ274" s="113">
        <v>0</v>
      </c>
      <c r="ER274" s="113">
        <v>0</v>
      </c>
      <c r="ES274" s="113">
        <v>0</v>
      </c>
      <c r="ET274" s="113">
        <v>0</v>
      </c>
      <c r="EU274" s="113">
        <v>0</v>
      </c>
      <c r="EV274" s="113">
        <v>0</v>
      </c>
      <c r="EW274" s="113">
        <v>0</v>
      </c>
      <c r="EX274" s="113">
        <v>0</v>
      </c>
      <c r="EY274" s="113">
        <v>0</v>
      </c>
      <c r="EZ274" s="113">
        <v>0</v>
      </c>
      <c r="FA274" s="113">
        <v>0</v>
      </c>
      <c r="FB274" s="113">
        <v>0</v>
      </c>
      <c r="FC274" s="113">
        <v>0</v>
      </c>
      <c r="FD274" s="113">
        <v>0</v>
      </c>
      <c r="FE274" s="113">
        <v>0</v>
      </c>
      <c r="FF274" s="113">
        <v>0</v>
      </c>
      <c r="FG274" s="113">
        <v>0</v>
      </c>
      <c r="FH274" s="113">
        <v>0</v>
      </c>
      <c r="FI274" s="113">
        <v>0</v>
      </c>
      <c r="FJ274" s="113">
        <v>0</v>
      </c>
      <c r="FK274" s="113">
        <v>0</v>
      </c>
      <c r="FL274" s="113">
        <v>0</v>
      </c>
      <c r="FM274" s="113">
        <v>0</v>
      </c>
      <c r="FN274" s="113">
        <v>0</v>
      </c>
      <c r="FO274" s="113">
        <v>0</v>
      </c>
      <c r="FP274" s="113">
        <v>0</v>
      </c>
      <c r="FQ274" s="113">
        <v>0</v>
      </c>
      <c r="FR274" s="113">
        <v>0</v>
      </c>
      <c r="FS274" s="113">
        <v>0</v>
      </c>
      <c r="FT274" s="113">
        <v>0</v>
      </c>
      <c r="FU274" s="113">
        <v>0</v>
      </c>
      <c r="FV274" s="113">
        <v>0</v>
      </c>
      <c r="FW274" s="113">
        <v>0</v>
      </c>
      <c r="FX274" s="32">
        <v>0</v>
      </c>
      <c r="FY274" s="30">
        <v>0</v>
      </c>
      <c r="FZ274" s="30">
        <v>0</v>
      </c>
    </row>
    <row r="275" spans="1:182" x14ac:dyDescent="0.2">
      <c r="A275" s="28">
        <v>39934</v>
      </c>
      <c r="B275" s="28"/>
      <c r="C275" s="29">
        <v>255705.55</v>
      </c>
      <c r="D275" s="29">
        <v>233975.63</v>
      </c>
      <c r="E275" s="29">
        <f t="shared" si="8"/>
        <v>489681.18</v>
      </c>
      <c r="F275" s="30">
        <v>4497750.0024570022</v>
      </c>
      <c r="G275" s="30">
        <v>25376</v>
      </c>
      <c r="H275" s="30">
        <f t="shared" si="9"/>
        <v>4523126.0024570022</v>
      </c>
      <c r="I275" s="42" t="s">
        <v>75</v>
      </c>
      <c r="J275" s="42" t="s">
        <v>75</v>
      </c>
      <c r="K275" s="32">
        <v>9295944.9682539683</v>
      </c>
      <c r="L275" s="31" t="s">
        <v>75</v>
      </c>
      <c r="M275" s="31" t="s">
        <v>75</v>
      </c>
      <c r="N275" s="30">
        <v>16668127</v>
      </c>
      <c r="O275" s="31" t="s">
        <v>75</v>
      </c>
      <c r="P275" s="31" t="s">
        <v>75</v>
      </c>
      <c r="Q275" s="30">
        <v>13764676.5</v>
      </c>
      <c r="R275" s="31" t="s">
        <v>75</v>
      </c>
      <c r="S275" s="31" t="s">
        <v>75</v>
      </c>
      <c r="T275" s="32">
        <v>213393.81317460316</v>
      </c>
      <c r="U275" s="31" t="s">
        <v>75</v>
      </c>
      <c r="V275" s="31" t="s">
        <v>75</v>
      </c>
      <c r="W275" s="30">
        <v>29021</v>
      </c>
      <c r="X275" s="31" t="s">
        <v>75</v>
      </c>
      <c r="Y275" s="31" t="s">
        <v>75</v>
      </c>
      <c r="Z275" s="30">
        <v>67554.66</v>
      </c>
      <c r="AA275" s="31" t="s">
        <v>75</v>
      </c>
      <c r="AB275" s="31" t="s">
        <v>75</v>
      </c>
      <c r="AC275" s="30">
        <v>88732.75</v>
      </c>
      <c r="AD275" s="31" t="s">
        <v>75</v>
      </c>
      <c r="AE275" s="31" t="s">
        <v>75</v>
      </c>
      <c r="AF275" s="30">
        <v>32274</v>
      </c>
      <c r="AG275" s="42" t="s">
        <v>75</v>
      </c>
      <c r="AH275" s="42" t="s">
        <v>75</v>
      </c>
      <c r="AI275" s="32">
        <v>35482</v>
      </c>
      <c r="AJ275" s="31" t="s">
        <v>75</v>
      </c>
      <c r="AK275" s="31" t="s">
        <v>75</v>
      </c>
      <c r="AL275" s="31" t="s">
        <v>75</v>
      </c>
      <c r="AM275" s="31"/>
      <c r="AN275" s="31"/>
      <c r="AO275" s="31"/>
      <c r="AP275" s="31"/>
      <c r="AQ275" s="31"/>
      <c r="AR275" s="31"/>
      <c r="AS275" s="31" t="s">
        <v>75</v>
      </c>
      <c r="AT275" s="31" t="s">
        <v>75</v>
      </c>
      <c r="AU275" s="31" t="s">
        <v>75</v>
      </c>
      <c r="AV275" s="31" t="s">
        <v>75</v>
      </c>
      <c r="AW275" s="31" t="s">
        <v>75</v>
      </c>
      <c r="AX275" s="31" t="s">
        <v>75</v>
      </c>
      <c r="AY275" s="31" t="s">
        <v>75</v>
      </c>
      <c r="AZ275" s="31" t="s">
        <v>75</v>
      </c>
      <c r="BA275" s="29">
        <v>13840776.5</v>
      </c>
      <c r="BB275" s="31" t="s">
        <v>75</v>
      </c>
      <c r="BC275" s="31" t="s">
        <v>75</v>
      </c>
      <c r="BD275" s="29">
        <v>1719928</v>
      </c>
      <c r="BE275" s="113">
        <v>0</v>
      </c>
      <c r="BF275" s="113">
        <v>0</v>
      </c>
      <c r="BG275" s="113">
        <v>0</v>
      </c>
      <c r="BH275" s="113">
        <v>0</v>
      </c>
      <c r="BI275" s="113">
        <v>0</v>
      </c>
      <c r="BJ275" s="113">
        <v>0</v>
      </c>
      <c r="BK275" s="113">
        <v>0</v>
      </c>
      <c r="BL275" s="113">
        <v>0</v>
      </c>
      <c r="BM275" s="113">
        <v>0</v>
      </c>
      <c r="BN275" s="113">
        <v>0</v>
      </c>
      <c r="BO275" s="113">
        <v>0</v>
      </c>
      <c r="BP275" s="113">
        <v>0</v>
      </c>
      <c r="BQ275" s="113">
        <v>0</v>
      </c>
      <c r="BR275" s="113">
        <v>0</v>
      </c>
      <c r="BS275" s="113">
        <v>0</v>
      </c>
      <c r="BT275" s="113">
        <v>0</v>
      </c>
      <c r="BU275" s="113">
        <v>0</v>
      </c>
      <c r="BV275" s="113">
        <v>0</v>
      </c>
      <c r="BW275" s="113"/>
      <c r="BX275" s="113"/>
      <c r="BY275" s="113"/>
      <c r="BZ275" s="113">
        <v>0</v>
      </c>
      <c r="CA275" s="113">
        <v>0</v>
      </c>
      <c r="CB275" s="113">
        <v>0</v>
      </c>
      <c r="CC275" s="113"/>
      <c r="CD275" s="113"/>
      <c r="CE275" s="113"/>
      <c r="CF275" s="113">
        <v>0</v>
      </c>
      <c r="CG275" s="113">
        <v>0</v>
      </c>
      <c r="CH275" s="113">
        <v>0</v>
      </c>
      <c r="CI275" s="113">
        <v>0</v>
      </c>
      <c r="CJ275" s="113">
        <v>0</v>
      </c>
      <c r="CK275" s="113">
        <v>0</v>
      </c>
      <c r="CL275" s="113">
        <v>0</v>
      </c>
      <c r="CM275" s="113">
        <v>0</v>
      </c>
      <c r="CN275" s="113">
        <v>0</v>
      </c>
      <c r="CO275" s="113">
        <v>0</v>
      </c>
      <c r="CP275" s="113">
        <v>0</v>
      </c>
      <c r="CQ275" s="113">
        <v>0</v>
      </c>
      <c r="CR275" s="113">
        <v>0</v>
      </c>
      <c r="CS275" s="113">
        <v>0</v>
      </c>
      <c r="CT275" s="113">
        <v>0</v>
      </c>
      <c r="CU275" s="113">
        <v>0</v>
      </c>
      <c r="CV275" s="113">
        <v>0</v>
      </c>
      <c r="CW275" s="113">
        <v>0</v>
      </c>
      <c r="CX275" s="113">
        <v>0</v>
      </c>
      <c r="CY275" s="113">
        <v>0</v>
      </c>
      <c r="CZ275" s="113">
        <v>0</v>
      </c>
      <c r="DA275" s="113">
        <v>0</v>
      </c>
      <c r="DB275" s="113">
        <v>0</v>
      </c>
      <c r="DC275" s="113">
        <v>0</v>
      </c>
      <c r="DD275" s="113">
        <v>0</v>
      </c>
      <c r="DE275" s="113">
        <v>0</v>
      </c>
      <c r="DF275" s="113">
        <v>0</v>
      </c>
      <c r="DG275" s="113">
        <v>0</v>
      </c>
      <c r="DH275" s="113">
        <v>0</v>
      </c>
      <c r="DI275" s="113">
        <v>0</v>
      </c>
      <c r="DJ275" s="113">
        <v>0</v>
      </c>
      <c r="DK275" s="113">
        <v>0</v>
      </c>
      <c r="DL275" s="113">
        <v>0</v>
      </c>
      <c r="DM275" s="113">
        <v>0</v>
      </c>
      <c r="DN275" s="113">
        <v>0</v>
      </c>
      <c r="DO275" s="113">
        <v>0</v>
      </c>
      <c r="DP275" s="113">
        <v>0</v>
      </c>
      <c r="DQ275" s="113">
        <v>0</v>
      </c>
      <c r="DR275" s="113">
        <v>0</v>
      </c>
      <c r="DS275" s="113">
        <v>0</v>
      </c>
      <c r="DT275" s="113">
        <v>0</v>
      </c>
      <c r="DU275" s="113">
        <v>0</v>
      </c>
      <c r="DV275" s="113">
        <v>0</v>
      </c>
      <c r="DW275" s="113">
        <v>0</v>
      </c>
      <c r="DX275" s="113">
        <v>0</v>
      </c>
      <c r="DY275" s="113">
        <v>0</v>
      </c>
      <c r="DZ275" s="113">
        <v>0</v>
      </c>
      <c r="EA275" s="113">
        <v>0</v>
      </c>
      <c r="EB275" s="113">
        <v>0</v>
      </c>
      <c r="EC275" s="113">
        <v>0</v>
      </c>
      <c r="ED275" s="113">
        <v>0</v>
      </c>
      <c r="EE275" s="113">
        <v>0</v>
      </c>
      <c r="EF275" s="113">
        <v>0</v>
      </c>
      <c r="EG275" s="113">
        <v>0</v>
      </c>
      <c r="EH275" s="113">
        <v>0</v>
      </c>
      <c r="EI275" s="113">
        <v>0</v>
      </c>
      <c r="EJ275" s="113">
        <v>0</v>
      </c>
      <c r="EK275" s="113">
        <v>0</v>
      </c>
      <c r="EL275" s="113">
        <v>0</v>
      </c>
      <c r="EM275" s="113">
        <v>0</v>
      </c>
      <c r="EN275" s="113">
        <v>0</v>
      </c>
      <c r="EO275" s="113">
        <v>0</v>
      </c>
      <c r="EP275" s="113">
        <v>0</v>
      </c>
      <c r="EQ275" s="113">
        <v>0</v>
      </c>
      <c r="ER275" s="113">
        <v>0</v>
      </c>
      <c r="ES275" s="113">
        <v>0</v>
      </c>
      <c r="ET275" s="113">
        <v>0</v>
      </c>
      <c r="EU275" s="113">
        <v>0</v>
      </c>
      <c r="EV275" s="113">
        <v>0</v>
      </c>
      <c r="EW275" s="113">
        <v>0</v>
      </c>
      <c r="EX275" s="113">
        <v>0</v>
      </c>
      <c r="EY275" s="113">
        <v>0</v>
      </c>
      <c r="EZ275" s="113">
        <v>0</v>
      </c>
      <c r="FA275" s="113">
        <v>0</v>
      </c>
      <c r="FB275" s="113">
        <v>0</v>
      </c>
      <c r="FC275" s="113">
        <v>0</v>
      </c>
      <c r="FD275" s="113">
        <v>0</v>
      </c>
      <c r="FE275" s="113">
        <v>0</v>
      </c>
      <c r="FF275" s="113">
        <v>0</v>
      </c>
      <c r="FG275" s="113">
        <v>0</v>
      </c>
      <c r="FH275" s="113">
        <v>0</v>
      </c>
      <c r="FI275" s="113">
        <v>0</v>
      </c>
      <c r="FJ275" s="113">
        <v>0</v>
      </c>
      <c r="FK275" s="113">
        <v>0</v>
      </c>
      <c r="FL275" s="113">
        <v>0</v>
      </c>
      <c r="FM275" s="113">
        <v>0</v>
      </c>
      <c r="FN275" s="113">
        <v>0</v>
      </c>
      <c r="FO275" s="113">
        <v>0</v>
      </c>
      <c r="FP275" s="113">
        <v>0</v>
      </c>
      <c r="FQ275" s="113">
        <v>0</v>
      </c>
      <c r="FR275" s="113">
        <v>0</v>
      </c>
      <c r="FS275" s="113">
        <v>0</v>
      </c>
      <c r="FT275" s="113">
        <v>0</v>
      </c>
      <c r="FU275" s="113">
        <v>0</v>
      </c>
      <c r="FV275" s="113">
        <v>0</v>
      </c>
      <c r="FW275" s="113">
        <v>0</v>
      </c>
      <c r="FX275" s="32">
        <v>0</v>
      </c>
      <c r="FY275" s="30">
        <v>0</v>
      </c>
      <c r="FZ275" s="30">
        <v>0</v>
      </c>
    </row>
    <row r="276" spans="1:182" x14ac:dyDescent="0.2">
      <c r="A276" s="28">
        <v>39965</v>
      </c>
      <c r="B276" s="28"/>
      <c r="C276" s="29">
        <v>309535.71000000002</v>
      </c>
      <c r="D276" s="29">
        <v>251569.88</v>
      </c>
      <c r="E276" s="29">
        <f t="shared" si="8"/>
        <v>561105.59000000008</v>
      </c>
      <c r="F276" s="30">
        <v>3670783.12</v>
      </c>
      <c r="G276" s="30">
        <v>86190</v>
      </c>
      <c r="H276" s="30">
        <f t="shared" si="9"/>
        <v>3756973.12</v>
      </c>
      <c r="I276" s="42" t="s">
        <v>75</v>
      </c>
      <c r="J276" s="42" t="s">
        <v>75</v>
      </c>
      <c r="K276" s="32">
        <v>6706958.9790476188</v>
      </c>
      <c r="L276" s="31" t="s">
        <v>75</v>
      </c>
      <c r="M276" s="31" t="s">
        <v>75</v>
      </c>
      <c r="N276" s="30">
        <v>13371408.142857142</v>
      </c>
      <c r="O276" s="31" t="s">
        <v>75</v>
      </c>
      <c r="P276" s="31" t="s">
        <v>75</v>
      </c>
      <c r="Q276" s="30">
        <v>11481659.357142856</v>
      </c>
      <c r="R276" s="31" t="s">
        <v>75</v>
      </c>
      <c r="S276" s="31" t="s">
        <v>75</v>
      </c>
      <c r="T276" s="32">
        <v>215456.55555555556</v>
      </c>
      <c r="U276" s="31" t="s">
        <v>75</v>
      </c>
      <c r="V276" s="31" t="s">
        <v>75</v>
      </c>
      <c r="W276" s="30">
        <v>0</v>
      </c>
      <c r="X276" s="31" t="s">
        <v>75</v>
      </c>
      <c r="Y276" s="31" t="s">
        <v>75</v>
      </c>
      <c r="Z276" s="30">
        <v>74880.929999999993</v>
      </c>
      <c r="AA276" s="31" t="s">
        <v>75</v>
      </c>
      <c r="AB276" s="31" t="s">
        <v>75</v>
      </c>
      <c r="AC276" s="30">
        <v>165613.50929965111</v>
      </c>
      <c r="AD276" s="31" t="s">
        <v>75</v>
      </c>
      <c r="AE276" s="31" t="s">
        <v>75</v>
      </c>
      <c r="AF276" s="30">
        <v>27188.971834862383</v>
      </c>
      <c r="AG276" s="42" t="s">
        <v>75</v>
      </c>
      <c r="AH276" s="42" t="s">
        <v>75</v>
      </c>
      <c r="AI276" s="32">
        <v>52533.86</v>
      </c>
      <c r="AJ276" s="31" t="s">
        <v>75</v>
      </c>
      <c r="AK276" s="31" t="s">
        <v>75</v>
      </c>
      <c r="AL276" s="31" t="s">
        <v>75</v>
      </c>
      <c r="AM276" s="31"/>
      <c r="AN276" s="31"/>
      <c r="AO276" s="31"/>
      <c r="AP276" s="31"/>
      <c r="AQ276" s="31"/>
      <c r="AR276" s="31"/>
      <c r="AS276" s="31" t="s">
        <v>75</v>
      </c>
      <c r="AT276" s="31" t="s">
        <v>75</v>
      </c>
      <c r="AU276" s="31" t="s">
        <v>75</v>
      </c>
      <c r="AV276" s="31" t="s">
        <v>75</v>
      </c>
      <c r="AW276" s="31" t="s">
        <v>75</v>
      </c>
      <c r="AX276" s="31" t="s">
        <v>75</v>
      </c>
      <c r="AY276" s="31" t="s">
        <v>75</v>
      </c>
      <c r="AZ276" s="31" t="s">
        <v>75</v>
      </c>
      <c r="BA276" s="29">
        <v>9798159.5999999996</v>
      </c>
      <c r="BB276" s="31" t="s">
        <v>75</v>
      </c>
      <c r="BC276" s="31" t="s">
        <v>75</v>
      </c>
      <c r="BD276" s="29">
        <v>1557344.66666667</v>
      </c>
      <c r="BE276" s="113">
        <v>0</v>
      </c>
      <c r="BF276" s="113">
        <v>0</v>
      </c>
      <c r="BG276" s="113">
        <v>0</v>
      </c>
      <c r="BH276" s="113">
        <v>0</v>
      </c>
      <c r="BI276" s="113">
        <v>0</v>
      </c>
      <c r="BJ276" s="113">
        <v>0</v>
      </c>
      <c r="BK276" s="113">
        <v>0</v>
      </c>
      <c r="BL276" s="113">
        <v>0</v>
      </c>
      <c r="BM276" s="113">
        <v>0</v>
      </c>
      <c r="BN276" s="113">
        <v>0</v>
      </c>
      <c r="BO276" s="113">
        <v>0</v>
      </c>
      <c r="BP276" s="113">
        <v>0</v>
      </c>
      <c r="BQ276" s="113">
        <v>0</v>
      </c>
      <c r="BR276" s="113">
        <v>0</v>
      </c>
      <c r="BS276" s="113">
        <v>0</v>
      </c>
      <c r="BT276" s="113">
        <v>0</v>
      </c>
      <c r="BU276" s="113">
        <v>0</v>
      </c>
      <c r="BV276" s="113">
        <v>0</v>
      </c>
      <c r="BW276" s="113"/>
      <c r="BX276" s="113"/>
      <c r="BY276" s="113"/>
      <c r="BZ276" s="113">
        <v>0</v>
      </c>
      <c r="CA276" s="113">
        <v>0</v>
      </c>
      <c r="CB276" s="113">
        <v>0</v>
      </c>
      <c r="CC276" s="113"/>
      <c r="CD276" s="113"/>
      <c r="CE276" s="113"/>
      <c r="CF276" s="113">
        <v>0</v>
      </c>
      <c r="CG276" s="113">
        <v>0</v>
      </c>
      <c r="CH276" s="113">
        <v>0</v>
      </c>
      <c r="CI276" s="113">
        <v>0</v>
      </c>
      <c r="CJ276" s="113">
        <v>0</v>
      </c>
      <c r="CK276" s="113">
        <v>0</v>
      </c>
      <c r="CL276" s="113">
        <v>0</v>
      </c>
      <c r="CM276" s="113">
        <v>0</v>
      </c>
      <c r="CN276" s="113">
        <v>0</v>
      </c>
      <c r="CO276" s="113">
        <v>0</v>
      </c>
      <c r="CP276" s="113">
        <v>0</v>
      </c>
      <c r="CQ276" s="113">
        <v>0</v>
      </c>
      <c r="CR276" s="113">
        <v>0</v>
      </c>
      <c r="CS276" s="113">
        <v>0</v>
      </c>
      <c r="CT276" s="113">
        <v>0</v>
      </c>
      <c r="CU276" s="113">
        <v>0</v>
      </c>
      <c r="CV276" s="113">
        <v>0</v>
      </c>
      <c r="CW276" s="113">
        <v>0</v>
      </c>
      <c r="CX276" s="113">
        <v>0</v>
      </c>
      <c r="CY276" s="113">
        <v>0</v>
      </c>
      <c r="CZ276" s="113">
        <v>0</v>
      </c>
      <c r="DA276" s="113">
        <v>0</v>
      </c>
      <c r="DB276" s="113">
        <v>0</v>
      </c>
      <c r="DC276" s="113">
        <v>0</v>
      </c>
      <c r="DD276" s="113">
        <v>0</v>
      </c>
      <c r="DE276" s="113">
        <v>0</v>
      </c>
      <c r="DF276" s="113">
        <v>0</v>
      </c>
      <c r="DG276" s="113">
        <v>0</v>
      </c>
      <c r="DH276" s="113">
        <v>0</v>
      </c>
      <c r="DI276" s="113">
        <v>0</v>
      </c>
      <c r="DJ276" s="113">
        <v>0</v>
      </c>
      <c r="DK276" s="113">
        <v>0</v>
      </c>
      <c r="DL276" s="113">
        <v>0</v>
      </c>
      <c r="DM276" s="113">
        <v>0</v>
      </c>
      <c r="DN276" s="113">
        <v>0</v>
      </c>
      <c r="DO276" s="113">
        <v>0</v>
      </c>
      <c r="DP276" s="113">
        <v>0</v>
      </c>
      <c r="DQ276" s="113">
        <v>0</v>
      </c>
      <c r="DR276" s="113">
        <v>0</v>
      </c>
      <c r="DS276" s="113">
        <v>0</v>
      </c>
      <c r="DT276" s="113">
        <v>0</v>
      </c>
      <c r="DU276" s="113">
        <v>0</v>
      </c>
      <c r="DV276" s="113">
        <v>0</v>
      </c>
      <c r="DW276" s="113">
        <v>0</v>
      </c>
      <c r="DX276" s="113">
        <v>0</v>
      </c>
      <c r="DY276" s="113">
        <v>0</v>
      </c>
      <c r="DZ276" s="113">
        <v>0</v>
      </c>
      <c r="EA276" s="113">
        <v>0</v>
      </c>
      <c r="EB276" s="113">
        <v>0</v>
      </c>
      <c r="EC276" s="113">
        <v>0</v>
      </c>
      <c r="ED276" s="113">
        <v>0</v>
      </c>
      <c r="EE276" s="113">
        <v>0</v>
      </c>
      <c r="EF276" s="113">
        <v>0</v>
      </c>
      <c r="EG276" s="113">
        <v>0</v>
      </c>
      <c r="EH276" s="113">
        <v>0</v>
      </c>
      <c r="EI276" s="113">
        <v>0</v>
      </c>
      <c r="EJ276" s="113">
        <v>0</v>
      </c>
      <c r="EK276" s="113">
        <v>0</v>
      </c>
      <c r="EL276" s="113">
        <v>0</v>
      </c>
      <c r="EM276" s="113">
        <v>0</v>
      </c>
      <c r="EN276" s="113">
        <v>0</v>
      </c>
      <c r="EO276" s="113">
        <v>0</v>
      </c>
      <c r="EP276" s="113">
        <v>0</v>
      </c>
      <c r="EQ276" s="113">
        <v>0</v>
      </c>
      <c r="ER276" s="113">
        <v>0</v>
      </c>
      <c r="ES276" s="113">
        <v>0</v>
      </c>
      <c r="ET276" s="113">
        <v>0</v>
      </c>
      <c r="EU276" s="113">
        <v>0</v>
      </c>
      <c r="EV276" s="113">
        <v>0</v>
      </c>
      <c r="EW276" s="113">
        <v>0</v>
      </c>
      <c r="EX276" s="113">
        <v>0</v>
      </c>
      <c r="EY276" s="113">
        <v>0</v>
      </c>
      <c r="EZ276" s="113">
        <v>0</v>
      </c>
      <c r="FA276" s="113">
        <v>0</v>
      </c>
      <c r="FB276" s="113">
        <v>0</v>
      </c>
      <c r="FC276" s="113">
        <v>0</v>
      </c>
      <c r="FD276" s="113">
        <v>0</v>
      </c>
      <c r="FE276" s="113">
        <v>0</v>
      </c>
      <c r="FF276" s="113">
        <v>0</v>
      </c>
      <c r="FG276" s="113">
        <v>0</v>
      </c>
      <c r="FH276" s="113">
        <v>0</v>
      </c>
      <c r="FI276" s="113">
        <v>0</v>
      </c>
      <c r="FJ276" s="113">
        <v>0</v>
      </c>
      <c r="FK276" s="113">
        <v>0</v>
      </c>
      <c r="FL276" s="113">
        <v>0</v>
      </c>
      <c r="FM276" s="113">
        <v>0</v>
      </c>
      <c r="FN276" s="113">
        <v>0</v>
      </c>
      <c r="FO276" s="113">
        <v>0</v>
      </c>
      <c r="FP276" s="113">
        <v>0</v>
      </c>
      <c r="FQ276" s="113">
        <v>0</v>
      </c>
      <c r="FR276" s="113">
        <v>0</v>
      </c>
      <c r="FS276" s="113">
        <v>0</v>
      </c>
      <c r="FT276" s="113">
        <v>0</v>
      </c>
      <c r="FU276" s="113">
        <v>0</v>
      </c>
      <c r="FV276" s="113">
        <v>0</v>
      </c>
      <c r="FW276" s="113">
        <v>0</v>
      </c>
      <c r="FX276" s="32">
        <v>0</v>
      </c>
      <c r="FY276" s="30">
        <v>0</v>
      </c>
      <c r="FZ276" s="30">
        <v>0</v>
      </c>
    </row>
    <row r="277" spans="1:182" x14ac:dyDescent="0.2">
      <c r="A277" s="28">
        <v>39995</v>
      </c>
      <c r="B277" s="28"/>
      <c r="C277" s="29">
        <v>317261</v>
      </c>
      <c r="D277" s="29">
        <v>196726.3</v>
      </c>
      <c r="E277" s="29">
        <f t="shared" si="8"/>
        <v>513987.3</v>
      </c>
      <c r="F277" s="30">
        <v>4670715</v>
      </c>
      <c r="G277" s="30">
        <v>367059</v>
      </c>
      <c r="H277" s="30">
        <f t="shared" si="9"/>
        <v>5037774</v>
      </c>
      <c r="I277" s="42" t="s">
        <v>75</v>
      </c>
      <c r="J277" s="42" t="s">
        <v>75</v>
      </c>
      <c r="K277" s="32">
        <v>6851062.7303174613</v>
      </c>
      <c r="L277" s="31" t="s">
        <v>75</v>
      </c>
      <c r="M277" s="31" t="s">
        <v>75</v>
      </c>
      <c r="N277" s="30">
        <v>15658146.5</v>
      </c>
      <c r="O277" s="31" t="s">
        <v>75</v>
      </c>
      <c r="P277" s="31" t="s">
        <v>75</v>
      </c>
      <c r="Q277" s="30">
        <v>10771186.060991105</v>
      </c>
      <c r="R277" s="31" t="s">
        <v>75</v>
      </c>
      <c r="S277" s="31" t="s">
        <v>75</v>
      </c>
      <c r="T277" s="32">
        <v>194209</v>
      </c>
      <c r="U277" s="31" t="s">
        <v>75</v>
      </c>
      <c r="V277" s="31" t="s">
        <v>75</v>
      </c>
      <c r="W277" s="30">
        <v>59012</v>
      </c>
      <c r="X277" s="31" t="s">
        <v>75</v>
      </c>
      <c r="Y277" s="31" t="s">
        <v>75</v>
      </c>
      <c r="Z277" s="30">
        <v>152413.5</v>
      </c>
      <c r="AA277" s="31" t="s">
        <v>75</v>
      </c>
      <c r="AB277" s="31" t="s">
        <v>75</v>
      </c>
      <c r="AC277" s="30">
        <v>125758.21794871795</v>
      </c>
      <c r="AD277" s="31" t="s">
        <v>75</v>
      </c>
      <c r="AE277" s="31" t="s">
        <v>75</v>
      </c>
      <c r="AF277" s="30">
        <v>25027.05</v>
      </c>
      <c r="AG277" s="42" t="s">
        <v>75</v>
      </c>
      <c r="AH277" s="42" t="s">
        <v>75</v>
      </c>
      <c r="AI277" s="32">
        <v>28902.38</v>
      </c>
      <c r="AJ277" s="31" t="s">
        <v>75</v>
      </c>
      <c r="AK277" s="31" t="s">
        <v>75</v>
      </c>
      <c r="AL277" s="31" t="s">
        <v>75</v>
      </c>
      <c r="AM277" s="31"/>
      <c r="AN277" s="31"/>
      <c r="AO277" s="31"/>
      <c r="AP277" s="31"/>
      <c r="AQ277" s="31"/>
      <c r="AR277" s="31"/>
      <c r="AS277" s="31" t="s">
        <v>75</v>
      </c>
      <c r="AT277" s="31" t="s">
        <v>75</v>
      </c>
      <c r="AU277" s="31" t="s">
        <v>75</v>
      </c>
      <c r="AV277" s="31" t="s">
        <v>75</v>
      </c>
      <c r="AW277" s="31" t="s">
        <v>75</v>
      </c>
      <c r="AX277" s="31" t="s">
        <v>75</v>
      </c>
      <c r="AY277" s="31" t="s">
        <v>75</v>
      </c>
      <c r="AZ277" s="31" t="s">
        <v>75</v>
      </c>
      <c r="BA277" s="29">
        <v>8580620.2000000011</v>
      </c>
      <c r="BB277" s="31" t="s">
        <v>75</v>
      </c>
      <c r="BC277" s="31" t="s">
        <v>75</v>
      </c>
      <c r="BD277" s="29">
        <v>2133167</v>
      </c>
      <c r="BE277" s="113">
        <v>0</v>
      </c>
      <c r="BF277" s="113">
        <v>0</v>
      </c>
      <c r="BG277" s="113">
        <v>0</v>
      </c>
      <c r="BH277" s="113">
        <v>0</v>
      </c>
      <c r="BI277" s="113">
        <v>0</v>
      </c>
      <c r="BJ277" s="113">
        <v>0</v>
      </c>
      <c r="BK277" s="113">
        <v>0</v>
      </c>
      <c r="BL277" s="113">
        <v>0</v>
      </c>
      <c r="BM277" s="113">
        <v>0</v>
      </c>
      <c r="BN277" s="113">
        <v>0</v>
      </c>
      <c r="BO277" s="113">
        <v>0</v>
      </c>
      <c r="BP277" s="113">
        <v>0</v>
      </c>
      <c r="BQ277" s="113">
        <v>0</v>
      </c>
      <c r="BR277" s="113">
        <v>0</v>
      </c>
      <c r="BS277" s="113">
        <v>0</v>
      </c>
      <c r="BT277" s="113">
        <v>0</v>
      </c>
      <c r="BU277" s="113">
        <v>0</v>
      </c>
      <c r="BV277" s="113">
        <v>0</v>
      </c>
      <c r="BW277" s="113"/>
      <c r="BX277" s="113"/>
      <c r="BY277" s="113"/>
      <c r="BZ277" s="113">
        <v>0</v>
      </c>
      <c r="CA277" s="113">
        <v>0</v>
      </c>
      <c r="CB277" s="113">
        <v>0</v>
      </c>
      <c r="CC277" s="113"/>
      <c r="CD277" s="113"/>
      <c r="CE277" s="113"/>
      <c r="CF277" s="113">
        <v>0</v>
      </c>
      <c r="CG277" s="113">
        <v>0</v>
      </c>
      <c r="CH277" s="113">
        <v>0</v>
      </c>
      <c r="CI277" s="113">
        <v>0</v>
      </c>
      <c r="CJ277" s="113">
        <v>0</v>
      </c>
      <c r="CK277" s="113">
        <v>0</v>
      </c>
      <c r="CL277" s="113">
        <v>0</v>
      </c>
      <c r="CM277" s="113">
        <v>0</v>
      </c>
      <c r="CN277" s="113">
        <v>0</v>
      </c>
      <c r="CO277" s="113">
        <v>0</v>
      </c>
      <c r="CP277" s="113">
        <v>0</v>
      </c>
      <c r="CQ277" s="113">
        <v>0</v>
      </c>
      <c r="CR277" s="113">
        <v>0</v>
      </c>
      <c r="CS277" s="113">
        <v>0</v>
      </c>
      <c r="CT277" s="113">
        <v>0</v>
      </c>
      <c r="CU277" s="113">
        <v>0</v>
      </c>
      <c r="CV277" s="113">
        <v>0</v>
      </c>
      <c r="CW277" s="113">
        <v>0</v>
      </c>
      <c r="CX277" s="113">
        <v>0</v>
      </c>
      <c r="CY277" s="113">
        <v>0</v>
      </c>
      <c r="CZ277" s="113">
        <v>0</v>
      </c>
      <c r="DA277" s="113">
        <v>0</v>
      </c>
      <c r="DB277" s="113">
        <v>0</v>
      </c>
      <c r="DC277" s="113">
        <v>0</v>
      </c>
      <c r="DD277" s="113">
        <v>0</v>
      </c>
      <c r="DE277" s="113">
        <v>0</v>
      </c>
      <c r="DF277" s="113">
        <v>0</v>
      </c>
      <c r="DG277" s="113">
        <v>0</v>
      </c>
      <c r="DH277" s="113">
        <v>0</v>
      </c>
      <c r="DI277" s="113">
        <v>0</v>
      </c>
      <c r="DJ277" s="113">
        <v>0</v>
      </c>
      <c r="DK277" s="113">
        <v>0</v>
      </c>
      <c r="DL277" s="113">
        <v>0</v>
      </c>
      <c r="DM277" s="113">
        <v>0</v>
      </c>
      <c r="DN277" s="113">
        <v>0</v>
      </c>
      <c r="DO277" s="113">
        <v>0</v>
      </c>
      <c r="DP277" s="113">
        <v>0</v>
      </c>
      <c r="DQ277" s="113">
        <v>0</v>
      </c>
      <c r="DR277" s="113">
        <v>0</v>
      </c>
      <c r="DS277" s="113">
        <v>0</v>
      </c>
      <c r="DT277" s="113">
        <v>0</v>
      </c>
      <c r="DU277" s="113">
        <v>0</v>
      </c>
      <c r="DV277" s="113">
        <v>0</v>
      </c>
      <c r="DW277" s="113">
        <v>0</v>
      </c>
      <c r="DX277" s="113">
        <v>0</v>
      </c>
      <c r="DY277" s="113">
        <v>0</v>
      </c>
      <c r="DZ277" s="113">
        <v>0</v>
      </c>
      <c r="EA277" s="113">
        <v>0</v>
      </c>
      <c r="EB277" s="113">
        <v>0</v>
      </c>
      <c r="EC277" s="113">
        <v>0</v>
      </c>
      <c r="ED277" s="113">
        <v>0</v>
      </c>
      <c r="EE277" s="113">
        <v>0</v>
      </c>
      <c r="EF277" s="113">
        <v>0</v>
      </c>
      <c r="EG277" s="113">
        <v>0</v>
      </c>
      <c r="EH277" s="113">
        <v>0</v>
      </c>
      <c r="EI277" s="113">
        <v>0</v>
      </c>
      <c r="EJ277" s="113">
        <v>0</v>
      </c>
      <c r="EK277" s="113">
        <v>0</v>
      </c>
      <c r="EL277" s="113">
        <v>0</v>
      </c>
      <c r="EM277" s="113">
        <v>0</v>
      </c>
      <c r="EN277" s="113">
        <v>0</v>
      </c>
      <c r="EO277" s="113">
        <v>0</v>
      </c>
      <c r="EP277" s="113">
        <v>0</v>
      </c>
      <c r="EQ277" s="113">
        <v>0</v>
      </c>
      <c r="ER277" s="113">
        <v>0</v>
      </c>
      <c r="ES277" s="113">
        <v>0</v>
      </c>
      <c r="ET277" s="113">
        <v>0</v>
      </c>
      <c r="EU277" s="113">
        <v>0</v>
      </c>
      <c r="EV277" s="113">
        <v>0</v>
      </c>
      <c r="EW277" s="113">
        <v>0</v>
      </c>
      <c r="EX277" s="113">
        <v>0</v>
      </c>
      <c r="EY277" s="113">
        <v>0</v>
      </c>
      <c r="EZ277" s="113">
        <v>0</v>
      </c>
      <c r="FA277" s="113">
        <v>0</v>
      </c>
      <c r="FB277" s="113">
        <v>0</v>
      </c>
      <c r="FC277" s="113">
        <v>0</v>
      </c>
      <c r="FD277" s="113">
        <v>0</v>
      </c>
      <c r="FE277" s="113">
        <v>0</v>
      </c>
      <c r="FF277" s="113">
        <v>0</v>
      </c>
      <c r="FG277" s="113">
        <v>0</v>
      </c>
      <c r="FH277" s="113">
        <v>0</v>
      </c>
      <c r="FI277" s="113">
        <v>0</v>
      </c>
      <c r="FJ277" s="113">
        <v>0</v>
      </c>
      <c r="FK277" s="113">
        <v>0</v>
      </c>
      <c r="FL277" s="113">
        <v>0</v>
      </c>
      <c r="FM277" s="113">
        <v>0</v>
      </c>
      <c r="FN277" s="113">
        <v>0</v>
      </c>
      <c r="FO277" s="113">
        <v>0</v>
      </c>
      <c r="FP277" s="113">
        <v>0</v>
      </c>
      <c r="FQ277" s="113">
        <v>0</v>
      </c>
      <c r="FR277" s="113">
        <v>0</v>
      </c>
      <c r="FS277" s="113">
        <v>0</v>
      </c>
      <c r="FT277" s="113">
        <v>0</v>
      </c>
      <c r="FU277" s="113">
        <v>0</v>
      </c>
      <c r="FV277" s="113">
        <v>0</v>
      </c>
      <c r="FW277" s="113">
        <v>0</v>
      </c>
      <c r="FX277" s="32">
        <v>0</v>
      </c>
      <c r="FY277" s="30">
        <v>0</v>
      </c>
      <c r="FZ277" s="30">
        <v>0</v>
      </c>
    </row>
    <row r="278" spans="1:182" x14ac:dyDescent="0.2">
      <c r="A278" s="28">
        <v>40026</v>
      </c>
      <c r="B278" s="28"/>
      <c r="C278" s="29">
        <v>320316.49</v>
      </c>
      <c r="D278" s="29">
        <v>297572.73</v>
      </c>
      <c r="E278" s="29">
        <f t="shared" si="8"/>
        <v>617889.22</v>
      </c>
      <c r="F278" s="30">
        <v>5012847</v>
      </c>
      <c r="G278" s="30">
        <v>230806</v>
      </c>
      <c r="H278" s="30">
        <f t="shared" si="9"/>
        <v>5243653</v>
      </c>
      <c r="I278" s="42" t="s">
        <v>75</v>
      </c>
      <c r="J278" s="42" t="s">
        <v>75</v>
      </c>
      <c r="K278" s="32">
        <v>8663337.8985714298</v>
      </c>
      <c r="L278" s="31" t="s">
        <v>75</v>
      </c>
      <c r="M278" s="31" t="s">
        <v>75</v>
      </c>
      <c r="N278" s="30">
        <v>16366931.66</v>
      </c>
      <c r="O278" s="31" t="s">
        <v>75</v>
      </c>
      <c r="P278" s="31" t="s">
        <v>75</v>
      </c>
      <c r="Q278" s="30">
        <v>12421324</v>
      </c>
      <c r="R278" s="31" t="s">
        <v>75</v>
      </c>
      <c r="S278" s="31" t="s">
        <v>75</v>
      </c>
      <c r="T278" s="32">
        <v>201582.25</v>
      </c>
      <c r="U278" s="31" t="s">
        <v>75</v>
      </c>
      <c r="V278" s="31" t="s">
        <v>75</v>
      </c>
      <c r="W278" s="30">
        <v>59012</v>
      </c>
      <c r="X278" s="31" t="s">
        <v>75</v>
      </c>
      <c r="Y278" s="31" t="s">
        <v>75</v>
      </c>
      <c r="Z278" s="30">
        <v>56046.46</v>
      </c>
      <c r="AA278" s="31" t="s">
        <v>75</v>
      </c>
      <c r="AB278" s="31" t="s">
        <v>75</v>
      </c>
      <c r="AC278" s="30">
        <v>62734.12</v>
      </c>
      <c r="AD278" s="31" t="s">
        <v>75</v>
      </c>
      <c r="AE278" s="31" t="s">
        <v>75</v>
      </c>
      <c r="AF278" s="30">
        <v>16122.794909955828</v>
      </c>
      <c r="AG278" s="42" t="s">
        <v>75</v>
      </c>
      <c r="AH278" s="42" t="s">
        <v>75</v>
      </c>
      <c r="AI278" s="32">
        <v>52605</v>
      </c>
      <c r="AJ278" s="31" t="s">
        <v>75</v>
      </c>
      <c r="AK278" s="31" t="s">
        <v>75</v>
      </c>
      <c r="AL278" s="31" t="s">
        <v>75</v>
      </c>
      <c r="AM278" s="31"/>
      <c r="AN278" s="31"/>
      <c r="AO278" s="31"/>
      <c r="AP278" s="31"/>
      <c r="AQ278" s="31"/>
      <c r="AR278" s="31"/>
      <c r="AS278" s="31" t="s">
        <v>75</v>
      </c>
      <c r="AT278" s="31" t="s">
        <v>75</v>
      </c>
      <c r="AU278" s="31" t="s">
        <v>75</v>
      </c>
      <c r="AV278" s="31" t="s">
        <v>75</v>
      </c>
      <c r="AW278" s="31" t="s">
        <v>75</v>
      </c>
      <c r="AX278" s="31" t="s">
        <v>75</v>
      </c>
      <c r="AY278" s="31" t="s">
        <v>75</v>
      </c>
      <c r="AZ278" s="31" t="s">
        <v>75</v>
      </c>
      <c r="BA278" s="29">
        <v>8752371.5999999996</v>
      </c>
      <c r="BB278" s="31" t="s">
        <v>75</v>
      </c>
      <c r="BC278" s="31" t="s">
        <v>75</v>
      </c>
      <c r="BD278" s="29">
        <v>1454018</v>
      </c>
      <c r="BE278" s="113">
        <v>0</v>
      </c>
      <c r="BF278" s="113">
        <v>0</v>
      </c>
      <c r="BG278" s="113">
        <v>0</v>
      </c>
      <c r="BH278" s="113">
        <v>0</v>
      </c>
      <c r="BI278" s="113">
        <v>0</v>
      </c>
      <c r="BJ278" s="113">
        <v>0</v>
      </c>
      <c r="BK278" s="113">
        <v>0</v>
      </c>
      <c r="BL278" s="113">
        <v>0</v>
      </c>
      <c r="BM278" s="113">
        <v>0</v>
      </c>
      <c r="BN278" s="113">
        <v>0</v>
      </c>
      <c r="BO278" s="113">
        <v>0</v>
      </c>
      <c r="BP278" s="113">
        <v>0</v>
      </c>
      <c r="BQ278" s="113">
        <v>0</v>
      </c>
      <c r="BR278" s="113">
        <v>0</v>
      </c>
      <c r="BS278" s="113">
        <v>0</v>
      </c>
      <c r="BT278" s="113">
        <v>0</v>
      </c>
      <c r="BU278" s="113">
        <v>0</v>
      </c>
      <c r="BV278" s="113">
        <v>0</v>
      </c>
      <c r="BW278" s="113"/>
      <c r="BX278" s="113"/>
      <c r="BY278" s="113"/>
      <c r="BZ278" s="113">
        <v>0</v>
      </c>
      <c r="CA278" s="113">
        <v>0</v>
      </c>
      <c r="CB278" s="113">
        <v>0</v>
      </c>
      <c r="CC278" s="113"/>
      <c r="CD278" s="113"/>
      <c r="CE278" s="113"/>
      <c r="CF278" s="113">
        <v>0</v>
      </c>
      <c r="CG278" s="113">
        <v>0</v>
      </c>
      <c r="CH278" s="113">
        <v>0</v>
      </c>
      <c r="CI278" s="113">
        <v>0</v>
      </c>
      <c r="CJ278" s="113">
        <v>0</v>
      </c>
      <c r="CK278" s="113">
        <v>0</v>
      </c>
      <c r="CL278" s="113">
        <v>0</v>
      </c>
      <c r="CM278" s="113">
        <v>0</v>
      </c>
      <c r="CN278" s="113">
        <v>0</v>
      </c>
      <c r="CO278" s="113">
        <v>0</v>
      </c>
      <c r="CP278" s="113">
        <v>0</v>
      </c>
      <c r="CQ278" s="113">
        <v>0</v>
      </c>
      <c r="CR278" s="113">
        <v>0</v>
      </c>
      <c r="CS278" s="113">
        <v>0</v>
      </c>
      <c r="CT278" s="113">
        <v>0</v>
      </c>
      <c r="CU278" s="113">
        <v>0</v>
      </c>
      <c r="CV278" s="113">
        <v>0</v>
      </c>
      <c r="CW278" s="113">
        <v>0</v>
      </c>
      <c r="CX278" s="113">
        <v>0</v>
      </c>
      <c r="CY278" s="113">
        <v>0</v>
      </c>
      <c r="CZ278" s="113">
        <v>0</v>
      </c>
      <c r="DA278" s="113">
        <v>0</v>
      </c>
      <c r="DB278" s="113">
        <v>0</v>
      </c>
      <c r="DC278" s="113">
        <v>0</v>
      </c>
      <c r="DD278" s="113">
        <v>0</v>
      </c>
      <c r="DE278" s="113">
        <v>0</v>
      </c>
      <c r="DF278" s="113">
        <v>0</v>
      </c>
      <c r="DG278" s="113">
        <v>0</v>
      </c>
      <c r="DH278" s="113">
        <v>0</v>
      </c>
      <c r="DI278" s="113">
        <v>0</v>
      </c>
      <c r="DJ278" s="113">
        <v>0</v>
      </c>
      <c r="DK278" s="113">
        <v>0</v>
      </c>
      <c r="DL278" s="113">
        <v>0</v>
      </c>
      <c r="DM278" s="113">
        <v>0</v>
      </c>
      <c r="DN278" s="113">
        <v>0</v>
      </c>
      <c r="DO278" s="113">
        <v>0</v>
      </c>
      <c r="DP278" s="113">
        <v>0</v>
      </c>
      <c r="DQ278" s="113">
        <v>0</v>
      </c>
      <c r="DR278" s="113">
        <v>0</v>
      </c>
      <c r="DS278" s="113">
        <v>0</v>
      </c>
      <c r="DT278" s="113">
        <v>0</v>
      </c>
      <c r="DU278" s="113">
        <v>0</v>
      </c>
      <c r="DV278" s="113">
        <v>0</v>
      </c>
      <c r="DW278" s="113">
        <v>0</v>
      </c>
      <c r="DX278" s="113">
        <v>0</v>
      </c>
      <c r="DY278" s="113">
        <v>0</v>
      </c>
      <c r="DZ278" s="113">
        <v>0</v>
      </c>
      <c r="EA278" s="113">
        <v>0</v>
      </c>
      <c r="EB278" s="113">
        <v>0</v>
      </c>
      <c r="EC278" s="113">
        <v>0</v>
      </c>
      <c r="ED278" s="113">
        <v>0</v>
      </c>
      <c r="EE278" s="113">
        <v>0</v>
      </c>
      <c r="EF278" s="113">
        <v>0</v>
      </c>
      <c r="EG278" s="113">
        <v>0</v>
      </c>
      <c r="EH278" s="113">
        <v>0</v>
      </c>
      <c r="EI278" s="113">
        <v>0</v>
      </c>
      <c r="EJ278" s="113">
        <v>0</v>
      </c>
      <c r="EK278" s="113">
        <v>0</v>
      </c>
      <c r="EL278" s="113">
        <v>0</v>
      </c>
      <c r="EM278" s="113">
        <v>0</v>
      </c>
      <c r="EN278" s="113">
        <v>0</v>
      </c>
      <c r="EO278" s="113">
        <v>0</v>
      </c>
      <c r="EP278" s="113">
        <v>0</v>
      </c>
      <c r="EQ278" s="113">
        <v>0</v>
      </c>
      <c r="ER278" s="113">
        <v>0</v>
      </c>
      <c r="ES278" s="113">
        <v>0</v>
      </c>
      <c r="ET278" s="113">
        <v>0</v>
      </c>
      <c r="EU278" s="113">
        <v>0</v>
      </c>
      <c r="EV278" s="113">
        <v>0</v>
      </c>
      <c r="EW278" s="113">
        <v>0</v>
      </c>
      <c r="EX278" s="113">
        <v>0</v>
      </c>
      <c r="EY278" s="113">
        <v>0</v>
      </c>
      <c r="EZ278" s="113">
        <v>0</v>
      </c>
      <c r="FA278" s="113">
        <v>0</v>
      </c>
      <c r="FB278" s="113">
        <v>0</v>
      </c>
      <c r="FC278" s="113">
        <v>0</v>
      </c>
      <c r="FD278" s="113">
        <v>0</v>
      </c>
      <c r="FE278" s="113">
        <v>0</v>
      </c>
      <c r="FF278" s="113">
        <v>0</v>
      </c>
      <c r="FG278" s="113">
        <v>0</v>
      </c>
      <c r="FH278" s="113">
        <v>0</v>
      </c>
      <c r="FI278" s="113">
        <v>0</v>
      </c>
      <c r="FJ278" s="113">
        <v>0</v>
      </c>
      <c r="FK278" s="113">
        <v>0</v>
      </c>
      <c r="FL278" s="113">
        <v>0</v>
      </c>
      <c r="FM278" s="113">
        <v>0</v>
      </c>
      <c r="FN278" s="113">
        <v>0</v>
      </c>
      <c r="FO278" s="113">
        <v>0</v>
      </c>
      <c r="FP278" s="113">
        <v>0</v>
      </c>
      <c r="FQ278" s="113">
        <v>0</v>
      </c>
      <c r="FR278" s="113">
        <v>0</v>
      </c>
      <c r="FS278" s="113">
        <v>0</v>
      </c>
      <c r="FT278" s="113">
        <v>0</v>
      </c>
      <c r="FU278" s="113">
        <v>0</v>
      </c>
      <c r="FV278" s="113">
        <v>0</v>
      </c>
      <c r="FW278" s="113">
        <v>0</v>
      </c>
      <c r="FX278" s="32">
        <v>0</v>
      </c>
      <c r="FY278" s="30">
        <v>0</v>
      </c>
      <c r="FZ278" s="30">
        <v>0</v>
      </c>
    </row>
    <row r="279" spans="1:182" x14ac:dyDescent="0.2">
      <c r="A279" s="28">
        <v>40057</v>
      </c>
      <c r="B279" s="28"/>
      <c r="C279" s="29">
        <v>248284.92</v>
      </c>
      <c r="D279" s="29">
        <v>161546.5</v>
      </c>
      <c r="E279" s="29">
        <f t="shared" si="8"/>
        <v>409831.42000000004</v>
      </c>
      <c r="F279" s="30">
        <v>6436676</v>
      </c>
      <c r="G279" s="30">
        <v>110543</v>
      </c>
      <c r="H279" s="30">
        <f t="shared" si="9"/>
        <v>6547219</v>
      </c>
      <c r="I279" s="42" t="s">
        <v>75</v>
      </c>
      <c r="J279" s="42" t="s">
        <v>75</v>
      </c>
      <c r="K279" s="32">
        <v>7419157.4663492059</v>
      </c>
      <c r="L279" s="31" t="s">
        <v>75</v>
      </c>
      <c r="M279" s="31" t="s">
        <v>75</v>
      </c>
      <c r="N279" s="30">
        <v>10163423</v>
      </c>
      <c r="O279" s="31" t="s">
        <v>75</v>
      </c>
      <c r="P279" s="31" t="s">
        <v>75</v>
      </c>
      <c r="Q279" s="30">
        <v>16406048.5</v>
      </c>
      <c r="R279" s="31" t="s">
        <v>75</v>
      </c>
      <c r="S279" s="31" t="s">
        <v>75</v>
      </c>
      <c r="T279" s="32">
        <v>311981.84999999998</v>
      </c>
      <c r="U279" s="31" t="s">
        <v>75</v>
      </c>
      <c r="V279" s="31" t="s">
        <v>75</v>
      </c>
      <c r="W279" s="30" t="s">
        <v>75</v>
      </c>
      <c r="X279" s="31" t="s">
        <v>75</v>
      </c>
      <c r="Y279" s="31" t="s">
        <v>75</v>
      </c>
      <c r="Z279" s="30">
        <v>191509.52</v>
      </c>
      <c r="AA279" s="31" t="s">
        <v>75</v>
      </c>
      <c r="AB279" s="31" t="s">
        <v>75</v>
      </c>
      <c r="AC279" s="30">
        <v>60970.59</v>
      </c>
      <c r="AD279" s="31" t="s">
        <v>75</v>
      </c>
      <c r="AE279" s="31" t="s">
        <v>75</v>
      </c>
      <c r="AF279" s="30">
        <v>30891.809408099689</v>
      </c>
      <c r="AG279" s="42" t="s">
        <v>75</v>
      </c>
      <c r="AH279" s="42" t="s">
        <v>75</v>
      </c>
      <c r="AI279" s="32">
        <v>43660.25</v>
      </c>
      <c r="AJ279" s="31" t="s">
        <v>75</v>
      </c>
      <c r="AK279" s="31" t="s">
        <v>75</v>
      </c>
      <c r="AL279" s="31" t="s">
        <v>75</v>
      </c>
      <c r="AM279" s="31"/>
      <c r="AN279" s="31"/>
      <c r="AO279" s="31"/>
      <c r="AP279" s="31"/>
      <c r="AQ279" s="31"/>
      <c r="AR279" s="31"/>
      <c r="AS279" s="31" t="s">
        <v>75</v>
      </c>
      <c r="AT279" s="31" t="s">
        <v>75</v>
      </c>
      <c r="AU279" s="31" t="s">
        <v>75</v>
      </c>
      <c r="AV279" s="31" t="s">
        <v>75</v>
      </c>
      <c r="AW279" s="31" t="s">
        <v>75</v>
      </c>
      <c r="AX279" s="31" t="s">
        <v>75</v>
      </c>
      <c r="AY279" s="31" t="s">
        <v>75</v>
      </c>
      <c r="AZ279" s="31" t="s">
        <v>75</v>
      </c>
      <c r="BA279" s="29">
        <v>9483284.7000000011</v>
      </c>
      <c r="BB279" s="31" t="s">
        <v>75</v>
      </c>
      <c r="BC279" s="31" t="s">
        <v>75</v>
      </c>
      <c r="BD279" s="29">
        <v>1778677</v>
      </c>
      <c r="BE279" s="113">
        <v>0</v>
      </c>
      <c r="BF279" s="113">
        <v>0</v>
      </c>
      <c r="BG279" s="113">
        <v>0</v>
      </c>
      <c r="BH279" s="113">
        <v>0</v>
      </c>
      <c r="BI279" s="113">
        <v>0</v>
      </c>
      <c r="BJ279" s="113">
        <v>0</v>
      </c>
      <c r="BK279" s="113">
        <v>0</v>
      </c>
      <c r="BL279" s="113">
        <v>0</v>
      </c>
      <c r="BM279" s="113">
        <v>0</v>
      </c>
      <c r="BN279" s="113">
        <v>0</v>
      </c>
      <c r="BO279" s="113">
        <v>0</v>
      </c>
      <c r="BP279" s="113">
        <v>0</v>
      </c>
      <c r="BQ279" s="113">
        <v>0</v>
      </c>
      <c r="BR279" s="113">
        <v>0</v>
      </c>
      <c r="BS279" s="113">
        <v>0</v>
      </c>
      <c r="BT279" s="113">
        <v>0</v>
      </c>
      <c r="BU279" s="113">
        <v>0</v>
      </c>
      <c r="BV279" s="113">
        <v>0</v>
      </c>
      <c r="BW279" s="113"/>
      <c r="BX279" s="113"/>
      <c r="BY279" s="113"/>
      <c r="BZ279" s="113">
        <v>0</v>
      </c>
      <c r="CA279" s="113">
        <v>0</v>
      </c>
      <c r="CB279" s="113">
        <v>0</v>
      </c>
      <c r="CC279" s="113"/>
      <c r="CD279" s="113"/>
      <c r="CE279" s="113"/>
      <c r="CF279" s="113">
        <v>0</v>
      </c>
      <c r="CG279" s="113">
        <v>0</v>
      </c>
      <c r="CH279" s="113">
        <v>0</v>
      </c>
      <c r="CI279" s="113">
        <v>0</v>
      </c>
      <c r="CJ279" s="113">
        <v>0</v>
      </c>
      <c r="CK279" s="113">
        <v>0</v>
      </c>
      <c r="CL279" s="113">
        <v>0</v>
      </c>
      <c r="CM279" s="113">
        <v>0</v>
      </c>
      <c r="CN279" s="113">
        <v>0</v>
      </c>
      <c r="CO279" s="113">
        <v>0</v>
      </c>
      <c r="CP279" s="113">
        <v>0</v>
      </c>
      <c r="CQ279" s="113">
        <v>0</v>
      </c>
      <c r="CR279" s="113">
        <v>0</v>
      </c>
      <c r="CS279" s="113">
        <v>0</v>
      </c>
      <c r="CT279" s="113">
        <v>0</v>
      </c>
      <c r="CU279" s="113">
        <v>0</v>
      </c>
      <c r="CV279" s="113">
        <v>0</v>
      </c>
      <c r="CW279" s="113">
        <v>0</v>
      </c>
      <c r="CX279" s="113">
        <v>0</v>
      </c>
      <c r="CY279" s="113">
        <v>0</v>
      </c>
      <c r="CZ279" s="113">
        <v>0</v>
      </c>
      <c r="DA279" s="113">
        <v>0</v>
      </c>
      <c r="DB279" s="113">
        <v>0</v>
      </c>
      <c r="DC279" s="113">
        <v>0</v>
      </c>
      <c r="DD279" s="113">
        <v>0</v>
      </c>
      <c r="DE279" s="113">
        <v>0</v>
      </c>
      <c r="DF279" s="113">
        <v>0</v>
      </c>
      <c r="DG279" s="113">
        <v>0</v>
      </c>
      <c r="DH279" s="113">
        <v>0</v>
      </c>
      <c r="DI279" s="113">
        <v>0</v>
      </c>
      <c r="DJ279" s="113">
        <v>0</v>
      </c>
      <c r="DK279" s="113">
        <v>0</v>
      </c>
      <c r="DL279" s="113">
        <v>0</v>
      </c>
      <c r="DM279" s="113">
        <v>0</v>
      </c>
      <c r="DN279" s="113">
        <v>0</v>
      </c>
      <c r="DO279" s="113">
        <v>0</v>
      </c>
      <c r="DP279" s="113">
        <v>0</v>
      </c>
      <c r="DQ279" s="113">
        <v>0</v>
      </c>
      <c r="DR279" s="113">
        <v>0</v>
      </c>
      <c r="DS279" s="113">
        <v>0</v>
      </c>
      <c r="DT279" s="113">
        <v>0</v>
      </c>
      <c r="DU279" s="113">
        <v>0</v>
      </c>
      <c r="DV279" s="113">
        <v>0</v>
      </c>
      <c r="DW279" s="113">
        <v>0</v>
      </c>
      <c r="DX279" s="113">
        <v>0</v>
      </c>
      <c r="DY279" s="113">
        <v>0</v>
      </c>
      <c r="DZ279" s="113">
        <v>0</v>
      </c>
      <c r="EA279" s="113">
        <v>0</v>
      </c>
      <c r="EB279" s="113">
        <v>0</v>
      </c>
      <c r="EC279" s="113">
        <v>0</v>
      </c>
      <c r="ED279" s="113">
        <v>0</v>
      </c>
      <c r="EE279" s="113">
        <v>0</v>
      </c>
      <c r="EF279" s="113">
        <v>0</v>
      </c>
      <c r="EG279" s="113">
        <v>0</v>
      </c>
      <c r="EH279" s="113">
        <v>0</v>
      </c>
      <c r="EI279" s="113">
        <v>0</v>
      </c>
      <c r="EJ279" s="113">
        <v>0</v>
      </c>
      <c r="EK279" s="113">
        <v>0</v>
      </c>
      <c r="EL279" s="113">
        <v>0</v>
      </c>
      <c r="EM279" s="113">
        <v>0</v>
      </c>
      <c r="EN279" s="113">
        <v>0</v>
      </c>
      <c r="EO279" s="113">
        <v>0</v>
      </c>
      <c r="EP279" s="113">
        <v>0</v>
      </c>
      <c r="EQ279" s="113">
        <v>0</v>
      </c>
      <c r="ER279" s="113">
        <v>0</v>
      </c>
      <c r="ES279" s="113">
        <v>0</v>
      </c>
      <c r="ET279" s="113">
        <v>0</v>
      </c>
      <c r="EU279" s="113">
        <v>0</v>
      </c>
      <c r="EV279" s="113">
        <v>0</v>
      </c>
      <c r="EW279" s="113">
        <v>0</v>
      </c>
      <c r="EX279" s="113">
        <v>0</v>
      </c>
      <c r="EY279" s="113">
        <v>0</v>
      </c>
      <c r="EZ279" s="113">
        <v>0</v>
      </c>
      <c r="FA279" s="113">
        <v>0</v>
      </c>
      <c r="FB279" s="113">
        <v>0</v>
      </c>
      <c r="FC279" s="113">
        <v>0</v>
      </c>
      <c r="FD279" s="113">
        <v>0</v>
      </c>
      <c r="FE279" s="113">
        <v>0</v>
      </c>
      <c r="FF279" s="113">
        <v>0</v>
      </c>
      <c r="FG279" s="113">
        <v>0</v>
      </c>
      <c r="FH279" s="113">
        <v>0</v>
      </c>
      <c r="FI279" s="113">
        <v>0</v>
      </c>
      <c r="FJ279" s="113">
        <v>0</v>
      </c>
      <c r="FK279" s="113">
        <v>0</v>
      </c>
      <c r="FL279" s="113">
        <v>0</v>
      </c>
      <c r="FM279" s="113">
        <v>0</v>
      </c>
      <c r="FN279" s="113">
        <v>0</v>
      </c>
      <c r="FO279" s="113">
        <v>0</v>
      </c>
      <c r="FP279" s="113">
        <v>0</v>
      </c>
      <c r="FQ279" s="113">
        <v>0</v>
      </c>
      <c r="FR279" s="113">
        <v>0</v>
      </c>
      <c r="FS279" s="113">
        <v>0</v>
      </c>
      <c r="FT279" s="113">
        <v>0</v>
      </c>
      <c r="FU279" s="113">
        <v>0</v>
      </c>
      <c r="FV279" s="113">
        <v>0</v>
      </c>
      <c r="FW279" s="113">
        <v>0</v>
      </c>
      <c r="FX279" s="32">
        <v>0</v>
      </c>
      <c r="FY279" s="30">
        <v>0</v>
      </c>
      <c r="FZ279" s="30">
        <v>0</v>
      </c>
    </row>
    <row r="280" spans="1:182" x14ac:dyDescent="0.2">
      <c r="A280" s="28">
        <v>40087</v>
      </c>
      <c r="B280" s="28"/>
      <c r="C280" s="29">
        <v>218046.49</v>
      </c>
      <c r="D280" s="29">
        <v>239982.1</v>
      </c>
      <c r="E280" s="29">
        <f t="shared" si="8"/>
        <v>458028.58999999997</v>
      </c>
      <c r="F280" s="30">
        <v>9709304</v>
      </c>
      <c r="G280" s="30">
        <v>89915</v>
      </c>
      <c r="H280" s="30">
        <f t="shared" si="9"/>
        <v>9799219</v>
      </c>
      <c r="I280" s="42" t="s">
        <v>75</v>
      </c>
      <c r="J280" s="42" t="s">
        <v>75</v>
      </c>
      <c r="K280" s="32">
        <v>8566993.9067716524</v>
      </c>
      <c r="L280" s="31" t="s">
        <v>75</v>
      </c>
      <c r="M280" s="31" t="s">
        <v>75</v>
      </c>
      <c r="N280" s="30">
        <v>20133554</v>
      </c>
      <c r="O280" s="31" t="s">
        <v>75</v>
      </c>
      <c r="P280" s="31" t="s">
        <v>75</v>
      </c>
      <c r="Q280" s="30">
        <v>18284298</v>
      </c>
      <c r="R280" s="31" t="s">
        <v>75</v>
      </c>
      <c r="S280" s="31" t="s">
        <v>75</v>
      </c>
      <c r="T280" s="32">
        <v>160367.70000000001</v>
      </c>
      <c r="U280" s="31" t="s">
        <v>75</v>
      </c>
      <c r="V280" s="31" t="s">
        <v>75</v>
      </c>
      <c r="W280" s="30">
        <v>0</v>
      </c>
      <c r="X280" s="31" t="s">
        <v>75</v>
      </c>
      <c r="Y280" s="31" t="s">
        <v>75</v>
      </c>
      <c r="Z280" s="30">
        <v>66930.12</v>
      </c>
      <c r="AA280" s="31" t="s">
        <v>75</v>
      </c>
      <c r="AB280" s="31" t="s">
        <v>75</v>
      </c>
      <c r="AC280" s="30">
        <v>62920.19</v>
      </c>
      <c r="AD280" s="31" t="s">
        <v>75</v>
      </c>
      <c r="AE280" s="31" t="s">
        <v>75</v>
      </c>
      <c r="AF280" s="30">
        <v>14205.07</v>
      </c>
      <c r="AG280" s="42" t="s">
        <v>75</v>
      </c>
      <c r="AH280" s="42" t="s">
        <v>75</v>
      </c>
      <c r="AI280" s="32">
        <v>43806.77</v>
      </c>
      <c r="AJ280" s="31" t="s">
        <v>75</v>
      </c>
      <c r="AK280" s="31" t="s">
        <v>75</v>
      </c>
      <c r="AL280" s="31" t="s">
        <v>75</v>
      </c>
      <c r="AM280" s="31"/>
      <c r="AN280" s="31"/>
      <c r="AO280" s="31"/>
      <c r="AP280" s="31"/>
      <c r="AQ280" s="31"/>
      <c r="AR280" s="31"/>
      <c r="AS280" s="31" t="s">
        <v>75</v>
      </c>
      <c r="AT280" s="31" t="s">
        <v>75</v>
      </c>
      <c r="AU280" s="31" t="s">
        <v>75</v>
      </c>
      <c r="AV280" s="31" t="s">
        <v>75</v>
      </c>
      <c r="AW280" s="31" t="s">
        <v>75</v>
      </c>
      <c r="AX280" s="31" t="s">
        <v>75</v>
      </c>
      <c r="AY280" s="31" t="s">
        <v>75</v>
      </c>
      <c r="AZ280" s="31" t="s">
        <v>75</v>
      </c>
      <c r="BA280" s="29">
        <v>10078539.300000001</v>
      </c>
      <c r="BB280" s="31" t="s">
        <v>75</v>
      </c>
      <c r="BC280" s="31" t="s">
        <v>75</v>
      </c>
      <c r="BD280" s="29">
        <v>1960094</v>
      </c>
      <c r="BE280" s="113">
        <v>0</v>
      </c>
      <c r="BF280" s="113">
        <v>0</v>
      </c>
      <c r="BG280" s="113">
        <v>0</v>
      </c>
      <c r="BH280" s="113">
        <v>0</v>
      </c>
      <c r="BI280" s="113">
        <v>0</v>
      </c>
      <c r="BJ280" s="113">
        <v>0</v>
      </c>
      <c r="BK280" s="113">
        <v>0</v>
      </c>
      <c r="BL280" s="113">
        <v>0</v>
      </c>
      <c r="BM280" s="113">
        <v>0</v>
      </c>
      <c r="BN280" s="113">
        <v>0</v>
      </c>
      <c r="BO280" s="113">
        <v>0</v>
      </c>
      <c r="BP280" s="113">
        <v>0</v>
      </c>
      <c r="BQ280" s="113">
        <v>0</v>
      </c>
      <c r="BR280" s="113">
        <v>0</v>
      </c>
      <c r="BS280" s="113">
        <v>0</v>
      </c>
      <c r="BT280" s="113">
        <v>0</v>
      </c>
      <c r="BU280" s="113">
        <v>0</v>
      </c>
      <c r="BV280" s="113">
        <v>0</v>
      </c>
      <c r="BW280" s="113"/>
      <c r="BX280" s="113"/>
      <c r="BY280" s="113"/>
      <c r="BZ280" s="113">
        <v>0</v>
      </c>
      <c r="CA280" s="113">
        <v>0</v>
      </c>
      <c r="CB280" s="113">
        <v>0</v>
      </c>
      <c r="CC280" s="113"/>
      <c r="CD280" s="113"/>
      <c r="CE280" s="113"/>
      <c r="CF280" s="113">
        <v>0</v>
      </c>
      <c r="CG280" s="113">
        <v>0</v>
      </c>
      <c r="CH280" s="113">
        <v>0</v>
      </c>
      <c r="CI280" s="113">
        <v>0</v>
      </c>
      <c r="CJ280" s="113">
        <v>0</v>
      </c>
      <c r="CK280" s="113">
        <v>0</v>
      </c>
      <c r="CL280" s="113">
        <v>0</v>
      </c>
      <c r="CM280" s="113">
        <v>0</v>
      </c>
      <c r="CN280" s="113">
        <v>0</v>
      </c>
      <c r="CO280" s="113">
        <v>0</v>
      </c>
      <c r="CP280" s="113">
        <v>0</v>
      </c>
      <c r="CQ280" s="113">
        <v>0</v>
      </c>
      <c r="CR280" s="113">
        <v>0</v>
      </c>
      <c r="CS280" s="113">
        <v>0</v>
      </c>
      <c r="CT280" s="113">
        <v>0</v>
      </c>
      <c r="CU280" s="113">
        <v>0</v>
      </c>
      <c r="CV280" s="113">
        <v>0</v>
      </c>
      <c r="CW280" s="113">
        <v>0</v>
      </c>
      <c r="CX280" s="113">
        <v>0</v>
      </c>
      <c r="CY280" s="113">
        <v>0</v>
      </c>
      <c r="CZ280" s="113">
        <v>0</v>
      </c>
      <c r="DA280" s="113">
        <v>0</v>
      </c>
      <c r="DB280" s="113">
        <v>0</v>
      </c>
      <c r="DC280" s="113">
        <v>0</v>
      </c>
      <c r="DD280" s="113">
        <v>0</v>
      </c>
      <c r="DE280" s="113">
        <v>0</v>
      </c>
      <c r="DF280" s="113">
        <v>0</v>
      </c>
      <c r="DG280" s="113">
        <v>0</v>
      </c>
      <c r="DH280" s="113">
        <v>0</v>
      </c>
      <c r="DI280" s="113">
        <v>0</v>
      </c>
      <c r="DJ280" s="113">
        <v>0</v>
      </c>
      <c r="DK280" s="113">
        <v>0</v>
      </c>
      <c r="DL280" s="113">
        <v>0</v>
      </c>
      <c r="DM280" s="113">
        <v>0</v>
      </c>
      <c r="DN280" s="113">
        <v>0</v>
      </c>
      <c r="DO280" s="113">
        <v>0</v>
      </c>
      <c r="DP280" s="113">
        <v>0</v>
      </c>
      <c r="DQ280" s="113">
        <v>0</v>
      </c>
      <c r="DR280" s="113">
        <v>0</v>
      </c>
      <c r="DS280" s="113">
        <v>0</v>
      </c>
      <c r="DT280" s="113">
        <v>0</v>
      </c>
      <c r="DU280" s="113">
        <v>0</v>
      </c>
      <c r="DV280" s="113">
        <v>0</v>
      </c>
      <c r="DW280" s="113">
        <v>0</v>
      </c>
      <c r="DX280" s="113">
        <v>0</v>
      </c>
      <c r="DY280" s="113">
        <v>0</v>
      </c>
      <c r="DZ280" s="113">
        <v>0</v>
      </c>
      <c r="EA280" s="113">
        <v>0</v>
      </c>
      <c r="EB280" s="113">
        <v>0</v>
      </c>
      <c r="EC280" s="113">
        <v>0</v>
      </c>
      <c r="ED280" s="113">
        <v>0</v>
      </c>
      <c r="EE280" s="113">
        <v>0</v>
      </c>
      <c r="EF280" s="113">
        <v>0</v>
      </c>
      <c r="EG280" s="113">
        <v>0</v>
      </c>
      <c r="EH280" s="113">
        <v>0</v>
      </c>
      <c r="EI280" s="113">
        <v>0</v>
      </c>
      <c r="EJ280" s="113">
        <v>0</v>
      </c>
      <c r="EK280" s="113">
        <v>0</v>
      </c>
      <c r="EL280" s="113">
        <v>0</v>
      </c>
      <c r="EM280" s="113">
        <v>0</v>
      </c>
      <c r="EN280" s="113">
        <v>0</v>
      </c>
      <c r="EO280" s="113">
        <v>0</v>
      </c>
      <c r="EP280" s="113">
        <v>0</v>
      </c>
      <c r="EQ280" s="113">
        <v>0</v>
      </c>
      <c r="ER280" s="113">
        <v>0</v>
      </c>
      <c r="ES280" s="113">
        <v>0</v>
      </c>
      <c r="ET280" s="113">
        <v>0</v>
      </c>
      <c r="EU280" s="113">
        <v>0</v>
      </c>
      <c r="EV280" s="113">
        <v>0</v>
      </c>
      <c r="EW280" s="113">
        <v>0</v>
      </c>
      <c r="EX280" s="113">
        <v>0</v>
      </c>
      <c r="EY280" s="113">
        <v>0</v>
      </c>
      <c r="EZ280" s="113">
        <v>0</v>
      </c>
      <c r="FA280" s="113">
        <v>0</v>
      </c>
      <c r="FB280" s="113">
        <v>0</v>
      </c>
      <c r="FC280" s="113">
        <v>0</v>
      </c>
      <c r="FD280" s="113">
        <v>0</v>
      </c>
      <c r="FE280" s="113">
        <v>0</v>
      </c>
      <c r="FF280" s="113">
        <v>0</v>
      </c>
      <c r="FG280" s="113">
        <v>0</v>
      </c>
      <c r="FH280" s="113">
        <v>0</v>
      </c>
      <c r="FI280" s="113">
        <v>0</v>
      </c>
      <c r="FJ280" s="113">
        <v>0</v>
      </c>
      <c r="FK280" s="113">
        <v>0</v>
      </c>
      <c r="FL280" s="113">
        <v>0</v>
      </c>
      <c r="FM280" s="113">
        <v>0</v>
      </c>
      <c r="FN280" s="113">
        <v>0</v>
      </c>
      <c r="FO280" s="113">
        <v>0</v>
      </c>
      <c r="FP280" s="113">
        <v>0</v>
      </c>
      <c r="FQ280" s="113">
        <v>0</v>
      </c>
      <c r="FR280" s="113">
        <v>0</v>
      </c>
      <c r="FS280" s="113">
        <v>0</v>
      </c>
      <c r="FT280" s="113">
        <v>0</v>
      </c>
      <c r="FU280" s="113">
        <v>0</v>
      </c>
      <c r="FV280" s="113">
        <v>0</v>
      </c>
      <c r="FW280" s="113">
        <v>0</v>
      </c>
      <c r="FX280" s="32">
        <v>0</v>
      </c>
      <c r="FY280" s="30">
        <v>0</v>
      </c>
      <c r="FZ280" s="30">
        <v>0</v>
      </c>
    </row>
    <row r="281" spans="1:182" x14ac:dyDescent="0.2">
      <c r="A281" s="28">
        <v>40118</v>
      </c>
      <c r="B281" s="28"/>
      <c r="C281" s="29">
        <v>334270</v>
      </c>
      <c r="D281" s="29">
        <v>353897</v>
      </c>
      <c r="E281" s="29">
        <f t="shared" si="8"/>
        <v>688167</v>
      </c>
      <c r="F281" s="30">
        <v>10500489</v>
      </c>
      <c r="G281" s="30">
        <v>266705</v>
      </c>
      <c r="H281" s="30">
        <f t="shared" si="9"/>
        <v>10767194</v>
      </c>
      <c r="I281" s="42" t="s">
        <v>75</v>
      </c>
      <c r="J281" s="42" t="s">
        <v>75</v>
      </c>
      <c r="K281" s="32">
        <v>10400826</v>
      </c>
      <c r="L281" s="31" t="s">
        <v>75</v>
      </c>
      <c r="M281" s="31" t="s">
        <v>75</v>
      </c>
      <c r="N281" s="30">
        <v>21440192</v>
      </c>
      <c r="O281" s="31" t="s">
        <v>75</v>
      </c>
      <c r="P281" s="31" t="s">
        <v>75</v>
      </c>
      <c r="Q281" s="30">
        <v>17855793.5</v>
      </c>
      <c r="R281" s="31" t="s">
        <v>75</v>
      </c>
      <c r="S281" s="31" t="s">
        <v>75</v>
      </c>
      <c r="T281" s="32">
        <v>114690</v>
      </c>
      <c r="U281" s="31" t="s">
        <v>75</v>
      </c>
      <c r="V281" s="31" t="s">
        <v>75</v>
      </c>
      <c r="W281" s="30">
        <v>0</v>
      </c>
      <c r="X281" s="31" t="s">
        <v>75</v>
      </c>
      <c r="Y281" s="31" t="s">
        <v>75</v>
      </c>
      <c r="Z281" s="30">
        <v>191359.07</v>
      </c>
      <c r="AA281" s="31" t="s">
        <v>75</v>
      </c>
      <c r="AB281" s="31" t="s">
        <v>75</v>
      </c>
      <c r="AC281" s="30">
        <v>88103.5</v>
      </c>
      <c r="AD281" s="31" t="s">
        <v>75</v>
      </c>
      <c r="AE281" s="31" t="s">
        <v>75</v>
      </c>
      <c r="AF281" s="30">
        <v>22516.26</v>
      </c>
      <c r="AG281" s="42" t="s">
        <v>75</v>
      </c>
      <c r="AH281" s="42" t="s">
        <v>75</v>
      </c>
      <c r="AI281" s="32">
        <v>59298.7</v>
      </c>
      <c r="AJ281" s="31" t="s">
        <v>75</v>
      </c>
      <c r="AK281" s="31" t="s">
        <v>75</v>
      </c>
      <c r="AL281" s="31" t="s">
        <v>75</v>
      </c>
      <c r="AM281" s="31"/>
      <c r="AN281" s="31"/>
      <c r="AO281" s="31"/>
      <c r="AP281" s="31"/>
      <c r="AQ281" s="31"/>
      <c r="AR281" s="31"/>
      <c r="AS281" s="31" t="s">
        <v>75</v>
      </c>
      <c r="AT281" s="31" t="s">
        <v>75</v>
      </c>
      <c r="AU281" s="31" t="s">
        <v>75</v>
      </c>
      <c r="AV281" s="31" t="s">
        <v>75</v>
      </c>
      <c r="AW281" s="31" t="s">
        <v>75</v>
      </c>
      <c r="AX281" s="31" t="s">
        <v>75</v>
      </c>
      <c r="AY281" s="31" t="s">
        <v>75</v>
      </c>
      <c r="AZ281" s="31" t="s">
        <v>75</v>
      </c>
      <c r="BA281" s="29">
        <v>10444169.314285714</v>
      </c>
      <c r="BB281" s="31" t="s">
        <v>75</v>
      </c>
      <c r="BC281" s="31" t="s">
        <v>75</v>
      </c>
      <c r="BD281" s="29">
        <v>1744067</v>
      </c>
      <c r="BE281" s="113">
        <v>0</v>
      </c>
      <c r="BF281" s="113">
        <v>0</v>
      </c>
      <c r="BG281" s="113">
        <v>0</v>
      </c>
      <c r="BH281" s="113">
        <v>0</v>
      </c>
      <c r="BI281" s="113">
        <v>0</v>
      </c>
      <c r="BJ281" s="113">
        <v>0</v>
      </c>
      <c r="BK281" s="113">
        <v>0</v>
      </c>
      <c r="BL281" s="113">
        <v>0</v>
      </c>
      <c r="BM281" s="113">
        <v>0</v>
      </c>
      <c r="BN281" s="113">
        <v>0</v>
      </c>
      <c r="BO281" s="113">
        <v>0</v>
      </c>
      <c r="BP281" s="113">
        <v>0</v>
      </c>
      <c r="BQ281" s="113">
        <v>0</v>
      </c>
      <c r="BR281" s="113">
        <v>0</v>
      </c>
      <c r="BS281" s="113">
        <v>0</v>
      </c>
      <c r="BT281" s="113">
        <v>0</v>
      </c>
      <c r="BU281" s="113">
        <v>0</v>
      </c>
      <c r="BV281" s="113">
        <v>0</v>
      </c>
      <c r="BW281" s="113"/>
      <c r="BX281" s="113"/>
      <c r="BY281" s="113"/>
      <c r="BZ281" s="113">
        <v>0</v>
      </c>
      <c r="CA281" s="113">
        <v>0</v>
      </c>
      <c r="CB281" s="113">
        <v>0</v>
      </c>
      <c r="CC281" s="113"/>
      <c r="CD281" s="113"/>
      <c r="CE281" s="113"/>
      <c r="CF281" s="113">
        <v>0</v>
      </c>
      <c r="CG281" s="113">
        <v>0</v>
      </c>
      <c r="CH281" s="113">
        <v>0</v>
      </c>
      <c r="CI281" s="113">
        <v>0</v>
      </c>
      <c r="CJ281" s="113">
        <v>0</v>
      </c>
      <c r="CK281" s="113">
        <v>0</v>
      </c>
      <c r="CL281" s="113">
        <v>0</v>
      </c>
      <c r="CM281" s="113">
        <v>0</v>
      </c>
      <c r="CN281" s="113">
        <v>0</v>
      </c>
      <c r="CO281" s="113">
        <v>0</v>
      </c>
      <c r="CP281" s="113">
        <v>0</v>
      </c>
      <c r="CQ281" s="113">
        <v>0</v>
      </c>
      <c r="CR281" s="113">
        <v>0</v>
      </c>
      <c r="CS281" s="113">
        <v>0</v>
      </c>
      <c r="CT281" s="113">
        <v>0</v>
      </c>
      <c r="CU281" s="113">
        <v>0</v>
      </c>
      <c r="CV281" s="113">
        <v>0</v>
      </c>
      <c r="CW281" s="113">
        <v>0</v>
      </c>
      <c r="CX281" s="113">
        <v>0</v>
      </c>
      <c r="CY281" s="113">
        <v>0</v>
      </c>
      <c r="CZ281" s="113">
        <v>0</v>
      </c>
      <c r="DA281" s="113">
        <v>0</v>
      </c>
      <c r="DB281" s="113">
        <v>0</v>
      </c>
      <c r="DC281" s="113">
        <v>0</v>
      </c>
      <c r="DD281" s="113">
        <v>0</v>
      </c>
      <c r="DE281" s="113">
        <v>0</v>
      </c>
      <c r="DF281" s="113">
        <v>0</v>
      </c>
      <c r="DG281" s="113">
        <v>0</v>
      </c>
      <c r="DH281" s="113">
        <v>0</v>
      </c>
      <c r="DI281" s="113">
        <v>0</v>
      </c>
      <c r="DJ281" s="113">
        <v>0</v>
      </c>
      <c r="DK281" s="113">
        <v>0</v>
      </c>
      <c r="DL281" s="113">
        <v>0</v>
      </c>
      <c r="DM281" s="113">
        <v>0</v>
      </c>
      <c r="DN281" s="113">
        <v>0</v>
      </c>
      <c r="DO281" s="113">
        <v>0</v>
      </c>
      <c r="DP281" s="113">
        <v>0</v>
      </c>
      <c r="DQ281" s="113">
        <v>0</v>
      </c>
      <c r="DR281" s="113">
        <v>0</v>
      </c>
      <c r="DS281" s="113">
        <v>0</v>
      </c>
      <c r="DT281" s="113">
        <v>0</v>
      </c>
      <c r="DU281" s="113">
        <v>0</v>
      </c>
      <c r="DV281" s="113">
        <v>0</v>
      </c>
      <c r="DW281" s="113">
        <v>0</v>
      </c>
      <c r="DX281" s="113">
        <v>0</v>
      </c>
      <c r="DY281" s="113">
        <v>0</v>
      </c>
      <c r="DZ281" s="113">
        <v>0</v>
      </c>
      <c r="EA281" s="113">
        <v>0</v>
      </c>
      <c r="EB281" s="113">
        <v>0</v>
      </c>
      <c r="EC281" s="113">
        <v>0</v>
      </c>
      <c r="ED281" s="113">
        <v>0</v>
      </c>
      <c r="EE281" s="113">
        <v>0</v>
      </c>
      <c r="EF281" s="113">
        <v>0</v>
      </c>
      <c r="EG281" s="113">
        <v>0</v>
      </c>
      <c r="EH281" s="113">
        <v>0</v>
      </c>
      <c r="EI281" s="113">
        <v>0</v>
      </c>
      <c r="EJ281" s="113">
        <v>0</v>
      </c>
      <c r="EK281" s="113">
        <v>0</v>
      </c>
      <c r="EL281" s="113">
        <v>0</v>
      </c>
      <c r="EM281" s="113">
        <v>0</v>
      </c>
      <c r="EN281" s="113">
        <v>0</v>
      </c>
      <c r="EO281" s="113">
        <v>0</v>
      </c>
      <c r="EP281" s="113">
        <v>0</v>
      </c>
      <c r="EQ281" s="113">
        <v>0</v>
      </c>
      <c r="ER281" s="113">
        <v>0</v>
      </c>
      <c r="ES281" s="113">
        <v>0</v>
      </c>
      <c r="ET281" s="113">
        <v>0</v>
      </c>
      <c r="EU281" s="113">
        <v>0</v>
      </c>
      <c r="EV281" s="113">
        <v>0</v>
      </c>
      <c r="EW281" s="113">
        <v>0</v>
      </c>
      <c r="EX281" s="113">
        <v>0</v>
      </c>
      <c r="EY281" s="113">
        <v>0</v>
      </c>
      <c r="EZ281" s="113">
        <v>0</v>
      </c>
      <c r="FA281" s="113">
        <v>0</v>
      </c>
      <c r="FB281" s="113">
        <v>0</v>
      </c>
      <c r="FC281" s="113">
        <v>0</v>
      </c>
      <c r="FD281" s="113">
        <v>0</v>
      </c>
      <c r="FE281" s="113">
        <v>0</v>
      </c>
      <c r="FF281" s="113">
        <v>0</v>
      </c>
      <c r="FG281" s="113">
        <v>0</v>
      </c>
      <c r="FH281" s="113">
        <v>0</v>
      </c>
      <c r="FI281" s="113">
        <v>0</v>
      </c>
      <c r="FJ281" s="113">
        <v>0</v>
      </c>
      <c r="FK281" s="113">
        <v>0</v>
      </c>
      <c r="FL281" s="113">
        <v>0</v>
      </c>
      <c r="FM281" s="113">
        <v>0</v>
      </c>
      <c r="FN281" s="113">
        <v>0</v>
      </c>
      <c r="FO281" s="113">
        <v>0</v>
      </c>
      <c r="FP281" s="113">
        <v>0</v>
      </c>
      <c r="FQ281" s="113">
        <v>0</v>
      </c>
      <c r="FR281" s="113">
        <v>0</v>
      </c>
      <c r="FS281" s="113">
        <v>0</v>
      </c>
      <c r="FT281" s="113">
        <v>0</v>
      </c>
      <c r="FU281" s="113">
        <v>0</v>
      </c>
      <c r="FV281" s="113">
        <v>0</v>
      </c>
      <c r="FW281" s="113">
        <v>0</v>
      </c>
      <c r="FX281" s="32">
        <v>0</v>
      </c>
      <c r="FY281" s="30">
        <v>0</v>
      </c>
      <c r="FZ281" s="30">
        <v>0</v>
      </c>
    </row>
    <row r="282" spans="1:182" x14ac:dyDescent="0.2">
      <c r="A282" s="28">
        <v>40148</v>
      </c>
      <c r="B282" s="28"/>
      <c r="C282" s="29">
        <v>313640</v>
      </c>
      <c r="D282" s="29">
        <v>486949.95</v>
      </c>
      <c r="E282" s="29">
        <f t="shared" si="8"/>
        <v>800589.95</v>
      </c>
      <c r="F282" s="30">
        <v>12587187</v>
      </c>
      <c r="G282" s="30">
        <v>520146</v>
      </c>
      <c r="H282" s="30">
        <f t="shared" si="9"/>
        <v>13107333</v>
      </c>
      <c r="I282" s="42" t="s">
        <v>75</v>
      </c>
      <c r="J282" s="42" t="s">
        <v>75</v>
      </c>
      <c r="K282" s="32">
        <v>14106201.23076923</v>
      </c>
      <c r="L282" s="31" t="s">
        <v>75</v>
      </c>
      <c r="M282" s="31" t="s">
        <v>75</v>
      </c>
      <c r="N282" s="30">
        <v>29070205.5</v>
      </c>
      <c r="O282" s="31" t="s">
        <v>75</v>
      </c>
      <c r="P282" s="31" t="s">
        <v>75</v>
      </c>
      <c r="Q282" s="30">
        <v>19117125</v>
      </c>
      <c r="R282" s="31" t="s">
        <v>75</v>
      </c>
      <c r="S282" s="31" t="s">
        <v>75</v>
      </c>
      <c r="T282" s="32">
        <v>130008</v>
      </c>
      <c r="U282" s="31" t="s">
        <v>75</v>
      </c>
      <c r="V282" s="31" t="s">
        <v>75</v>
      </c>
      <c r="W282" s="30">
        <v>0</v>
      </c>
      <c r="X282" s="31" t="s">
        <v>75</v>
      </c>
      <c r="Y282" s="31" t="s">
        <v>75</v>
      </c>
      <c r="Z282" s="30">
        <v>230191.09</v>
      </c>
      <c r="AA282" s="31" t="s">
        <v>75</v>
      </c>
      <c r="AB282" s="31" t="s">
        <v>75</v>
      </c>
      <c r="AC282" s="30">
        <v>184441.2</v>
      </c>
      <c r="AD282" s="31" t="s">
        <v>75</v>
      </c>
      <c r="AE282" s="31" t="s">
        <v>75</v>
      </c>
      <c r="AF282" s="30">
        <v>85045.75</v>
      </c>
      <c r="AG282" s="42" t="s">
        <v>75</v>
      </c>
      <c r="AH282" s="42" t="s">
        <v>75</v>
      </c>
      <c r="AI282" s="32">
        <v>47974.73</v>
      </c>
      <c r="AJ282" s="31" t="s">
        <v>75</v>
      </c>
      <c r="AK282" s="31" t="s">
        <v>75</v>
      </c>
      <c r="AL282" s="31" t="s">
        <v>75</v>
      </c>
      <c r="AM282" s="31"/>
      <c r="AN282" s="31"/>
      <c r="AO282" s="31"/>
      <c r="AP282" s="31"/>
      <c r="AQ282" s="31"/>
      <c r="AR282" s="31"/>
      <c r="AS282" s="31" t="s">
        <v>75</v>
      </c>
      <c r="AT282" s="31" t="s">
        <v>75</v>
      </c>
      <c r="AU282" s="31" t="s">
        <v>75</v>
      </c>
      <c r="AV282" s="31" t="s">
        <v>75</v>
      </c>
      <c r="AW282" s="31" t="s">
        <v>75</v>
      </c>
      <c r="AX282" s="31" t="s">
        <v>75</v>
      </c>
      <c r="AY282" s="33" t="s">
        <v>75</v>
      </c>
      <c r="AZ282" s="34" t="s">
        <v>75</v>
      </c>
      <c r="BA282" s="29">
        <v>13371272</v>
      </c>
      <c r="BB282" s="31" t="s">
        <v>75</v>
      </c>
      <c r="BC282" s="31" t="s">
        <v>75</v>
      </c>
      <c r="BD282" s="29">
        <v>2343550</v>
      </c>
      <c r="BE282" s="113">
        <v>0</v>
      </c>
      <c r="BF282" s="113">
        <v>0</v>
      </c>
      <c r="BG282" s="113">
        <v>0</v>
      </c>
      <c r="BH282" s="113">
        <v>0</v>
      </c>
      <c r="BI282" s="113">
        <v>0</v>
      </c>
      <c r="BJ282" s="113">
        <v>0</v>
      </c>
      <c r="BK282" s="113">
        <v>0</v>
      </c>
      <c r="BL282" s="113">
        <v>0</v>
      </c>
      <c r="BM282" s="113">
        <v>0</v>
      </c>
      <c r="BN282" s="113">
        <v>0</v>
      </c>
      <c r="BO282" s="113">
        <v>0</v>
      </c>
      <c r="BP282" s="113">
        <v>0</v>
      </c>
      <c r="BQ282" s="113">
        <v>0</v>
      </c>
      <c r="BR282" s="113">
        <v>0</v>
      </c>
      <c r="BS282" s="113">
        <v>0</v>
      </c>
      <c r="BT282" s="113">
        <v>0</v>
      </c>
      <c r="BU282" s="113">
        <v>0</v>
      </c>
      <c r="BV282" s="113">
        <v>0</v>
      </c>
      <c r="BW282" s="113"/>
      <c r="BX282" s="113"/>
      <c r="BY282" s="113"/>
      <c r="BZ282" s="113">
        <v>0</v>
      </c>
      <c r="CA282" s="113">
        <v>0</v>
      </c>
      <c r="CB282" s="113">
        <v>0</v>
      </c>
      <c r="CC282" s="113"/>
      <c r="CD282" s="113"/>
      <c r="CE282" s="113"/>
      <c r="CF282" s="113">
        <v>0</v>
      </c>
      <c r="CG282" s="113">
        <v>0</v>
      </c>
      <c r="CH282" s="113">
        <v>0</v>
      </c>
      <c r="CI282" s="113">
        <v>0</v>
      </c>
      <c r="CJ282" s="113">
        <v>0</v>
      </c>
      <c r="CK282" s="113">
        <v>0</v>
      </c>
      <c r="CL282" s="113">
        <v>0</v>
      </c>
      <c r="CM282" s="113">
        <v>0</v>
      </c>
      <c r="CN282" s="113">
        <v>0</v>
      </c>
      <c r="CO282" s="113">
        <v>0</v>
      </c>
      <c r="CP282" s="113">
        <v>0</v>
      </c>
      <c r="CQ282" s="113">
        <v>0</v>
      </c>
      <c r="CR282" s="113">
        <v>0</v>
      </c>
      <c r="CS282" s="113">
        <v>0</v>
      </c>
      <c r="CT282" s="113">
        <v>0</v>
      </c>
      <c r="CU282" s="113">
        <v>0</v>
      </c>
      <c r="CV282" s="113">
        <v>0</v>
      </c>
      <c r="CW282" s="113">
        <v>0</v>
      </c>
      <c r="CX282" s="113">
        <v>0</v>
      </c>
      <c r="CY282" s="113">
        <v>0</v>
      </c>
      <c r="CZ282" s="113">
        <v>0</v>
      </c>
      <c r="DA282" s="113">
        <v>0</v>
      </c>
      <c r="DB282" s="113">
        <v>0</v>
      </c>
      <c r="DC282" s="113">
        <v>0</v>
      </c>
      <c r="DD282" s="113">
        <v>0</v>
      </c>
      <c r="DE282" s="113">
        <v>0</v>
      </c>
      <c r="DF282" s="113">
        <v>0</v>
      </c>
      <c r="DG282" s="113">
        <v>0</v>
      </c>
      <c r="DH282" s="113">
        <v>0</v>
      </c>
      <c r="DI282" s="113">
        <v>0</v>
      </c>
      <c r="DJ282" s="113">
        <v>0</v>
      </c>
      <c r="DK282" s="113">
        <v>0</v>
      </c>
      <c r="DL282" s="113">
        <v>0</v>
      </c>
      <c r="DM282" s="113">
        <v>0</v>
      </c>
      <c r="DN282" s="113">
        <v>0</v>
      </c>
      <c r="DO282" s="113">
        <v>0</v>
      </c>
      <c r="DP282" s="113">
        <v>0</v>
      </c>
      <c r="DQ282" s="113">
        <v>0</v>
      </c>
      <c r="DR282" s="113">
        <v>0</v>
      </c>
      <c r="DS282" s="113">
        <v>0</v>
      </c>
      <c r="DT282" s="113">
        <v>0</v>
      </c>
      <c r="DU282" s="113">
        <v>0</v>
      </c>
      <c r="DV282" s="113">
        <v>0</v>
      </c>
      <c r="DW282" s="113">
        <v>0</v>
      </c>
      <c r="DX282" s="113">
        <v>0</v>
      </c>
      <c r="DY282" s="113">
        <v>0</v>
      </c>
      <c r="DZ282" s="113">
        <v>0</v>
      </c>
      <c r="EA282" s="113">
        <v>0</v>
      </c>
      <c r="EB282" s="113">
        <v>0</v>
      </c>
      <c r="EC282" s="113">
        <v>0</v>
      </c>
      <c r="ED282" s="113">
        <v>0</v>
      </c>
      <c r="EE282" s="113">
        <v>0</v>
      </c>
      <c r="EF282" s="113">
        <v>0</v>
      </c>
      <c r="EG282" s="113">
        <v>0</v>
      </c>
      <c r="EH282" s="113">
        <v>0</v>
      </c>
      <c r="EI282" s="113">
        <v>0</v>
      </c>
      <c r="EJ282" s="113">
        <v>0</v>
      </c>
      <c r="EK282" s="113">
        <v>0</v>
      </c>
      <c r="EL282" s="113">
        <v>0</v>
      </c>
      <c r="EM282" s="113">
        <v>0</v>
      </c>
      <c r="EN282" s="113">
        <v>0</v>
      </c>
      <c r="EO282" s="113">
        <v>0</v>
      </c>
      <c r="EP282" s="113">
        <v>0</v>
      </c>
      <c r="EQ282" s="113">
        <v>0</v>
      </c>
      <c r="ER282" s="113">
        <v>0</v>
      </c>
      <c r="ES282" s="113">
        <v>0</v>
      </c>
      <c r="ET282" s="113">
        <v>0</v>
      </c>
      <c r="EU282" s="113">
        <v>0</v>
      </c>
      <c r="EV282" s="113">
        <v>0</v>
      </c>
      <c r="EW282" s="113">
        <v>0</v>
      </c>
      <c r="EX282" s="113">
        <v>0</v>
      </c>
      <c r="EY282" s="113">
        <v>0</v>
      </c>
      <c r="EZ282" s="113">
        <v>0</v>
      </c>
      <c r="FA282" s="113">
        <v>0</v>
      </c>
      <c r="FB282" s="113">
        <v>0</v>
      </c>
      <c r="FC282" s="113">
        <v>0</v>
      </c>
      <c r="FD282" s="113">
        <v>0</v>
      </c>
      <c r="FE282" s="113">
        <v>0</v>
      </c>
      <c r="FF282" s="113">
        <v>0</v>
      </c>
      <c r="FG282" s="113">
        <v>0</v>
      </c>
      <c r="FH282" s="113">
        <v>0</v>
      </c>
      <c r="FI282" s="113">
        <v>0</v>
      </c>
      <c r="FJ282" s="113">
        <v>0</v>
      </c>
      <c r="FK282" s="113">
        <v>0</v>
      </c>
      <c r="FL282" s="113">
        <v>0</v>
      </c>
      <c r="FM282" s="113">
        <v>0</v>
      </c>
      <c r="FN282" s="113">
        <v>0</v>
      </c>
      <c r="FO282" s="113">
        <v>0</v>
      </c>
      <c r="FP282" s="113">
        <v>0</v>
      </c>
      <c r="FQ282" s="113">
        <v>0</v>
      </c>
      <c r="FR282" s="113">
        <v>0</v>
      </c>
      <c r="FS282" s="113">
        <v>0</v>
      </c>
      <c r="FT282" s="113">
        <v>0</v>
      </c>
      <c r="FU282" s="113">
        <v>0</v>
      </c>
      <c r="FV282" s="113">
        <v>0</v>
      </c>
      <c r="FW282" s="113">
        <v>0</v>
      </c>
      <c r="FX282" s="32">
        <v>0</v>
      </c>
      <c r="FY282" s="30">
        <v>0</v>
      </c>
      <c r="FZ282" s="30">
        <v>0</v>
      </c>
    </row>
    <row r="283" spans="1:182" x14ac:dyDescent="0.2">
      <c r="A283" s="28">
        <v>40179</v>
      </c>
      <c r="B283" s="28"/>
      <c r="C283" s="29">
        <v>118989.12</v>
      </c>
      <c r="D283" s="29">
        <v>172669.57</v>
      </c>
      <c r="E283" s="29">
        <f t="shared" si="8"/>
        <v>291658.69</v>
      </c>
      <c r="F283" s="30">
        <v>9672355.6400000006</v>
      </c>
      <c r="G283" s="30">
        <v>430477.22</v>
      </c>
      <c r="H283" s="30">
        <f t="shared" si="9"/>
        <v>10102832.860000001</v>
      </c>
      <c r="I283" s="42" t="s">
        <v>75</v>
      </c>
      <c r="J283" s="42" t="s">
        <v>75</v>
      </c>
      <c r="K283" s="32">
        <v>11141320.199999999</v>
      </c>
      <c r="L283" s="31" t="s">
        <v>75</v>
      </c>
      <c r="M283" s="31" t="s">
        <v>75</v>
      </c>
      <c r="N283" s="30">
        <v>25549585.399999999</v>
      </c>
      <c r="O283" s="31" t="s">
        <v>75</v>
      </c>
      <c r="P283" s="31" t="s">
        <v>75</v>
      </c>
      <c r="Q283" s="30">
        <v>21518366.91</v>
      </c>
      <c r="R283" s="31" t="s">
        <v>75</v>
      </c>
      <c r="S283" s="31" t="s">
        <v>75</v>
      </c>
      <c r="T283" s="32">
        <v>106742.98000000001</v>
      </c>
      <c r="U283" s="17">
        <v>2102.62</v>
      </c>
      <c r="V283" s="17">
        <v>3635.7000000000003</v>
      </c>
      <c r="W283" s="30">
        <f>+U283+V283</f>
        <v>5738.32</v>
      </c>
      <c r="X283" s="17">
        <v>54832.240000000005</v>
      </c>
      <c r="Y283" s="17">
        <v>8536.08</v>
      </c>
      <c r="Z283" s="30">
        <f>+Y283+X283</f>
        <v>63368.320000000007</v>
      </c>
      <c r="AA283" s="17">
        <v>94506.39</v>
      </c>
      <c r="AB283" s="17">
        <v>9846.59</v>
      </c>
      <c r="AC283" s="30">
        <f>+AB283+AA283</f>
        <v>104352.98</v>
      </c>
      <c r="AD283" s="17">
        <v>9515.51</v>
      </c>
      <c r="AE283" s="17">
        <v>28938.170000000002</v>
      </c>
      <c r="AF283" s="30">
        <f>+AE283+AD283</f>
        <v>38453.68</v>
      </c>
      <c r="AG283" s="32">
        <v>28012.79</v>
      </c>
      <c r="AH283" s="32">
        <v>52594.579999999994</v>
      </c>
      <c r="AI283" s="32">
        <f>+AH283+AG283</f>
        <v>80607.37</v>
      </c>
      <c r="AJ283" s="31" t="s">
        <v>75</v>
      </c>
      <c r="AK283" s="31" t="s">
        <v>75</v>
      </c>
      <c r="AL283" s="30">
        <v>64685</v>
      </c>
      <c r="AM283" s="30"/>
      <c r="AN283" s="30"/>
      <c r="AO283" s="30"/>
      <c r="AP283" s="30"/>
      <c r="AQ283" s="30"/>
      <c r="AR283" s="30"/>
      <c r="AS283" s="31" t="s">
        <v>75</v>
      </c>
      <c r="AT283" s="31" t="s">
        <v>75</v>
      </c>
      <c r="AU283" s="35">
        <v>1282730.02</v>
      </c>
      <c r="AV283" s="31" t="s">
        <v>75</v>
      </c>
      <c r="AW283" s="31" t="s">
        <v>75</v>
      </c>
      <c r="AX283" s="35">
        <v>23433.45</v>
      </c>
      <c r="AY283" s="30">
        <v>9192914.5</v>
      </c>
      <c r="AZ283" s="32">
        <v>233138.5</v>
      </c>
      <c r="BA283" s="29">
        <f t="shared" ref="BA283:BA314" si="10">+AZ283+AY283</f>
        <v>9426053</v>
      </c>
      <c r="BB283" s="31" t="s">
        <v>75</v>
      </c>
      <c r="BC283" s="31" t="s">
        <v>75</v>
      </c>
      <c r="BD283" s="29">
        <f>1384336+30960+707</f>
        <v>1416003</v>
      </c>
      <c r="BE283" s="113">
        <v>0</v>
      </c>
      <c r="BF283" s="113">
        <v>0</v>
      </c>
      <c r="BG283" s="113">
        <v>0</v>
      </c>
      <c r="BH283" s="113">
        <v>0</v>
      </c>
      <c r="BI283" s="113">
        <v>0</v>
      </c>
      <c r="BJ283" s="113">
        <v>0</v>
      </c>
      <c r="BK283" s="113">
        <v>0</v>
      </c>
      <c r="BL283" s="113">
        <v>0</v>
      </c>
      <c r="BM283" s="113">
        <v>0</v>
      </c>
      <c r="BN283" s="113">
        <v>0</v>
      </c>
      <c r="BO283" s="113">
        <v>0</v>
      </c>
      <c r="BP283" s="113">
        <v>0</v>
      </c>
      <c r="BQ283" s="113">
        <v>0</v>
      </c>
      <c r="BR283" s="113">
        <v>0</v>
      </c>
      <c r="BS283" s="113">
        <v>0</v>
      </c>
      <c r="BT283" s="113">
        <v>0</v>
      </c>
      <c r="BU283" s="113">
        <v>0</v>
      </c>
      <c r="BV283" s="113">
        <v>0</v>
      </c>
      <c r="BW283" s="113"/>
      <c r="BX283" s="113"/>
      <c r="BY283" s="113"/>
      <c r="BZ283" s="113">
        <v>0</v>
      </c>
      <c r="CA283" s="113">
        <v>0</v>
      </c>
      <c r="CB283" s="113">
        <v>0</v>
      </c>
      <c r="CC283" s="113"/>
      <c r="CD283" s="113"/>
      <c r="CE283" s="113"/>
      <c r="CF283" s="113">
        <v>0</v>
      </c>
      <c r="CG283" s="113">
        <v>0</v>
      </c>
      <c r="CH283" s="113">
        <v>0</v>
      </c>
      <c r="CI283" s="113">
        <v>0</v>
      </c>
      <c r="CJ283" s="113">
        <v>0</v>
      </c>
      <c r="CK283" s="113">
        <v>0</v>
      </c>
      <c r="CL283" s="113">
        <v>0</v>
      </c>
      <c r="CM283" s="113">
        <v>0</v>
      </c>
      <c r="CN283" s="113">
        <v>0</v>
      </c>
      <c r="CO283" s="113">
        <v>0</v>
      </c>
      <c r="CP283" s="113">
        <v>0</v>
      </c>
      <c r="CQ283" s="113">
        <v>0</v>
      </c>
      <c r="CR283" s="113">
        <v>0</v>
      </c>
      <c r="CS283" s="113">
        <v>0</v>
      </c>
      <c r="CT283" s="113">
        <v>0</v>
      </c>
      <c r="CU283" s="113">
        <v>0</v>
      </c>
      <c r="CV283" s="113">
        <v>0</v>
      </c>
      <c r="CW283" s="113">
        <v>0</v>
      </c>
      <c r="CX283" s="113">
        <v>0</v>
      </c>
      <c r="CY283" s="113">
        <v>0</v>
      </c>
      <c r="CZ283" s="113">
        <v>0</v>
      </c>
      <c r="DA283" s="113">
        <v>0</v>
      </c>
      <c r="DB283" s="113">
        <v>0</v>
      </c>
      <c r="DC283" s="113">
        <v>0</v>
      </c>
      <c r="DD283" s="113">
        <v>0</v>
      </c>
      <c r="DE283" s="113">
        <v>0</v>
      </c>
      <c r="DF283" s="113">
        <v>0</v>
      </c>
      <c r="DG283" s="113">
        <v>0</v>
      </c>
      <c r="DH283" s="113">
        <v>0</v>
      </c>
      <c r="DI283" s="113">
        <v>0</v>
      </c>
      <c r="DJ283" s="113">
        <v>0</v>
      </c>
      <c r="DK283" s="113">
        <v>0</v>
      </c>
      <c r="DL283" s="113">
        <v>0</v>
      </c>
      <c r="DM283" s="113">
        <v>0</v>
      </c>
      <c r="DN283" s="113">
        <v>0</v>
      </c>
      <c r="DO283" s="113">
        <v>0</v>
      </c>
      <c r="DP283" s="113">
        <v>0</v>
      </c>
      <c r="DQ283" s="113">
        <v>0</v>
      </c>
      <c r="DR283" s="113">
        <v>0</v>
      </c>
      <c r="DS283" s="113">
        <v>0</v>
      </c>
      <c r="DT283" s="113">
        <v>0</v>
      </c>
      <c r="DU283" s="113">
        <v>0</v>
      </c>
      <c r="DV283" s="113">
        <v>0</v>
      </c>
      <c r="DW283" s="113">
        <v>0</v>
      </c>
      <c r="DX283" s="113">
        <v>0</v>
      </c>
      <c r="DY283" s="113">
        <v>0</v>
      </c>
      <c r="DZ283" s="113">
        <v>0</v>
      </c>
      <c r="EA283" s="113">
        <v>0</v>
      </c>
      <c r="EB283" s="113">
        <v>0</v>
      </c>
      <c r="EC283" s="113">
        <v>0</v>
      </c>
      <c r="ED283" s="113">
        <v>0</v>
      </c>
      <c r="EE283" s="113">
        <v>0</v>
      </c>
      <c r="EF283" s="113">
        <v>0</v>
      </c>
      <c r="EG283" s="113">
        <v>0</v>
      </c>
      <c r="EH283" s="113">
        <v>0</v>
      </c>
      <c r="EI283" s="113">
        <v>0</v>
      </c>
      <c r="EJ283" s="113">
        <v>0</v>
      </c>
      <c r="EK283" s="113">
        <v>0</v>
      </c>
      <c r="EL283" s="113">
        <v>0</v>
      </c>
      <c r="EM283" s="113">
        <v>0</v>
      </c>
      <c r="EN283" s="113">
        <v>0</v>
      </c>
      <c r="EO283" s="113">
        <v>0</v>
      </c>
      <c r="EP283" s="113">
        <v>0</v>
      </c>
      <c r="EQ283" s="113">
        <v>0</v>
      </c>
      <c r="ER283" s="113">
        <v>0</v>
      </c>
      <c r="ES283" s="113">
        <v>0</v>
      </c>
      <c r="ET283" s="113">
        <v>0</v>
      </c>
      <c r="EU283" s="113">
        <v>0</v>
      </c>
      <c r="EV283" s="113">
        <v>0</v>
      </c>
      <c r="EW283" s="113">
        <v>0</v>
      </c>
      <c r="EX283" s="113">
        <v>0</v>
      </c>
      <c r="EY283" s="113">
        <v>0</v>
      </c>
      <c r="EZ283" s="113">
        <v>0</v>
      </c>
      <c r="FA283" s="113">
        <v>0</v>
      </c>
      <c r="FB283" s="113">
        <v>0</v>
      </c>
      <c r="FC283" s="113">
        <v>0</v>
      </c>
      <c r="FD283" s="113">
        <v>0</v>
      </c>
      <c r="FE283" s="113">
        <v>0</v>
      </c>
      <c r="FF283" s="113">
        <v>0</v>
      </c>
      <c r="FG283" s="113">
        <v>0</v>
      </c>
      <c r="FH283" s="113">
        <v>0</v>
      </c>
      <c r="FI283" s="113">
        <v>0</v>
      </c>
      <c r="FJ283" s="113">
        <v>0</v>
      </c>
      <c r="FK283" s="113">
        <v>0</v>
      </c>
      <c r="FL283" s="113">
        <v>0</v>
      </c>
      <c r="FM283" s="113">
        <v>0</v>
      </c>
      <c r="FN283" s="113">
        <v>0</v>
      </c>
      <c r="FO283" s="113">
        <v>0</v>
      </c>
      <c r="FP283" s="113">
        <v>0</v>
      </c>
      <c r="FQ283" s="113">
        <v>0</v>
      </c>
      <c r="FR283" s="113">
        <v>0</v>
      </c>
      <c r="FS283" s="113">
        <v>0</v>
      </c>
      <c r="FT283" s="113">
        <v>0</v>
      </c>
      <c r="FU283" s="113">
        <v>0</v>
      </c>
      <c r="FV283" s="113">
        <v>0</v>
      </c>
      <c r="FW283" s="113">
        <v>0</v>
      </c>
      <c r="FX283" s="32">
        <v>0</v>
      </c>
      <c r="FY283" s="30">
        <v>0</v>
      </c>
      <c r="FZ283" s="30">
        <v>0</v>
      </c>
    </row>
    <row r="284" spans="1:182" x14ac:dyDescent="0.2">
      <c r="A284" s="28">
        <v>40210</v>
      </c>
      <c r="B284" s="28"/>
      <c r="C284" s="29">
        <v>193543.19</v>
      </c>
      <c r="D284" s="29">
        <v>141407.32000000004</v>
      </c>
      <c r="E284" s="29">
        <f t="shared" si="8"/>
        <v>334950.51</v>
      </c>
      <c r="F284" s="30">
        <v>8695686.8000000007</v>
      </c>
      <c r="G284" s="30">
        <v>305164.33999999997</v>
      </c>
      <c r="H284" s="30">
        <f t="shared" si="9"/>
        <v>9000851.1400000006</v>
      </c>
      <c r="I284" s="42" t="s">
        <v>75</v>
      </c>
      <c r="J284" s="42" t="s">
        <v>75</v>
      </c>
      <c r="K284" s="32">
        <v>11287158.68</v>
      </c>
      <c r="L284" s="31" t="s">
        <v>75</v>
      </c>
      <c r="M284" s="31" t="s">
        <v>75</v>
      </c>
      <c r="N284" s="30">
        <v>24642008.91</v>
      </c>
      <c r="O284" s="31" t="s">
        <v>75</v>
      </c>
      <c r="P284" s="31" t="s">
        <v>75</v>
      </c>
      <c r="Q284" s="30">
        <v>19831435.91</v>
      </c>
      <c r="R284" s="31" t="s">
        <v>75</v>
      </c>
      <c r="S284" s="31" t="s">
        <v>75</v>
      </c>
      <c r="T284" s="32">
        <v>127286</v>
      </c>
      <c r="U284" s="17">
        <v>3023.5</v>
      </c>
      <c r="V284" s="17">
        <v>1235.6500000000001</v>
      </c>
      <c r="W284" s="30">
        <f t="shared" ref="W284:W330" si="11">+U284+V284</f>
        <v>4259.1499999999996</v>
      </c>
      <c r="X284" s="17">
        <v>43313.83</v>
      </c>
      <c r="Y284" s="17">
        <v>9766.5300000000007</v>
      </c>
      <c r="Z284" s="30">
        <f t="shared" ref="Z284:Z330" si="12">+Y284+X284</f>
        <v>53080.36</v>
      </c>
      <c r="AA284" s="17">
        <v>104027.64</v>
      </c>
      <c r="AB284" s="17">
        <v>6583.93</v>
      </c>
      <c r="AC284" s="30">
        <f t="shared" ref="AC284:AC330" si="13">+AB284+AA284</f>
        <v>110611.57</v>
      </c>
      <c r="AD284" s="17">
        <v>4697.75</v>
      </c>
      <c r="AE284" s="17">
        <v>16970.57</v>
      </c>
      <c r="AF284" s="30">
        <f t="shared" ref="AF284:AF330" si="14">+AE284+AD284</f>
        <v>21668.32</v>
      </c>
      <c r="AG284" s="32">
        <v>20588.47</v>
      </c>
      <c r="AH284" s="32">
        <v>23434.940000000002</v>
      </c>
      <c r="AI284" s="32">
        <f t="shared" ref="AI284:AI329" si="15">+AH284+AG284</f>
        <v>44023.41</v>
      </c>
      <c r="AJ284" s="31" t="s">
        <v>75</v>
      </c>
      <c r="AK284" s="31" t="s">
        <v>75</v>
      </c>
      <c r="AL284" s="30">
        <v>47531.25</v>
      </c>
      <c r="AM284" s="30"/>
      <c r="AN284" s="30"/>
      <c r="AO284" s="30"/>
      <c r="AP284" s="30"/>
      <c r="AQ284" s="30"/>
      <c r="AR284" s="30"/>
      <c r="AS284" s="31" t="s">
        <v>75</v>
      </c>
      <c r="AT284" s="31" t="s">
        <v>75</v>
      </c>
      <c r="AU284" s="35">
        <v>1318046.8500000001</v>
      </c>
      <c r="AV284" s="31" t="s">
        <v>75</v>
      </c>
      <c r="AW284" s="31" t="s">
        <v>75</v>
      </c>
      <c r="AX284" s="36">
        <v>31362.44</v>
      </c>
      <c r="AY284" s="30">
        <v>11165633.5</v>
      </c>
      <c r="AZ284" s="32">
        <v>354637</v>
      </c>
      <c r="BA284" s="29">
        <f t="shared" si="10"/>
        <v>11520270.5</v>
      </c>
      <c r="BB284" s="31" t="s">
        <v>75</v>
      </c>
      <c r="BC284" s="31" t="s">
        <v>75</v>
      </c>
      <c r="BD284" s="29">
        <f>1661225+11708+8680+371</f>
        <v>1681984</v>
      </c>
      <c r="BE284" s="113">
        <v>0</v>
      </c>
      <c r="BF284" s="113">
        <v>0</v>
      </c>
      <c r="BG284" s="113">
        <v>0</v>
      </c>
      <c r="BH284" s="113">
        <v>0</v>
      </c>
      <c r="BI284" s="113">
        <v>0</v>
      </c>
      <c r="BJ284" s="113">
        <v>0</v>
      </c>
      <c r="BK284" s="113">
        <v>0</v>
      </c>
      <c r="BL284" s="113">
        <v>0</v>
      </c>
      <c r="BM284" s="113">
        <v>0</v>
      </c>
      <c r="BN284" s="113">
        <v>0</v>
      </c>
      <c r="BO284" s="113">
        <v>0</v>
      </c>
      <c r="BP284" s="113">
        <v>0</v>
      </c>
      <c r="BQ284" s="113">
        <v>0</v>
      </c>
      <c r="BR284" s="113">
        <v>0</v>
      </c>
      <c r="BS284" s="113">
        <v>0</v>
      </c>
      <c r="BT284" s="113">
        <v>0</v>
      </c>
      <c r="BU284" s="113">
        <v>0</v>
      </c>
      <c r="BV284" s="113">
        <v>0</v>
      </c>
      <c r="BW284" s="113"/>
      <c r="BX284" s="113"/>
      <c r="BY284" s="113"/>
      <c r="BZ284" s="113">
        <v>0</v>
      </c>
      <c r="CA284" s="113">
        <v>0</v>
      </c>
      <c r="CB284" s="113">
        <v>0</v>
      </c>
      <c r="CC284" s="113"/>
      <c r="CD284" s="113"/>
      <c r="CE284" s="113"/>
      <c r="CF284" s="113">
        <v>0</v>
      </c>
      <c r="CG284" s="113">
        <v>0</v>
      </c>
      <c r="CH284" s="113">
        <v>0</v>
      </c>
      <c r="CI284" s="113">
        <v>0</v>
      </c>
      <c r="CJ284" s="113">
        <v>0</v>
      </c>
      <c r="CK284" s="113">
        <v>0</v>
      </c>
      <c r="CL284" s="113">
        <v>0</v>
      </c>
      <c r="CM284" s="113">
        <v>0</v>
      </c>
      <c r="CN284" s="113">
        <v>0</v>
      </c>
      <c r="CO284" s="113">
        <v>0</v>
      </c>
      <c r="CP284" s="113">
        <v>0</v>
      </c>
      <c r="CQ284" s="113">
        <v>0</v>
      </c>
      <c r="CR284" s="113">
        <v>0</v>
      </c>
      <c r="CS284" s="113">
        <v>0</v>
      </c>
      <c r="CT284" s="113">
        <v>0</v>
      </c>
      <c r="CU284" s="113">
        <v>0</v>
      </c>
      <c r="CV284" s="113">
        <v>0</v>
      </c>
      <c r="CW284" s="113">
        <v>0</v>
      </c>
      <c r="CX284" s="113">
        <v>0</v>
      </c>
      <c r="CY284" s="113">
        <v>0</v>
      </c>
      <c r="CZ284" s="113">
        <v>0</v>
      </c>
      <c r="DA284" s="113">
        <v>0</v>
      </c>
      <c r="DB284" s="113">
        <v>0</v>
      </c>
      <c r="DC284" s="113">
        <v>0</v>
      </c>
      <c r="DD284" s="113">
        <v>0</v>
      </c>
      <c r="DE284" s="113">
        <v>0</v>
      </c>
      <c r="DF284" s="113">
        <v>0</v>
      </c>
      <c r="DG284" s="113">
        <v>0</v>
      </c>
      <c r="DH284" s="113">
        <v>0</v>
      </c>
      <c r="DI284" s="113">
        <v>0</v>
      </c>
      <c r="DJ284" s="113">
        <v>0</v>
      </c>
      <c r="DK284" s="113">
        <v>0</v>
      </c>
      <c r="DL284" s="113">
        <v>0</v>
      </c>
      <c r="DM284" s="113">
        <v>0</v>
      </c>
      <c r="DN284" s="113">
        <v>0</v>
      </c>
      <c r="DO284" s="113">
        <v>0</v>
      </c>
      <c r="DP284" s="113">
        <v>0</v>
      </c>
      <c r="DQ284" s="113">
        <v>0</v>
      </c>
      <c r="DR284" s="113">
        <v>0</v>
      </c>
      <c r="DS284" s="113">
        <v>0</v>
      </c>
      <c r="DT284" s="113">
        <v>0</v>
      </c>
      <c r="DU284" s="113">
        <v>0</v>
      </c>
      <c r="DV284" s="113">
        <v>0</v>
      </c>
      <c r="DW284" s="113">
        <v>0</v>
      </c>
      <c r="DX284" s="113">
        <v>0</v>
      </c>
      <c r="DY284" s="113">
        <v>0</v>
      </c>
      <c r="DZ284" s="113">
        <v>0</v>
      </c>
      <c r="EA284" s="113">
        <v>0</v>
      </c>
      <c r="EB284" s="113">
        <v>0</v>
      </c>
      <c r="EC284" s="113">
        <v>0</v>
      </c>
      <c r="ED284" s="113">
        <v>0</v>
      </c>
      <c r="EE284" s="113">
        <v>0</v>
      </c>
      <c r="EF284" s="113">
        <v>0</v>
      </c>
      <c r="EG284" s="113">
        <v>0</v>
      </c>
      <c r="EH284" s="113">
        <v>0</v>
      </c>
      <c r="EI284" s="113">
        <v>0</v>
      </c>
      <c r="EJ284" s="113">
        <v>0</v>
      </c>
      <c r="EK284" s="113">
        <v>0</v>
      </c>
      <c r="EL284" s="113">
        <v>0</v>
      </c>
      <c r="EM284" s="113">
        <v>0</v>
      </c>
      <c r="EN284" s="113">
        <v>0</v>
      </c>
      <c r="EO284" s="113">
        <v>0</v>
      </c>
      <c r="EP284" s="113">
        <v>0</v>
      </c>
      <c r="EQ284" s="113">
        <v>0</v>
      </c>
      <c r="ER284" s="113">
        <v>0</v>
      </c>
      <c r="ES284" s="113">
        <v>0</v>
      </c>
      <c r="ET284" s="113">
        <v>0</v>
      </c>
      <c r="EU284" s="113">
        <v>0</v>
      </c>
      <c r="EV284" s="113">
        <v>0</v>
      </c>
      <c r="EW284" s="113">
        <v>0</v>
      </c>
      <c r="EX284" s="113">
        <v>0</v>
      </c>
      <c r="EY284" s="113">
        <v>0</v>
      </c>
      <c r="EZ284" s="113">
        <v>0</v>
      </c>
      <c r="FA284" s="113">
        <v>0</v>
      </c>
      <c r="FB284" s="113">
        <v>0</v>
      </c>
      <c r="FC284" s="113">
        <v>0</v>
      </c>
      <c r="FD284" s="113">
        <v>0</v>
      </c>
      <c r="FE284" s="113">
        <v>0</v>
      </c>
      <c r="FF284" s="113">
        <v>0</v>
      </c>
      <c r="FG284" s="113">
        <v>0</v>
      </c>
      <c r="FH284" s="113">
        <v>0</v>
      </c>
      <c r="FI284" s="113">
        <v>0</v>
      </c>
      <c r="FJ284" s="113">
        <v>0</v>
      </c>
      <c r="FK284" s="113">
        <v>0</v>
      </c>
      <c r="FL284" s="113">
        <v>0</v>
      </c>
      <c r="FM284" s="113">
        <v>0</v>
      </c>
      <c r="FN284" s="113">
        <v>0</v>
      </c>
      <c r="FO284" s="113">
        <v>0</v>
      </c>
      <c r="FP284" s="113">
        <v>0</v>
      </c>
      <c r="FQ284" s="113">
        <v>0</v>
      </c>
      <c r="FR284" s="113">
        <v>0</v>
      </c>
      <c r="FS284" s="113">
        <v>0</v>
      </c>
      <c r="FT284" s="113">
        <v>0</v>
      </c>
      <c r="FU284" s="113">
        <v>0</v>
      </c>
      <c r="FV284" s="113">
        <v>0</v>
      </c>
      <c r="FW284" s="113">
        <v>0</v>
      </c>
      <c r="FX284" s="32">
        <v>0</v>
      </c>
      <c r="FY284" s="30">
        <v>0</v>
      </c>
      <c r="FZ284" s="30">
        <v>0</v>
      </c>
    </row>
    <row r="285" spans="1:182" x14ac:dyDescent="0.2">
      <c r="A285" s="28">
        <v>40238</v>
      </c>
      <c r="B285" s="28"/>
      <c r="C285" s="29">
        <v>291596.13</v>
      </c>
      <c r="D285" s="29">
        <v>210722.09999999998</v>
      </c>
      <c r="E285" s="29">
        <f t="shared" si="8"/>
        <v>502318.23</v>
      </c>
      <c r="F285" s="30">
        <v>8216874.79</v>
      </c>
      <c r="G285" s="30">
        <v>278153.86</v>
      </c>
      <c r="H285" s="30">
        <f t="shared" si="9"/>
        <v>8495028.6500000004</v>
      </c>
      <c r="I285" s="42" t="s">
        <v>75</v>
      </c>
      <c r="J285" s="42" t="s">
        <v>75</v>
      </c>
      <c r="K285" s="32">
        <v>11003330.6</v>
      </c>
      <c r="L285" s="31" t="s">
        <v>75</v>
      </c>
      <c r="M285" s="31" t="s">
        <v>75</v>
      </c>
      <c r="N285" s="30">
        <v>27439739.259999998</v>
      </c>
      <c r="O285" s="31" t="s">
        <v>75</v>
      </c>
      <c r="P285" s="31" t="s">
        <v>75</v>
      </c>
      <c r="Q285" s="30">
        <v>20523404.280000001</v>
      </c>
      <c r="R285" s="31" t="s">
        <v>75</v>
      </c>
      <c r="S285" s="31" t="s">
        <v>75</v>
      </c>
      <c r="T285" s="32">
        <v>128035</v>
      </c>
      <c r="U285" s="17">
        <v>4108</v>
      </c>
      <c r="V285" s="17">
        <v>2853.4900000000002</v>
      </c>
      <c r="W285" s="30">
        <f t="shared" si="11"/>
        <v>6961.49</v>
      </c>
      <c r="X285" s="17">
        <v>41918.490000000005</v>
      </c>
      <c r="Y285" s="17">
        <v>7423.5</v>
      </c>
      <c r="Z285" s="30">
        <f t="shared" si="12"/>
        <v>49341.990000000005</v>
      </c>
      <c r="AA285" s="17">
        <v>163264.32999999999</v>
      </c>
      <c r="AB285" s="17">
        <v>4766.58</v>
      </c>
      <c r="AC285" s="30">
        <f t="shared" si="13"/>
        <v>168030.90999999997</v>
      </c>
      <c r="AD285" s="17">
        <v>5170.45</v>
      </c>
      <c r="AE285" s="17">
        <v>13877.77</v>
      </c>
      <c r="AF285" s="30">
        <f t="shared" si="14"/>
        <v>19048.22</v>
      </c>
      <c r="AG285" s="32">
        <v>23070.300000000003</v>
      </c>
      <c r="AH285" s="32">
        <v>22596.479999999996</v>
      </c>
      <c r="AI285" s="32">
        <f t="shared" si="15"/>
        <v>45666.78</v>
      </c>
      <c r="AJ285" s="31" t="s">
        <v>75</v>
      </c>
      <c r="AK285" s="31" t="s">
        <v>75</v>
      </c>
      <c r="AL285" s="30">
        <v>41228.75</v>
      </c>
      <c r="AM285" s="30"/>
      <c r="AN285" s="30"/>
      <c r="AO285" s="30"/>
      <c r="AP285" s="30"/>
      <c r="AQ285" s="30"/>
      <c r="AR285" s="30"/>
      <c r="AS285" s="31" t="s">
        <v>75</v>
      </c>
      <c r="AT285" s="31" t="s">
        <v>75</v>
      </c>
      <c r="AU285" s="35">
        <v>1633173.95</v>
      </c>
      <c r="AV285" s="31" t="s">
        <v>75</v>
      </c>
      <c r="AW285" s="31" t="s">
        <v>75</v>
      </c>
      <c r="AX285" s="36">
        <v>40042.76</v>
      </c>
      <c r="AY285" s="30">
        <v>8917664.1999999993</v>
      </c>
      <c r="AZ285" s="32">
        <v>0</v>
      </c>
      <c r="BA285" s="29">
        <f t="shared" si="10"/>
        <v>8917664.1999999993</v>
      </c>
      <c r="BB285" s="31" t="s">
        <v>75</v>
      </c>
      <c r="BC285" s="31" t="s">
        <v>75</v>
      </c>
      <c r="BD285" s="29">
        <v>1895995.6666666667</v>
      </c>
      <c r="BE285" s="113">
        <v>0</v>
      </c>
      <c r="BF285" s="113">
        <v>0</v>
      </c>
      <c r="BG285" s="113">
        <v>0</v>
      </c>
      <c r="BH285" s="113">
        <v>0</v>
      </c>
      <c r="BI285" s="113">
        <v>0</v>
      </c>
      <c r="BJ285" s="113">
        <v>0</v>
      </c>
      <c r="BK285" s="113">
        <v>0</v>
      </c>
      <c r="BL285" s="113">
        <v>0</v>
      </c>
      <c r="BM285" s="113">
        <v>0</v>
      </c>
      <c r="BN285" s="113">
        <v>0</v>
      </c>
      <c r="BO285" s="113">
        <v>0</v>
      </c>
      <c r="BP285" s="113">
        <v>0</v>
      </c>
      <c r="BQ285" s="113">
        <v>0</v>
      </c>
      <c r="BR285" s="113">
        <v>0</v>
      </c>
      <c r="BS285" s="113">
        <v>0</v>
      </c>
      <c r="BT285" s="113">
        <v>0</v>
      </c>
      <c r="BU285" s="113">
        <v>0</v>
      </c>
      <c r="BV285" s="113">
        <v>0</v>
      </c>
      <c r="BW285" s="113"/>
      <c r="BX285" s="113"/>
      <c r="BY285" s="113"/>
      <c r="BZ285" s="113">
        <v>0</v>
      </c>
      <c r="CA285" s="113">
        <v>0</v>
      </c>
      <c r="CB285" s="113">
        <v>0</v>
      </c>
      <c r="CC285" s="113"/>
      <c r="CD285" s="113"/>
      <c r="CE285" s="113"/>
      <c r="CF285" s="113">
        <v>0</v>
      </c>
      <c r="CG285" s="113">
        <v>0</v>
      </c>
      <c r="CH285" s="113">
        <v>0</v>
      </c>
      <c r="CI285" s="113">
        <v>0</v>
      </c>
      <c r="CJ285" s="113">
        <v>0</v>
      </c>
      <c r="CK285" s="113">
        <v>0</v>
      </c>
      <c r="CL285" s="113">
        <v>0</v>
      </c>
      <c r="CM285" s="113">
        <v>0</v>
      </c>
      <c r="CN285" s="113">
        <v>0</v>
      </c>
      <c r="CO285" s="113">
        <v>0</v>
      </c>
      <c r="CP285" s="113">
        <v>0</v>
      </c>
      <c r="CQ285" s="113">
        <v>0</v>
      </c>
      <c r="CR285" s="113">
        <v>0</v>
      </c>
      <c r="CS285" s="113">
        <v>0</v>
      </c>
      <c r="CT285" s="113">
        <v>0</v>
      </c>
      <c r="CU285" s="113">
        <v>0</v>
      </c>
      <c r="CV285" s="113">
        <v>0</v>
      </c>
      <c r="CW285" s="113">
        <v>0</v>
      </c>
      <c r="CX285" s="113">
        <v>0</v>
      </c>
      <c r="CY285" s="113">
        <v>0</v>
      </c>
      <c r="CZ285" s="113">
        <v>0</v>
      </c>
      <c r="DA285" s="113">
        <v>0</v>
      </c>
      <c r="DB285" s="113">
        <v>0</v>
      </c>
      <c r="DC285" s="113">
        <v>0</v>
      </c>
      <c r="DD285" s="113">
        <v>0</v>
      </c>
      <c r="DE285" s="113">
        <v>0</v>
      </c>
      <c r="DF285" s="113">
        <v>0</v>
      </c>
      <c r="DG285" s="113">
        <v>0</v>
      </c>
      <c r="DH285" s="113">
        <v>0</v>
      </c>
      <c r="DI285" s="113">
        <v>0</v>
      </c>
      <c r="DJ285" s="113">
        <v>0</v>
      </c>
      <c r="DK285" s="113">
        <v>0</v>
      </c>
      <c r="DL285" s="113">
        <v>0</v>
      </c>
      <c r="DM285" s="113">
        <v>0</v>
      </c>
      <c r="DN285" s="113">
        <v>0</v>
      </c>
      <c r="DO285" s="113">
        <v>0</v>
      </c>
      <c r="DP285" s="113">
        <v>0</v>
      </c>
      <c r="DQ285" s="113">
        <v>0</v>
      </c>
      <c r="DR285" s="113">
        <v>0</v>
      </c>
      <c r="DS285" s="113">
        <v>0</v>
      </c>
      <c r="DT285" s="113">
        <v>0</v>
      </c>
      <c r="DU285" s="113">
        <v>0</v>
      </c>
      <c r="DV285" s="113">
        <v>0</v>
      </c>
      <c r="DW285" s="113">
        <v>0</v>
      </c>
      <c r="DX285" s="113">
        <v>0</v>
      </c>
      <c r="DY285" s="113">
        <v>0</v>
      </c>
      <c r="DZ285" s="113">
        <v>0</v>
      </c>
      <c r="EA285" s="113">
        <v>0</v>
      </c>
      <c r="EB285" s="113">
        <v>0</v>
      </c>
      <c r="EC285" s="113">
        <v>0</v>
      </c>
      <c r="ED285" s="113">
        <v>0</v>
      </c>
      <c r="EE285" s="113">
        <v>0</v>
      </c>
      <c r="EF285" s="113">
        <v>0</v>
      </c>
      <c r="EG285" s="113">
        <v>0</v>
      </c>
      <c r="EH285" s="113">
        <v>0</v>
      </c>
      <c r="EI285" s="113">
        <v>0</v>
      </c>
      <c r="EJ285" s="113">
        <v>0</v>
      </c>
      <c r="EK285" s="113">
        <v>0</v>
      </c>
      <c r="EL285" s="113">
        <v>0</v>
      </c>
      <c r="EM285" s="113">
        <v>0</v>
      </c>
      <c r="EN285" s="113">
        <v>0</v>
      </c>
      <c r="EO285" s="113">
        <v>0</v>
      </c>
      <c r="EP285" s="113">
        <v>0</v>
      </c>
      <c r="EQ285" s="113">
        <v>0</v>
      </c>
      <c r="ER285" s="113">
        <v>0</v>
      </c>
      <c r="ES285" s="113">
        <v>0</v>
      </c>
      <c r="ET285" s="113">
        <v>0</v>
      </c>
      <c r="EU285" s="113">
        <v>0</v>
      </c>
      <c r="EV285" s="113">
        <v>0</v>
      </c>
      <c r="EW285" s="113">
        <v>0</v>
      </c>
      <c r="EX285" s="113">
        <v>0</v>
      </c>
      <c r="EY285" s="113">
        <v>0</v>
      </c>
      <c r="EZ285" s="113">
        <v>0</v>
      </c>
      <c r="FA285" s="113">
        <v>0</v>
      </c>
      <c r="FB285" s="113">
        <v>0</v>
      </c>
      <c r="FC285" s="113">
        <v>0</v>
      </c>
      <c r="FD285" s="113">
        <v>0</v>
      </c>
      <c r="FE285" s="113">
        <v>0</v>
      </c>
      <c r="FF285" s="113">
        <v>0</v>
      </c>
      <c r="FG285" s="113">
        <v>0</v>
      </c>
      <c r="FH285" s="113">
        <v>0</v>
      </c>
      <c r="FI285" s="113">
        <v>0</v>
      </c>
      <c r="FJ285" s="113">
        <v>0</v>
      </c>
      <c r="FK285" s="113">
        <v>0</v>
      </c>
      <c r="FL285" s="113">
        <v>0</v>
      </c>
      <c r="FM285" s="113">
        <v>0</v>
      </c>
      <c r="FN285" s="113">
        <v>0</v>
      </c>
      <c r="FO285" s="113">
        <v>0</v>
      </c>
      <c r="FP285" s="113">
        <v>0</v>
      </c>
      <c r="FQ285" s="113">
        <v>0</v>
      </c>
      <c r="FR285" s="113">
        <v>0</v>
      </c>
      <c r="FS285" s="113">
        <v>0</v>
      </c>
      <c r="FT285" s="113">
        <v>0</v>
      </c>
      <c r="FU285" s="113">
        <v>0</v>
      </c>
      <c r="FV285" s="113">
        <v>0</v>
      </c>
      <c r="FW285" s="113">
        <v>0</v>
      </c>
      <c r="FX285" s="32">
        <v>0</v>
      </c>
      <c r="FY285" s="30">
        <v>0</v>
      </c>
      <c r="FZ285" s="30">
        <v>0</v>
      </c>
    </row>
    <row r="286" spans="1:182" x14ac:dyDescent="0.2">
      <c r="A286" s="28">
        <v>40269</v>
      </c>
      <c r="B286" s="28"/>
      <c r="C286" s="29">
        <v>254279.96000000002</v>
      </c>
      <c r="D286" s="29">
        <v>234591.8</v>
      </c>
      <c r="E286" s="29">
        <f t="shared" si="8"/>
        <v>488871.76</v>
      </c>
      <c r="F286" s="30">
        <v>5890732.9000000004</v>
      </c>
      <c r="G286" s="30">
        <v>236800.88999999998</v>
      </c>
      <c r="H286" s="30">
        <f t="shared" si="9"/>
        <v>6127533.79</v>
      </c>
      <c r="I286" s="42" t="s">
        <v>75</v>
      </c>
      <c r="J286" s="42" t="s">
        <v>75</v>
      </c>
      <c r="K286" s="32">
        <v>9560077.2400000002</v>
      </c>
      <c r="L286" s="31" t="s">
        <v>75</v>
      </c>
      <c r="M286" s="31" t="s">
        <v>75</v>
      </c>
      <c r="N286" s="30">
        <v>20455560.130000003</v>
      </c>
      <c r="O286" s="31" t="s">
        <v>75</v>
      </c>
      <c r="P286" s="31" t="s">
        <v>75</v>
      </c>
      <c r="Q286" s="30">
        <v>13954499.039999999</v>
      </c>
      <c r="R286" s="31" t="s">
        <v>75</v>
      </c>
      <c r="S286" s="31" t="s">
        <v>75</v>
      </c>
      <c r="T286" s="32">
        <v>146109.95000000001</v>
      </c>
      <c r="U286" s="17">
        <v>3662.92</v>
      </c>
      <c r="V286" s="17">
        <v>928.5</v>
      </c>
      <c r="W286" s="30">
        <f t="shared" si="11"/>
        <v>4591.42</v>
      </c>
      <c r="X286" s="17">
        <v>104515.42</v>
      </c>
      <c r="Y286" s="17">
        <v>8444.52</v>
      </c>
      <c r="Z286" s="30">
        <f t="shared" si="12"/>
        <v>112959.94</v>
      </c>
      <c r="AA286" s="17">
        <v>171193.78000000003</v>
      </c>
      <c r="AB286" s="17">
        <v>5475.84</v>
      </c>
      <c r="AC286" s="30">
        <f t="shared" si="13"/>
        <v>176669.62000000002</v>
      </c>
      <c r="AD286" s="17">
        <v>4663.62</v>
      </c>
      <c r="AE286" s="17">
        <v>13548.330000000004</v>
      </c>
      <c r="AF286" s="30">
        <f t="shared" si="14"/>
        <v>18211.950000000004</v>
      </c>
      <c r="AG286" s="32">
        <v>31448.769999999997</v>
      </c>
      <c r="AH286" s="32">
        <v>26289.269999999997</v>
      </c>
      <c r="AI286" s="32">
        <f t="shared" si="15"/>
        <v>57738.039999999994</v>
      </c>
      <c r="AJ286" s="31" t="s">
        <v>75</v>
      </c>
      <c r="AK286" s="31" t="s">
        <v>75</v>
      </c>
      <c r="AL286" s="30">
        <v>39168.75</v>
      </c>
      <c r="AM286" s="30"/>
      <c r="AN286" s="30"/>
      <c r="AO286" s="30"/>
      <c r="AP286" s="30"/>
      <c r="AQ286" s="30"/>
      <c r="AR286" s="30"/>
      <c r="AS286" s="31" t="s">
        <v>75</v>
      </c>
      <c r="AT286" s="31" t="s">
        <v>75</v>
      </c>
      <c r="AU286" s="35">
        <v>1593193.25</v>
      </c>
      <c r="AV286" s="31" t="s">
        <v>75</v>
      </c>
      <c r="AW286" s="31" t="s">
        <v>75</v>
      </c>
      <c r="AX286" s="36">
        <v>45411.14</v>
      </c>
      <c r="AY286" s="30">
        <v>8020590.0999999996</v>
      </c>
      <c r="AZ286" s="32">
        <v>170195.5</v>
      </c>
      <c r="BA286" s="29">
        <f t="shared" si="10"/>
        <v>8190785.5999999996</v>
      </c>
      <c r="BB286" s="31" t="s">
        <v>75</v>
      </c>
      <c r="BC286" s="31" t="s">
        <v>75</v>
      </c>
      <c r="BD286" s="29">
        <v>1574611.2</v>
      </c>
      <c r="BE286" s="113">
        <v>0</v>
      </c>
      <c r="BF286" s="113">
        <v>0</v>
      </c>
      <c r="BG286" s="113">
        <v>0</v>
      </c>
      <c r="BH286" s="113">
        <v>0</v>
      </c>
      <c r="BI286" s="113">
        <v>0</v>
      </c>
      <c r="BJ286" s="113">
        <v>0</v>
      </c>
      <c r="BK286" s="113">
        <v>0</v>
      </c>
      <c r="BL286" s="113">
        <v>0</v>
      </c>
      <c r="BM286" s="113">
        <v>0</v>
      </c>
      <c r="BN286" s="113">
        <v>0</v>
      </c>
      <c r="BO286" s="113">
        <v>0</v>
      </c>
      <c r="BP286" s="113">
        <v>0</v>
      </c>
      <c r="BQ286" s="113">
        <v>0</v>
      </c>
      <c r="BR286" s="113">
        <v>0</v>
      </c>
      <c r="BS286" s="113">
        <v>0</v>
      </c>
      <c r="BT286" s="113">
        <v>0</v>
      </c>
      <c r="BU286" s="113">
        <v>0</v>
      </c>
      <c r="BV286" s="113">
        <v>0</v>
      </c>
      <c r="BW286" s="113"/>
      <c r="BX286" s="113"/>
      <c r="BY286" s="113"/>
      <c r="BZ286" s="113">
        <v>0</v>
      </c>
      <c r="CA286" s="113">
        <v>0</v>
      </c>
      <c r="CB286" s="113">
        <v>0</v>
      </c>
      <c r="CC286" s="113"/>
      <c r="CD286" s="113"/>
      <c r="CE286" s="113"/>
      <c r="CF286" s="113">
        <v>0</v>
      </c>
      <c r="CG286" s="113">
        <v>0</v>
      </c>
      <c r="CH286" s="113">
        <v>0</v>
      </c>
      <c r="CI286" s="113">
        <v>0</v>
      </c>
      <c r="CJ286" s="113">
        <v>0</v>
      </c>
      <c r="CK286" s="113">
        <v>0</v>
      </c>
      <c r="CL286" s="113">
        <v>0</v>
      </c>
      <c r="CM286" s="113">
        <v>0</v>
      </c>
      <c r="CN286" s="113">
        <v>0</v>
      </c>
      <c r="CO286" s="113">
        <v>0</v>
      </c>
      <c r="CP286" s="113">
        <v>0</v>
      </c>
      <c r="CQ286" s="113">
        <v>0</v>
      </c>
      <c r="CR286" s="113">
        <v>0</v>
      </c>
      <c r="CS286" s="113">
        <v>0</v>
      </c>
      <c r="CT286" s="113">
        <v>0</v>
      </c>
      <c r="CU286" s="113">
        <v>0</v>
      </c>
      <c r="CV286" s="113">
        <v>0</v>
      </c>
      <c r="CW286" s="113">
        <v>0</v>
      </c>
      <c r="CX286" s="113">
        <v>0</v>
      </c>
      <c r="CY286" s="113">
        <v>0</v>
      </c>
      <c r="CZ286" s="113">
        <v>0</v>
      </c>
      <c r="DA286" s="113">
        <v>0</v>
      </c>
      <c r="DB286" s="113">
        <v>0</v>
      </c>
      <c r="DC286" s="113">
        <v>0</v>
      </c>
      <c r="DD286" s="113">
        <v>0</v>
      </c>
      <c r="DE286" s="113">
        <v>0</v>
      </c>
      <c r="DF286" s="113">
        <v>0</v>
      </c>
      <c r="DG286" s="113">
        <v>0</v>
      </c>
      <c r="DH286" s="113">
        <v>0</v>
      </c>
      <c r="DI286" s="113">
        <v>0</v>
      </c>
      <c r="DJ286" s="113">
        <v>0</v>
      </c>
      <c r="DK286" s="113">
        <v>0</v>
      </c>
      <c r="DL286" s="113">
        <v>0</v>
      </c>
      <c r="DM286" s="113">
        <v>0</v>
      </c>
      <c r="DN286" s="113">
        <v>0</v>
      </c>
      <c r="DO286" s="113">
        <v>0</v>
      </c>
      <c r="DP286" s="113">
        <v>0</v>
      </c>
      <c r="DQ286" s="113">
        <v>0</v>
      </c>
      <c r="DR286" s="113">
        <v>0</v>
      </c>
      <c r="DS286" s="113">
        <v>0</v>
      </c>
      <c r="DT286" s="113">
        <v>0</v>
      </c>
      <c r="DU286" s="113">
        <v>0</v>
      </c>
      <c r="DV286" s="113">
        <v>0</v>
      </c>
      <c r="DW286" s="113">
        <v>0</v>
      </c>
      <c r="DX286" s="113">
        <v>0</v>
      </c>
      <c r="DY286" s="113">
        <v>0</v>
      </c>
      <c r="DZ286" s="113">
        <v>0</v>
      </c>
      <c r="EA286" s="113">
        <v>0</v>
      </c>
      <c r="EB286" s="113">
        <v>0</v>
      </c>
      <c r="EC286" s="113">
        <v>0</v>
      </c>
      <c r="ED286" s="113">
        <v>0</v>
      </c>
      <c r="EE286" s="113">
        <v>0</v>
      </c>
      <c r="EF286" s="113">
        <v>0</v>
      </c>
      <c r="EG286" s="113">
        <v>0</v>
      </c>
      <c r="EH286" s="113">
        <v>0</v>
      </c>
      <c r="EI286" s="113">
        <v>0</v>
      </c>
      <c r="EJ286" s="113">
        <v>0</v>
      </c>
      <c r="EK286" s="113">
        <v>0</v>
      </c>
      <c r="EL286" s="113">
        <v>0</v>
      </c>
      <c r="EM286" s="113">
        <v>0</v>
      </c>
      <c r="EN286" s="113">
        <v>0</v>
      </c>
      <c r="EO286" s="113">
        <v>0</v>
      </c>
      <c r="EP286" s="113">
        <v>0</v>
      </c>
      <c r="EQ286" s="113">
        <v>0</v>
      </c>
      <c r="ER286" s="113">
        <v>0</v>
      </c>
      <c r="ES286" s="113">
        <v>0</v>
      </c>
      <c r="ET286" s="113">
        <v>0</v>
      </c>
      <c r="EU286" s="113">
        <v>0</v>
      </c>
      <c r="EV286" s="113">
        <v>0</v>
      </c>
      <c r="EW286" s="113">
        <v>0</v>
      </c>
      <c r="EX286" s="113">
        <v>0</v>
      </c>
      <c r="EY286" s="113">
        <v>0</v>
      </c>
      <c r="EZ286" s="113">
        <v>0</v>
      </c>
      <c r="FA286" s="113">
        <v>0</v>
      </c>
      <c r="FB286" s="113">
        <v>0</v>
      </c>
      <c r="FC286" s="113">
        <v>0</v>
      </c>
      <c r="FD286" s="113">
        <v>0</v>
      </c>
      <c r="FE286" s="113">
        <v>0</v>
      </c>
      <c r="FF286" s="113">
        <v>0</v>
      </c>
      <c r="FG286" s="113">
        <v>0</v>
      </c>
      <c r="FH286" s="113">
        <v>0</v>
      </c>
      <c r="FI286" s="113">
        <v>0</v>
      </c>
      <c r="FJ286" s="113">
        <v>0</v>
      </c>
      <c r="FK286" s="113">
        <v>0</v>
      </c>
      <c r="FL286" s="113">
        <v>0</v>
      </c>
      <c r="FM286" s="113">
        <v>0</v>
      </c>
      <c r="FN286" s="113">
        <v>0</v>
      </c>
      <c r="FO286" s="113">
        <v>0</v>
      </c>
      <c r="FP286" s="113">
        <v>0</v>
      </c>
      <c r="FQ286" s="113">
        <v>0</v>
      </c>
      <c r="FR286" s="113">
        <v>0</v>
      </c>
      <c r="FS286" s="113">
        <v>0</v>
      </c>
      <c r="FT286" s="113">
        <v>0</v>
      </c>
      <c r="FU286" s="113">
        <v>0</v>
      </c>
      <c r="FV286" s="113">
        <v>0</v>
      </c>
      <c r="FW286" s="113">
        <v>0</v>
      </c>
      <c r="FX286" s="32">
        <v>0</v>
      </c>
      <c r="FY286" s="30">
        <v>0</v>
      </c>
      <c r="FZ286" s="30">
        <v>0</v>
      </c>
    </row>
    <row r="287" spans="1:182" x14ac:dyDescent="0.2">
      <c r="A287" s="28">
        <v>40299</v>
      </c>
      <c r="B287" s="28"/>
      <c r="C287" s="29">
        <v>256152.15000000002</v>
      </c>
      <c r="D287" s="29">
        <v>211688.65000000002</v>
      </c>
      <c r="E287" s="29">
        <f t="shared" si="8"/>
        <v>467840.80000000005</v>
      </c>
      <c r="F287" s="30">
        <v>4408772.49</v>
      </c>
      <c r="G287" s="30">
        <v>192747.85</v>
      </c>
      <c r="H287" s="30">
        <f t="shared" si="9"/>
        <v>4601520.34</v>
      </c>
      <c r="I287" s="42" t="s">
        <v>75</v>
      </c>
      <c r="J287" s="42" t="s">
        <v>75</v>
      </c>
      <c r="K287" s="32">
        <v>8769040.8500000015</v>
      </c>
      <c r="L287" s="31" t="s">
        <v>75</v>
      </c>
      <c r="M287" s="31" t="s">
        <v>75</v>
      </c>
      <c r="N287" s="30">
        <v>19707270.579999998</v>
      </c>
      <c r="O287" s="31" t="s">
        <v>75</v>
      </c>
      <c r="P287" s="31" t="s">
        <v>75</v>
      </c>
      <c r="Q287" s="30">
        <v>14703999.460000001</v>
      </c>
      <c r="R287" s="31" t="s">
        <v>75</v>
      </c>
      <c r="S287" s="31" t="s">
        <v>75</v>
      </c>
      <c r="T287" s="32">
        <v>122666.5</v>
      </c>
      <c r="U287" s="17">
        <v>3410.99</v>
      </c>
      <c r="V287" s="17">
        <v>3158.2099999999996</v>
      </c>
      <c r="W287" s="30">
        <f t="shared" si="11"/>
        <v>6569.1999999999989</v>
      </c>
      <c r="X287" s="17">
        <v>64432.54</v>
      </c>
      <c r="Y287" s="17">
        <v>8141.2</v>
      </c>
      <c r="Z287" s="30">
        <f t="shared" si="12"/>
        <v>72573.740000000005</v>
      </c>
      <c r="AA287" s="17">
        <v>192682.97</v>
      </c>
      <c r="AB287" s="17">
        <v>3901.2</v>
      </c>
      <c r="AC287" s="30">
        <f t="shared" si="13"/>
        <v>196584.17</v>
      </c>
      <c r="AD287" s="17">
        <v>3628.42</v>
      </c>
      <c r="AE287" s="17">
        <v>13961.82</v>
      </c>
      <c r="AF287" s="30">
        <f t="shared" si="14"/>
        <v>17590.239999999998</v>
      </c>
      <c r="AG287" s="32">
        <v>24632.370000000003</v>
      </c>
      <c r="AH287" s="32">
        <v>20005.16</v>
      </c>
      <c r="AI287" s="32">
        <f t="shared" si="15"/>
        <v>44637.53</v>
      </c>
      <c r="AJ287" s="31" t="s">
        <v>75</v>
      </c>
      <c r="AK287" s="31" t="s">
        <v>75</v>
      </c>
      <c r="AL287" s="30">
        <v>26126.25</v>
      </c>
      <c r="AM287" s="30"/>
      <c r="AN287" s="30"/>
      <c r="AO287" s="30"/>
      <c r="AP287" s="30"/>
      <c r="AQ287" s="30"/>
      <c r="AR287" s="30"/>
      <c r="AS287" s="31" t="s">
        <v>75</v>
      </c>
      <c r="AT287" s="31" t="s">
        <v>75</v>
      </c>
      <c r="AU287" s="35">
        <v>1399111.19</v>
      </c>
      <c r="AV287" s="31" t="s">
        <v>75</v>
      </c>
      <c r="AW287" s="31" t="s">
        <v>75</v>
      </c>
      <c r="AX287" s="36">
        <v>48982.720000000001</v>
      </c>
      <c r="AY287" s="30">
        <v>8036316.4000000004</v>
      </c>
      <c r="AZ287" s="32">
        <v>30353</v>
      </c>
      <c r="BA287" s="29">
        <f t="shared" si="10"/>
        <v>8066669.4000000004</v>
      </c>
      <c r="BB287" s="31" t="s">
        <v>75</v>
      </c>
      <c r="BC287" s="31" t="s">
        <v>75</v>
      </c>
      <c r="BD287" s="29">
        <v>1496062.0444444444</v>
      </c>
      <c r="BE287" s="113">
        <v>0</v>
      </c>
      <c r="BF287" s="113">
        <v>0</v>
      </c>
      <c r="BG287" s="113">
        <v>0</v>
      </c>
      <c r="BH287" s="113">
        <v>0</v>
      </c>
      <c r="BI287" s="113">
        <v>0</v>
      </c>
      <c r="BJ287" s="113">
        <v>0</v>
      </c>
      <c r="BK287" s="113">
        <v>0</v>
      </c>
      <c r="BL287" s="113">
        <v>0</v>
      </c>
      <c r="BM287" s="113">
        <v>0</v>
      </c>
      <c r="BN287" s="113">
        <v>0</v>
      </c>
      <c r="BO287" s="113">
        <v>0</v>
      </c>
      <c r="BP287" s="113">
        <v>0</v>
      </c>
      <c r="BQ287" s="113">
        <v>0</v>
      </c>
      <c r="BR287" s="113">
        <v>0</v>
      </c>
      <c r="BS287" s="113">
        <v>0</v>
      </c>
      <c r="BT287" s="113">
        <v>0</v>
      </c>
      <c r="BU287" s="113">
        <v>0</v>
      </c>
      <c r="BV287" s="113">
        <v>0</v>
      </c>
      <c r="BW287" s="113"/>
      <c r="BX287" s="113"/>
      <c r="BY287" s="113"/>
      <c r="BZ287" s="113">
        <v>0</v>
      </c>
      <c r="CA287" s="113">
        <v>0</v>
      </c>
      <c r="CB287" s="113">
        <v>0</v>
      </c>
      <c r="CC287" s="113"/>
      <c r="CD287" s="113"/>
      <c r="CE287" s="113"/>
      <c r="CF287" s="113">
        <v>0</v>
      </c>
      <c r="CG287" s="113">
        <v>0</v>
      </c>
      <c r="CH287" s="113">
        <v>0</v>
      </c>
      <c r="CI287" s="113">
        <v>0</v>
      </c>
      <c r="CJ287" s="113">
        <v>0</v>
      </c>
      <c r="CK287" s="113">
        <v>0</v>
      </c>
      <c r="CL287" s="113">
        <v>0</v>
      </c>
      <c r="CM287" s="113">
        <v>0</v>
      </c>
      <c r="CN287" s="113">
        <v>0</v>
      </c>
      <c r="CO287" s="113">
        <v>0</v>
      </c>
      <c r="CP287" s="113">
        <v>0</v>
      </c>
      <c r="CQ287" s="113">
        <v>0</v>
      </c>
      <c r="CR287" s="113">
        <v>0</v>
      </c>
      <c r="CS287" s="113">
        <v>0</v>
      </c>
      <c r="CT287" s="113">
        <v>0</v>
      </c>
      <c r="CU287" s="113">
        <v>0</v>
      </c>
      <c r="CV287" s="113">
        <v>0</v>
      </c>
      <c r="CW287" s="113">
        <v>0</v>
      </c>
      <c r="CX287" s="113">
        <v>0</v>
      </c>
      <c r="CY287" s="113">
        <v>0</v>
      </c>
      <c r="CZ287" s="113">
        <v>0</v>
      </c>
      <c r="DA287" s="113">
        <v>0</v>
      </c>
      <c r="DB287" s="113">
        <v>0</v>
      </c>
      <c r="DC287" s="113">
        <v>0</v>
      </c>
      <c r="DD287" s="113">
        <v>0</v>
      </c>
      <c r="DE287" s="113">
        <v>0</v>
      </c>
      <c r="DF287" s="113">
        <v>0</v>
      </c>
      <c r="DG287" s="113">
        <v>0</v>
      </c>
      <c r="DH287" s="113">
        <v>0</v>
      </c>
      <c r="DI287" s="113">
        <v>0</v>
      </c>
      <c r="DJ287" s="113">
        <v>0</v>
      </c>
      <c r="DK287" s="113">
        <v>0</v>
      </c>
      <c r="DL287" s="113">
        <v>0</v>
      </c>
      <c r="DM287" s="113">
        <v>0</v>
      </c>
      <c r="DN287" s="113">
        <v>0</v>
      </c>
      <c r="DO287" s="113">
        <v>0</v>
      </c>
      <c r="DP287" s="113">
        <v>0</v>
      </c>
      <c r="DQ287" s="113">
        <v>0</v>
      </c>
      <c r="DR287" s="113">
        <v>0</v>
      </c>
      <c r="DS287" s="113">
        <v>0</v>
      </c>
      <c r="DT287" s="113">
        <v>0</v>
      </c>
      <c r="DU287" s="113">
        <v>0</v>
      </c>
      <c r="DV287" s="113">
        <v>0</v>
      </c>
      <c r="DW287" s="113">
        <v>0</v>
      </c>
      <c r="DX287" s="113">
        <v>0</v>
      </c>
      <c r="DY287" s="113">
        <v>0</v>
      </c>
      <c r="DZ287" s="113">
        <v>0</v>
      </c>
      <c r="EA287" s="113">
        <v>0</v>
      </c>
      <c r="EB287" s="113">
        <v>0</v>
      </c>
      <c r="EC287" s="113">
        <v>0</v>
      </c>
      <c r="ED287" s="113">
        <v>0</v>
      </c>
      <c r="EE287" s="113">
        <v>0</v>
      </c>
      <c r="EF287" s="113">
        <v>0</v>
      </c>
      <c r="EG287" s="113">
        <v>0</v>
      </c>
      <c r="EH287" s="113">
        <v>0</v>
      </c>
      <c r="EI287" s="113">
        <v>0</v>
      </c>
      <c r="EJ287" s="113">
        <v>0</v>
      </c>
      <c r="EK287" s="113">
        <v>0</v>
      </c>
      <c r="EL287" s="113">
        <v>0</v>
      </c>
      <c r="EM287" s="113">
        <v>0</v>
      </c>
      <c r="EN287" s="113">
        <v>0</v>
      </c>
      <c r="EO287" s="113">
        <v>0</v>
      </c>
      <c r="EP287" s="113">
        <v>0</v>
      </c>
      <c r="EQ287" s="113">
        <v>0</v>
      </c>
      <c r="ER287" s="113">
        <v>0</v>
      </c>
      <c r="ES287" s="113">
        <v>0</v>
      </c>
      <c r="ET287" s="113">
        <v>0</v>
      </c>
      <c r="EU287" s="113">
        <v>0</v>
      </c>
      <c r="EV287" s="113">
        <v>0</v>
      </c>
      <c r="EW287" s="113">
        <v>0</v>
      </c>
      <c r="EX287" s="113">
        <v>0</v>
      </c>
      <c r="EY287" s="113">
        <v>0</v>
      </c>
      <c r="EZ287" s="113">
        <v>0</v>
      </c>
      <c r="FA287" s="113">
        <v>0</v>
      </c>
      <c r="FB287" s="113">
        <v>0</v>
      </c>
      <c r="FC287" s="113">
        <v>0</v>
      </c>
      <c r="FD287" s="113">
        <v>0</v>
      </c>
      <c r="FE287" s="113">
        <v>0</v>
      </c>
      <c r="FF287" s="113">
        <v>0</v>
      </c>
      <c r="FG287" s="113">
        <v>0</v>
      </c>
      <c r="FH287" s="113">
        <v>0</v>
      </c>
      <c r="FI287" s="113">
        <v>0</v>
      </c>
      <c r="FJ287" s="113">
        <v>0</v>
      </c>
      <c r="FK287" s="113">
        <v>0</v>
      </c>
      <c r="FL287" s="113">
        <v>0</v>
      </c>
      <c r="FM287" s="113">
        <v>0</v>
      </c>
      <c r="FN287" s="113">
        <v>0</v>
      </c>
      <c r="FO287" s="113">
        <v>0</v>
      </c>
      <c r="FP287" s="113">
        <v>0</v>
      </c>
      <c r="FQ287" s="113">
        <v>0</v>
      </c>
      <c r="FR287" s="113">
        <v>0</v>
      </c>
      <c r="FS287" s="113">
        <v>0</v>
      </c>
      <c r="FT287" s="113">
        <v>0</v>
      </c>
      <c r="FU287" s="113">
        <v>0</v>
      </c>
      <c r="FV287" s="113">
        <v>0</v>
      </c>
      <c r="FW287" s="113">
        <v>0</v>
      </c>
      <c r="FX287" s="32">
        <v>0</v>
      </c>
      <c r="FY287" s="30">
        <v>0</v>
      </c>
      <c r="FZ287" s="30">
        <v>0</v>
      </c>
    </row>
    <row r="288" spans="1:182" x14ac:dyDescent="0.2">
      <c r="A288" s="28">
        <v>40330</v>
      </c>
      <c r="B288" s="28"/>
      <c r="C288" s="29">
        <v>302498.90999999997</v>
      </c>
      <c r="D288" s="29">
        <v>318436.56</v>
      </c>
      <c r="E288" s="29">
        <f t="shared" si="8"/>
        <v>620935.47</v>
      </c>
      <c r="F288" s="30">
        <v>4183775.6799999997</v>
      </c>
      <c r="G288" s="30">
        <v>165566.66999999995</v>
      </c>
      <c r="H288" s="30">
        <f t="shared" si="9"/>
        <v>4349342.3499999996</v>
      </c>
      <c r="I288" s="42" t="s">
        <v>75</v>
      </c>
      <c r="J288" s="42" t="s">
        <v>75</v>
      </c>
      <c r="K288" s="32">
        <v>8181530.5499999998</v>
      </c>
      <c r="L288" s="31" t="s">
        <v>75</v>
      </c>
      <c r="M288" s="31" t="s">
        <v>75</v>
      </c>
      <c r="N288" s="30">
        <v>19713618.5</v>
      </c>
      <c r="O288" s="31" t="s">
        <v>75</v>
      </c>
      <c r="P288" s="31" t="s">
        <v>75</v>
      </c>
      <c r="Q288" s="30">
        <v>12887046.039999999</v>
      </c>
      <c r="R288" s="31" t="s">
        <v>75</v>
      </c>
      <c r="S288" s="31" t="s">
        <v>75</v>
      </c>
      <c r="T288" s="32">
        <v>147475.76</v>
      </c>
      <c r="U288" s="17">
        <v>3124.3599999999997</v>
      </c>
      <c r="V288" s="17">
        <v>1249.1099999999999</v>
      </c>
      <c r="W288" s="30">
        <f t="shared" si="11"/>
        <v>4373.4699999999993</v>
      </c>
      <c r="X288" s="17">
        <v>52750.280000000006</v>
      </c>
      <c r="Y288" s="17">
        <v>3933.6499999999996</v>
      </c>
      <c r="Z288" s="30">
        <f t="shared" si="12"/>
        <v>56683.930000000008</v>
      </c>
      <c r="AA288" s="17">
        <v>183236.88</v>
      </c>
      <c r="AB288" s="17">
        <v>5579.4299999999994</v>
      </c>
      <c r="AC288" s="30">
        <f t="shared" si="13"/>
        <v>188816.31</v>
      </c>
      <c r="AD288" s="17">
        <v>5001.51</v>
      </c>
      <c r="AE288" s="17">
        <v>27427.050000000003</v>
      </c>
      <c r="AF288" s="30">
        <f t="shared" si="14"/>
        <v>32428.560000000005</v>
      </c>
      <c r="AG288" s="32">
        <v>26060.67</v>
      </c>
      <c r="AH288" s="32">
        <v>24347.189999999995</v>
      </c>
      <c r="AI288" s="32">
        <f t="shared" si="15"/>
        <v>50407.859999999993</v>
      </c>
      <c r="AJ288" s="31" t="s">
        <v>75</v>
      </c>
      <c r="AK288" s="31" t="s">
        <v>75</v>
      </c>
      <c r="AL288" s="30">
        <v>40858.46</v>
      </c>
      <c r="AM288" s="30"/>
      <c r="AN288" s="30"/>
      <c r="AO288" s="30"/>
      <c r="AP288" s="30"/>
      <c r="AQ288" s="30"/>
      <c r="AR288" s="30"/>
      <c r="AS288" s="31" t="s">
        <v>75</v>
      </c>
      <c r="AT288" s="31" t="s">
        <v>75</v>
      </c>
      <c r="AU288" s="35">
        <v>1570918.03</v>
      </c>
      <c r="AV288" s="31" t="s">
        <v>75</v>
      </c>
      <c r="AW288" s="31" t="s">
        <v>75</v>
      </c>
      <c r="AX288" s="36">
        <v>37480.6</v>
      </c>
      <c r="AY288" s="30">
        <v>8393543.4000000004</v>
      </c>
      <c r="AZ288" s="32">
        <v>127814.5</v>
      </c>
      <c r="BA288" s="29">
        <f t="shared" si="10"/>
        <v>8521357.9000000004</v>
      </c>
      <c r="BB288" s="31" t="s">
        <v>75</v>
      </c>
      <c r="BC288" s="31" t="s">
        <v>75</v>
      </c>
      <c r="BD288" s="29">
        <v>1650900.591111111</v>
      </c>
      <c r="BE288" s="113">
        <v>0</v>
      </c>
      <c r="BF288" s="113">
        <v>0</v>
      </c>
      <c r="BG288" s="113">
        <v>0</v>
      </c>
      <c r="BH288" s="113">
        <v>0</v>
      </c>
      <c r="BI288" s="113">
        <v>0</v>
      </c>
      <c r="BJ288" s="113">
        <v>0</v>
      </c>
      <c r="BK288" s="113">
        <v>0</v>
      </c>
      <c r="BL288" s="113">
        <v>0</v>
      </c>
      <c r="BM288" s="113">
        <v>0</v>
      </c>
      <c r="BN288" s="113">
        <v>0</v>
      </c>
      <c r="BO288" s="113">
        <v>0</v>
      </c>
      <c r="BP288" s="113">
        <v>0</v>
      </c>
      <c r="BQ288" s="113">
        <v>0</v>
      </c>
      <c r="BR288" s="113">
        <v>0</v>
      </c>
      <c r="BS288" s="113">
        <v>0</v>
      </c>
      <c r="BT288" s="113">
        <v>0</v>
      </c>
      <c r="BU288" s="113">
        <v>0</v>
      </c>
      <c r="BV288" s="113">
        <v>0</v>
      </c>
      <c r="BW288" s="113"/>
      <c r="BX288" s="113"/>
      <c r="BY288" s="113"/>
      <c r="BZ288" s="113">
        <v>0</v>
      </c>
      <c r="CA288" s="113">
        <v>0</v>
      </c>
      <c r="CB288" s="113">
        <v>0</v>
      </c>
      <c r="CC288" s="113"/>
      <c r="CD288" s="113"/>
      <c r="CE288" s="113"/>
      <c r="CF288" s="113">
        <v>0</v>
      </c>
      <c r="CG288" s="113">
        <v>0</v>
      </c>
      <c r="CH288" s="113">
        <v>0</v>
      </c>
      <c r="CI288" s="113">
        <v>0</v>
      </c>
      <c r="CJ288" s="113">
        <v>0</v>
      </c>
      <c r="CK288" s="113">
        <v>0</v>
      </c>
      <c r="CL288" s="113">
        <v>0</v>
      </c>
      <c r="CM288" s="113">
        <v>0</v>
      </c>
      <c r="CN288" s="113">
        <v>0</v>
      </c>
      <c r="CO288" s="113">
        <v>0</v>
      </c>
      <c r="CP288" s="113">
        <v>0</v>
      </c>
      <c r="CQ288" s="113">
        <v>0</v>
      </c>
      <c r="CR288" s="113">
        <v>0</v>
      </c>
      <c r="CS288" s="113">
        <v>0</v>
      </c>
      <c r="CT288" s="113">
        <v>0</v>
      </c>
      <c r="CU288" s="113">
        <v>0</v>
      </c>
      <c r="CV288" s="113">
        <v>0</v>
      </c>
      <c r="CW288" s="113">
        <v>0</v>
      </c>
      <c r="CX288" s="113">
        <v>0</v>
      </c>
      <c r="CY288" s="113">
        <v>0</v>
      </c>
      <c r="CZ288" s="113">
        <v>0</v>
      </c>
      <c r="DA288" s="113">
        <v>0</v>
      </c>
      <c r="DB288" s="113">
        <v>0</v>
      </c>
      <c r="DC288" s="113">
        <v>0</v>
      </c>
      <c r="DD288" s="113">
        <v>0</v>
      </c>
      <c r="DE288" s="113">
        <v>0</v>
      </c>
      <c r="DF288" s="113">
        <v>0</v>
      </c>
      <c r="DG288" s="113">
        <v>0</v>
      </c>
      <c r="DH288" s="113">
        <v>0</v>
      </c>
      <c r="DI288" s="113">
        <v>0</v>
      </c>
      <c r="DJ288" s="113">
        <v>0</v>
      </c>
      <c r="DK288" s="113">
        <v>0</v>
      </c>
      <c r="DL288" s="113">
        <v>0</v>
      </c>
      <c r="DM288" s="113">
        <v>0</v>
      </c>
      <c r="DN288" s="113">
        <v>0</v>
      </c>
      <c r="DO288" s="113">
        <v>0</v>
      </c>
      <c r="DP288" s="113">
        <v>0</v>
      </c>
      <c r="DQ288" s="113">
        <v>0</v>
      </c>
      <c r="DR288" s="113">
        <v>0</v>
      </c>
      <c r="DS288" s="113">
        <v>0</v>
      </c>
      <c r="DT288" s="113">
        <v>0</v>
      </c>
      <c r="DU288" s="113">
        <v>0</v>
      </c>
      <c r="DV288" s="113">
        <v>0</v>
      </c>
      <c r="DW288" s="113">
        <v>0</v>
      </c>
      <c r="DX288" s="113">
        <v>0</v>
      </c>
      <c r="DY288" s="113">
        <v>0</v>
      </c>
      <c r="DZ288" s="113">
        <v>0</v>
      </c>
      <c r="EA288" s="113">
        <v>0</v>
      </c>
      <c r="EB288" s="113">
        <v>0</v>
      </c>
      <c r="EC288" s="113">
        <v>0</v>
      </c>
      <c r="ED288" s="113">
        <v>0</v>
      </c>
      <c r="EE288" s="113">
        <v>0</v>
      </c>
      <c r="EF288" s="113">
        <v>0</v>
      </c>
      <c r="EG288" s="113">
        <v>0</v>
      </c>
      <c r="EH288" s="113">
        <v>0</v>
      </c>
      <c r="EI288" s="113">
        <v>0</v>
      </c>
      <c r="EJ288" s="113">
        <v>0</v>
      </c>
      <c r="EK288" s="113">
        <v>0</v>
      </c>
      <c r="EL288" s="113">
        <v>0</v>
      </c>
      <c r="EM288" s="113">
        <v>0</v>
      </c>
      <c r="EN288" s="113">
        <v>0</v>
      </c>
      <c r="EO288" s="113">
        <v>0</v>
      </c>
      <c r="EP288" s="113">
        <v>0</v>
      </c>
      <c r="EQ288" s="113">
        <v>0</v>
      </c>
      <c r="ER288" s="113">
        <v>0</v>
      </c>
      <c r="ES288" s="113">
        <v>0</v>
      </c>
      <c r="ET288" s="113">
        <v>0</v>
      </c>
      <c r="EU288" s="113">
        <v>0</v>
      </c>
      <c r="EV288" s="113">
        <v>0</v>
      </c>
      <c r="EW288" s="113">
        <v>0</v>
      </c>
      <c r="EX288" s="113">
        <v>0</v>
      </c>
      <c r="EY288" s="113">
        <v>0</v>
      </c>
      <c r="EZ288" s="113">
        <v>0</v>
      </c>
      <c r="FA288" s="113">
        <v>0</v>
      </c>
      <c r="FB288" s="113">
        <v>0</v>
      </c>
      <c r="FC288" s="113">
        <v>0</v>
      </c>
      <c r="FD288" s="113">
        <v>0</v>
      </c>
      <c r="FE288" s="113">
        <v>0</v>
      </c>
      <c r="FF288" s="113">
        <v>0</v>
      </c>
      <c r="FG288" s="113">
        <v>0</v>
      </c>
      <c r="FH288" s="113">
        <v>0</v>
      </c>
      <c r="FI288" s="113">
        <v>0</v>
      </c>
      <c r="FJ288" s="113">
        <v>0</v>
      </c>
      <c r="FK288" s="113">
        <v>0</v>
      </c>
      <c r="FL288" s="113">
        <v>0</v>
      </c>
      <c r="FM288" s="113">
        <v>0</v>
      </c>
      <c r="FN288" s="113">
        <v>0</v>
      </c>
      <c r="FO288" s="113">
        <v>0</v>
      </c>
      <c r="FP288" s="113">
        <v>0</v>
      </c>
      <c r="FQ288" s="113">
        <v>0</v>
      </c>
      <c r="FR288" s="113">
        <v>0</v>
      </c>
      <c r="FS288" s="113">
        <v>0</v>
      </c>
      <c r="FT288" s="113">
        <v>0</v>
      </c>
      <c r="FU288" s="113">
        <v>0</v>
      </c>
      <c r="FV288" s="113">
        <v>0</v>
      </c>
      <c r="FW288" s="113">
        <v>0</v>
      </c>
      <c r="FX288" s="32">
        <v>0</v>
      </c>
      <c r="FY288" s="30">
        <v>0</v>
      </c>
      <c r="FZ288" s="30">
        <v>0</v>
      </c>
    </row>
    <row r="289" spans="1:182" x14ac:dyDescent="0.2">
      <c r="A289" s="28">
        <v>40360</v>
      </c>
      <c r="B289" s="28"/>
      <c r="C289" s="29">
        <v>357377.91</v>
      </c>
      <c r="D289" s="29">
        <v>245300.65000000002</v>
      </c>
      <c r="E289" s="29">
        <f t="shared" si="8"/>
        <v>602678.56000000006</v>
      </c>
      <c r="F289" s="30">
        <v>4977488.09</v>
      </c>
      <c r="G289" s="30">
        <v>200088.22999999995</v>
      </c>
      <c r="H289" s="30">
        <f t="shared" si="9"/>
        <v>5177576.3199999994</v>
      </c>
      <c r="I289" s="42" t="s">
        <v>75</v>
      </c>
      <c r="J289" s="42" t="s">
        <v>75</v>
      </c>
      <c r="K289" s="32">
        <v>7205182.9399999995</v>
      </c>
      <c r="L289" s="31" t="s">
        <v>75</v>
      </c>
      <c r="M289" s="31" t="s">
        <v>75</v>
      </c>
      <c r="N289" s="30">
        <v>20982066.100000001</v>
      </c>
      <c r="O289" s="31" t="s">
        <v>75</v>
      </c>
      <c r="P289" s="31" t="s">
        <v>75</v>
      </c>
      <c r="Q289" s="30">
        <v>13894698.49</v>
      </c>
      <c r="R289" s="31" t="s">
        <v>75</v>
      </c>
      <c r="S289" s="31" t="s">
        <v>75</v>
      </c>
      <c r="T289" s="32">
        <v>137915.79999999999</v>
      </c>
      <c r="U289" s="17">
        <v>3796.88</v>
      </c>
      <c r="V289" s="17">
        <v>1737.6999999999998</v>
      </c>
      <c r="W289" s="30">
        <f t="shared" si="11"/>
        <v>5534.58</v>
      </c>
      <c r="X289" s="17">
        <v>57727.72</v>
      </c>
      <c r="Y289" s="17">
        <v>7529.1</v>
      </c>
      <c r="Z289" s="30">
        <f t="shared" si="12"/>
        <v>65256.82</v>
      </c>
      <c r="AA289" s="17">
        <v>198193.13</v>
      </c>
      <c r="AB289" s="17">
        <v>5984.4299999999985</v>
      </c>
      <c r="AC289" s="30">
        <f t="shared" si="13"/>
        <v>204177.56</v>
      </c>
      <c r="AD289" s="17">
        <v>6161.7000000000007</v>
      </c>
      <c r="AE289" s="17">
        <v>14677.060000000001</v>
      </c>
      <c r="AF289" s="30">
        <f t="shared" si="14"/>
        <v>20838.760000000002</v>
      </c>
      <c r="AG289" s="32">
        <v>29583.260000000002</v>
      </c>
      <c r="AH289" s="32">
        <v>25030.379999999997</v>
      </c>
      <c r="AI289" s="32">
        <f t="shared" si="15"/>
        <v>54613.64</v>
      </c>
      <c r="AJ289" s="31" t="s">
        <v>75</v>
      </c>
      <c r="AK289" s="31" t="s">
        <v>75</v>
      </c>
      <c r="AL289" s="30">
        <v>36510</v>
      </c>
      <c r="AM289" s="30"/>
      <c r="AN289" s="30"/>
      <c r="AO289" s="30"/>
      <c r="AP289" s="30"/>
      <c r="AQ289" s="30"/>
      <c r="AR289" s="30"/>
      <c r="AS289" s="31" t="s">
        <v>75</v>
      </c>
      <c r="AT289" s="31" t="s">
        <v>75</v>
      </c>
      <c r="AU289" s="35">
        <v>1747194.05</v>
      </c>
      <c r="AV289" s="31" t="s">
        <v>75</v>
      </c>
      <c r="AW289" s="31" t="s">
        <v>75</v>
      </c>
      <c r="AX289" s="36">
        <v>31470.98</v>
      </c>
      <c r="AY289" s="30">
        <v>9013763.8000000007</v>
      </c>
      <c r="AZ289" s="32">
        <v>500</v>
      </c>
      <c r="BA289" s="29">
        <f t="shared" si="10"/>
        <v>9014263.8000000007</v>
      </c>
      <c r="BB289" s="31" t="s">
        <v>75</v>
      </c>
      <c r="BC289" s="31" t="s">
        <v>75</v>
      </c>
      <c r="BD289" s="29">
        <v>1495160.2511111111</v>
      </c>
      <c r="BE289" s="113">
        <v>0</v>
      </c>
      <c r="BF289" s="113">
        <v>0</v>
      </c>
      <c r="BG289" s="113">
        <v>0</v>
      </c>
      <c r="BH289" s="113">
        <v>0</v>
      </c>
      <c r="BI289" s="113">
        <v>0</v>
      </c>
      <c r="BJ289" s="113">
        <v>0</v>
      </c>
      <c r="BK289" s="113">
        <v>0</v>
      </c>
      <c r="BL289" s="113">
        <v>0</v>
      </c>
      <c r="BM289" s="113">
        <v>0</v>
      </c>
      <c r="BN289" s="113">
        <v>0</v>
      </c>
      <c r="BO289" s="113">
        <v>0</v>
      </c>
      <c r="BP289" s="113">
        <v>0</v>
      </c>
      <c r="BQ289" s="113">
        <v>0</v>
      </c>
      <c r="BR289" s="113">
        <v>0</v>
      </c>
      <c r="BS289" s="113">
        <v>0</v>
      </c>
      <c r="BT289" s="113">
        <v>0</v>
      </c>
      <c r="BU289" s="113">
        <v>0</v>
      </c>
      <c r="BV289" s="113">
        <v>0</v>
      </c>
      <c r="BW289" s="113"/>
      <c r="BX289" s="113"/>
      <c r="BY289" s="113"/>
      <c r="BZ289" s="113">
        <v>0</v>
      </c>
      <c r="CA289" s="113">
        <v>0</v>
      </c>
      <c r="CB289" s="113">
        <v>0</v>
      </c>
      <c r="CC289" s="113"/>
      <c r="CD289" s="113"/>
      <c r="CE289" s="113"/>
      <c r="CF289" s="113">
        <v>0</v>
      </c>
      <c r="CG289" s="113">
        <v>0</v>
      </c>
      <c r="CH289" s="113">
        <v>0</v>
      </c>
      <c r="CI289" s="113">
        <v>0</v>
      </c>
      <c r="CJ289" s="113">
        <v>0</v>
      </c>
      <c r="CK289" s="113">
        <v>0</v>
      </c>
      <c r="CL289" s="113">
        <v>0</v>
      </c>
      <c r="CM289" s="113">
        <v>0</v>
      </c>
      <c r="CN289" s="113">
        <v>0</v>
      </c>
      <c r="CO289" s="113">
        <v>0</v>
      </c>
      <c r="CP289" s="113">
        <v>0</v>
      </c>
      <c r="CQ289" s="113">
        <v>0</v>
      </c>
      <c r="CR289" s="113">
        <v>0</v>
      </c>
      <c r="CS289" s="113">
        <v>0</v>
      </c>
      <c r="CT289" s="113">
        <v>0</v>
      </c>
      <c r="CU289" s="113">
        <v>0</v>
      </c>
      <c r="CV289" s="113">
        <v>0</v>
      </c>
      <c r="CW289" s="113">
        <v>0</v>
      </c>
      <c r="CX289" s="113">
        <v>0</v>
      </c>
      <c r="CY289" s="113">
        <v>0</v>
      </c>
      <c r="CZ289" s="113">
        <v>0</v>
      </c>
      <c r="DA289" s="113">
        <v>0</v>
      </c>
      <c r="DB289" s="113">
        <v>0</v>
      </c>
      <c r="DC289" s="113">
        <v>0</v>
      </c>
      <c r="DD289" s="113">
        <v>0</v>
      </c>
      <c r="DE289" s="113">
        <v>0</v>
      </c>
      <c r="DF289" s="113">
        <v>0</v>
      </c>
      <c r="DG289" s="113">
        <v>0</v>
      </c>
      <c r="DH289" s="113">
        <v>0</v>
      </c>
      <c r="DI289" s="113">
        <v>0</v>
      </c>
      <c r="DJ289" s="113">
        <v>0</v>
      </c>
      <c r="DK289" s="113">
        <v>0</v>
      </c>
      <c r="DL289" s="113">
        <v>0</v>
      </c>
      <c r="DM289" s="113">
        <v>0</v>
      </c>
      <c r="DN289" s="113">
        <v>0</v>
      </c>
      <c r="DO289" s="113">
        <v>0</v>
      </c>
      <c r="DP289" s="113">
        <v>0</v>
      </c>
      <c r="DQ289" s="113">
        <v>0</v>
      </c>
      <c r="DR289" s="113">
        <v>0</v>
      </c>
      <c r="DS289" s="113">
        <v>0</v>
      </c>
      <c r="DT289" s="113">
        <v>0</v>
      </c>
      <c r="DU289" s="113">
        <v>0</v>
      </c>
      <c r="DV289" s="113">
        <v>0</v>
      </c>
      <c r="DW289" s="113">
        <v>0</v>
      </c>
      <c r="DX289" s="113">
        <v>0</v>
      </c>
      <c r="DY289" s="113">
        <v>0</v>
      </c>
      <c r="DZ289" s="113">
        <v>0</v>
      </c>
      <c r="EA289" s="113">
        <v>0</v>
      </c>
      <c r="EB289" s="113">
        <v>0</v>
      </c>
      <c r="EC289" s="113">
        <v>0</v>
      </c>
      <c r="ED289" s="113">
        <v>0</v>
      </c>
      <c r="EE289" s="113">
        <v>0</v>
      </c>
      <c r="EF289" s="113">
        <v>0</v>
      </c>
      <c r="EG289" s="113">
        <v>0</v>
      </c>
      <c r="EH289" s="113">
        <v>0</v>
      </c>
      <c r="EI289" s="113">
        <v>0</v>
      </c>
      <c r="EJ289" s="113">
        <v>0</v>
      </c>
      <c r="EK289" s="113">
        <v>0</v>
      </c>
      <c r="EL289" s="113">
        <v>0</v>
      </c>
      <c r="EM289" s="113">
        <v>0</v>
      </c>
      <c r="EN289" s="113">
        <v>0</v>
      </c>
      <c r="EO289" s="113">
        <v>0</v>
      </c>
      <c r="EP289" s="113">
        <v>0</v>
      </c>
      <c r="EQ289" s="113">
        <v>0</v>
      </c>
      <c r="ER289" s="113">
        <v>0</v>
      </c>
      <c r="ES289" s="113">
        <v>0</v>
      </c>
      <c r="ET289" s="113">
        <v>0</v>
      </c>
      <c r="EU289" s="113">
        <v>0</v>
      </c>
      <c r="EV289" s="113">
        <v>0</v>
      </c>
      <c r="EW289" s="113">
        <v>0</v>
      </c>
      <c r="EX289" s="113">
        <v>0</v>
      </c>
      <c r="EY289" s="113">
        <v>0</v>
      </c>
      <c r="EZ289" s="113">
        <v>0</v>
      </c>
      <c r="FA289" s="113">
        <v>0</v>
      </c>
      <c r="FB289" s="113">
        <v>0</v>
      </c>
      <c r="FC289" s="113">
        <v>0</v>
      </c>
      <c r="FD289" s="113">
        <v>0</v>
      </c>
      <c r="FE289" s="113">
        <v>0</v>
      </c>
      <c r="FF289" s="113">
        <v>0</v>
      </c>
      <c r="FG289" s="113">
        <v>0</v>
      </c>
      <c r="FH289" s="113">
        <v>0</v>
      </c>
      <c r="FI289" s="113">
        <v>0</v>
      </c>
      <c r="FJ289" s="113">
        <v>0</v>
      </c>
      <c r="FK289" s="113">
        <v>0</v>
      </c>
      <c r="FL289" s="113">
        <v>0</v>
      </c>
      <c r="FM289" s="113">
        <v>0</v>
      </c>
      <c r="FN289" s="113">
        <v>0</v>
      </c>
      <c r="FO289" s="113">
        <v>0</v>
      </c>
      <c r="FP289" s="113">
        <v>0</v>
      </c>
      <c r="FQ289" s="113">
        <v>0</v>
      </c>
      <c r="FR289" s="113">
        <v>0</v>
      </c>
      <c r="FS289" s="113">
        <v>0</v>
      </c>
      <c r="FT289" s="113">
        <v>0</v>
      </c>
      <c r="FU289" s="113">
        <v>0</v>
      </c>
      <c r="FV289" s="113">
        <v>0</v>
      </c>
      <c r="FW289" s="113">
        <v>0</v>
      </c>
      <c r="FX289" s="32">
        <v>0</v>
      </c>
      <c r="FY289" s="30">
        <v>0</v>
      </c>
      <c r="FZ289" s="30">
        <v>0</v>
      </c>
    </row>
    <row r="290" spans="1:182" x14ac:dyDescent="0.2">
      <c r="A290" s="28">
        <v>40391</v>
      </c>
      <c r="B290" s="28"/>
      <c r="C290" s="29">
        <v>243026.32</v>
      </c>
      <c r="D290" s="29">
        <v>213150.77</v>
      </c>
      <c r="E290" s="29">
        <f t="shared" si="8"/>
        <v>456177.08999999997</v>
      </c>
      <c r="F290" s="30">
        <v>5304625.43</v>
      </c>
      <c r="G290" s="30">
        <v>252030.96</v>
      </c>
      <c r="H290" s="30">
        <f t="shared" si="9"/>
        <v>5556656.3899999997</v>
      </c>
      <c r="I290" s="42" t="s">
        <v>75</v>
      </c>
      <c r="J290" s="42" t="s">
        <v>75</v>
      </c>
      <c r="K290" s="32">
        <v>10392276.079999998</v>
      </c>
      <c r="L290" s="31" t="s">
        <v>75</v>
      </c>
      <c r="M290" s="31" t="s">
        <v>75</v>
      </c>
      <c r="N290" s="30">
        <v>20997181.220000003</v>
      </c>
      <c r="O290" s="31" t="s">
        <v>75</v>
      </c>
      <c r="P290" s="31" t="s">
        <v>75</v>
      </c>
      <c r="Q290" s="30">
        <v>14630037.029999999</v>
      </c>
      <c r="R290" s="31" t="s">
        <v>75</v>
      </c>
      <c r="S290" s="31" t="s">
        <v>75</v>
      </c>
      <c r="T290" s="32">
        <v>126731.1</v>
      </c>
      <c r="U290" s="17">
        <v>7707.98</v>
      </c>
      <c r="V290" s="17">
        <v>3181.77</v>
      </c>
      <c r="W290" s="30">
        <f t="shared" si="11"/>
        <v>10889.75</v>
      </c>
      <c r="X290" s="17">
        <v>74304</v>
      </c>
      <c r="Y290" s="17">
        <v>8925.380000000001</v>
      </c>
      <c r="Z290" s="30">
        <f t="shared" si="12"/>
        <v>83229.38</v>
      </c>
      <c r="AA290" s="17">
        <v>171632.88</v>
      </c>
      <c r="AB290" s="17">
        <v>6504.8499999999995</v>
      </c>
      <c r="AC290" s="30">
        <f t="shared" si="13"/>
        <v>178137.73</v>
      </c>
      <c r="AD290" s="17">
        <v>5689.47</v>
      </c>
      <c r="AE290" s="17">
        <v>22286.22</v>
      </c>
      <c r="AF290" s="30">
        <f t="shared" si="14"/>
        <v>27975.690000000002</v>
      </c>
      <c r="AG290" s="32">
        <v>30733.9</v>
      </c>
      <c r="AH290" s="32">
        <v>38480.520000000004</v>
      </c>
      <c r="AI290" s="32">
        <f t="shared" si="15"/>
        <v>69214.420000000013</v>
      </c>
      <c r="AJ290" s="31" t="s">
        <v>75</v>
      </c>
      <c r="AK290" s="31" t="s">
        <v>75</v>
      </c>
      <c r="AL290" s="30">
        <v>35897.5</v>
      </c>
      <c r="AM290" s="30"/>
      <c r="AN290" s="30"/>
      <c r="AO290" s="30"/>
      <c r="AP290" s="30"/>
      <c r="AQ290" s="30"/>
      <c r="AR290" s="30"/>
      <c r="AS290" s="31" t="s">
        <v>75</v>
      </c>
      <c r="AT290" s="31" t="s">
        <v>75</v>
      </c>
      <c r="AU290" s="35">
        <v>1561967.01</v>
      </c>
      <c r="AV290" s="31" t="s">
        <v>75</v>
      </c>
      <c r="AW290" s="31" t="s">
        <v>75</v>
      </c>
      <c r="AX290" s="36">
        <v>35416.769999999997</v>
      </c>
      <c r="AY290" s="30">
        <v>9025201.8000000007</v>
      </c>
      <c r="AZ290" s="32">
        <v>0</v>
      </c>
      <c r="BA290" s="29">
        <f t="shared" si="10"/>
        <v>9025201.8000000007</v>
      </c>
      <c r="BB290" s="31" t="s">
        <v>75</v>
      </c>
      <c r="BC290" s="31" t="s">
        <v>75</v>
      </c>
      <c r="BD290" s="29">
        <v>1634921.3577777778</v>
      </c>
      <c r="BE290" s="113">
        <v>0</v>
      </c>
      <c r="BF290" s="113">
        <v>0</v>
      </c>
      <c r="BG290" s="113">
        <v>0</v>
      </c>
      <c r="BH290" s="113">
        <v>0</v>
      </c>
      <c r="BI290" s="113">
        <v>0</v>
      </c>
      <c r="BJ290" s="113">
        <v>0</v>
      </c>
      <c r="BK290" s="113">
        <v>0</v>
      </c>
      <c r="BL290" s="113">
        <v>0</v>
      </c>
      <c r="BM290" s="113">
        <v>0</v>
      </c>
      <c r="BN290" s="113">
        <v>0</v>
      </c>
      <c r="BO290" s="113">
        <v>0</v>
      </c>
      <c r="BP290" s="113">
        <v>0</v>
      </c>
      <c r="BQ290" s="113">
        <v>0</v>
      </c>
      <c r="BR290" s="113">
        <v>0</v>
      </c>
      <c r="BS290" s="113">
        <v>0</v>
      </c>
      <c r="BT290" s="113">
        <v>0</v>
      </c>
      <c r="BU290" s="113">
        <v>0</v>
      </c>
      <c r="BV290" s="113">
        <v>0</v>
      </c>
      <c r="BW290" s="113"/>
      <c r="BX290" s="113"/>
      <c r="BY290" s="113"/>
      <c r="BZ290" s="113">
        <v>0</v>
      </c>
      <c r="CA290" s="113">
        <v>0</v>
      </c>
      <c r="CB290" s="113">
        <v>0</v>
      </c>
      <c r="CC290" s="113"/>
      <c r="CD290" s="113"/>
      <c r="CE290" s="113"/>
      <c r="CF290" s="113">
        <v>0</v>
      </c>
      <c r="CG290" s="113">
        <v>0</v>
      </c>
      <c r="CH290" s="113">
        <v>0</v>
      </c>
      <c r="CI290" s="113">
        <v>0</v>
      </c>
      <c r="CJ290" s="113">
        <v>0</v>
      </c>
      <c r="CK290" s="113">
        <v>0</v>
      </c>
      <c r="CL290" s="113">
        <v>0</v>
      </c>
      <c r="CM290" s="113">
        <v>0</v>
      </c>
      <c r="CN290" s="113">
        <v>0</v>
      </c>
      <c r="CO290" s="113">
        <v>0</v>
      </c>
      <c r="CP290" s="113">
        <v>0</v>
      </c>
      <c r="CQ290" s="113">
        <v>0</v>
      </c>
      <c r="CR290" s="113">
        <v>0</v>
      </c>
      <c r="CS290" s="113">
        <v>0</v>
      </c>
      <c r="CT290" s="113">
        <v>0</v>
      </c>
      <c r="CU290" s="113">
        <v>0</v>
      </c>
      <c r="CV290" s="113">
        <v>0</v>
      </c>
      <c r="CW290" s="113">
        <v>0</v>
      </c>
      <c r="CX290" s="113">
        <v>0</v>
      </c>
      <c r="CY290" s="113">
        <v>0</v>
      </c>
      <c r="CZ290" s="113">
        <v>0</v>
      </c>
      <c r="DA290" s="113">
        <v>0</v>
      </c>
      <c r="DB290" s="113">
        <v>0</v>
      </c>
      <c r="DC290" s="113">
        <v>0</v>
      </c>
      <c r="DD290" s="113">
        <v>0</v>
      </c>
      <c r="DE290" s="113">
        <v>0</v>
      </c>
      <c r="DF290" s="113">
        <v>0</v>
      </c>
      <c r="DG290" s="113">
        <v>0</v>
      </c>
      <c r="DH290" s="113">
        <v>0</v>
      </c>
      <c r="DI290" s="113">
        <v>0</v>
      </c>
      <c r="DJ290" s="113">
        <v>0</v>
      </c>
      <c r="DK290" s="113">
        <v>0</v>
      </c>
      <c r="DL290" s="113">
        <v>0</v>
      </c>
      <c r="DM290" s="113">
        <v>0</v>
      </c>
      <c r="DN290" s="113">
        <v>0</v>
      </c>
      <c r="DO290" s="113">
        <v>0</v>
      </c>
      <c r="DP290" s="113">
        <v>0</v>
      </c>
      <c r="DQ290" s="113">
        <v>0</v>
      </c>
      <c r="DR290" s="113">
        <v>0</v>
      </c>
      <c r="DS290" s="113">
        <v>0</v>
      </c>
      <c r="DT290" s="113">
        <v>0</v>
      </c>
      <c r="DU290" s="113">
        <v>0</v>
      </c>
      <c r="DV290" s="113">
        <v>0</v>
      </c>
      <c r="DW290" s="113">
        <v>0</v>
      </c>
      <c r="DX290" s="113">
        <v>0</v>
      </c>
      <c r="DY290" s="113">
        <v>0</v>
      </c>
      <c r="DZ290" s="113">
        <v>0</v>
      </c>
      <c r="EA290" s="113">
        <v>0</v>
      </c>
      <c r="EB290" s="113">
        <v>0</v>
      </c>
      <c r="EC290" s="113">
        <v>0</v>
      </c>
      <c r="ED290" s="113">
        <v>0</v>
      </c>
      <c r="EE290" s="113">
        <v>0</v>
      </c>
      <c r="EF290" s="113">
        <v>0</v>
      </c>
      <c r="EG290" s="113">
        <v>0</v>
      </c>
      <c r="EH290" s="113">
        <v>0</v>
      </c>
      <c r="EI290" s="113">
        <v>0</v>
      </c>
      <c r="EJ290" s="113">
        <v>0</v>
      </c>
      <c r="EK290" s="113">
        <v>0</v>
      </c>
      <c r="EL290" s="113">
        <v>0</v>
      </c>
      <c r="EM290" s="113">
        <v>0</v>
      </c>
      <c r="EN290" s="113">
        <v>0</v>
      </c>
      <c r="EO290" s="113">
        <v>0</v>
      </c>
      <c r="EP290" s="113">
        <v>0</v>
      </c>
      <c r="EQ290" s="113">
        <v>0</v>
      </c>
      <c r="ER290" s="113">
        <v>0</v>
      </c>
      <c r="ES290" s="113">
        <v>0</v>
      </c>
      <c r="ET290" s="113">
        <v>0</v>
      </c>
      <c r="EU290" s="113">
        <v>0</v>
      </c>
      <c r="EV290" s="113">
        <v>0</v>
      </c>
      <c r="EW290" s="113">
        <v>0</v>
      </c>
      <c r="EX290" s="113">
        <v>0</v>
      </c>
      <c r="EY290" s="113">
        <v>0</v>
      </c>
      <c r="EZ290" s="113">
        <v>0</v>
      </c>
      <c r="FA290" s="113">
        <v>0</v>
      </c>
      <c r="FB290" s="113">
        <v>0</v>
      </c>
      <c r="FC290" s="113">
        <v>0</v>
      </c>
      <c r="FD290" s="113">
        <v>0</v>
      </c>
      <c r="FE290" s="113">
        <v>0</v>
      </c>
      <c r="FF290" s="113">
        <v>0</v>
      </c>
      <c r="FG290" s="113">
        <v>0</v>
      </c>
      <c r="FH290" s="113">
        <v>0</v>
      </c>
      <c r="FI290" s="113">
        <v>0</v>
      </c>
      <c r="FJ290" s="113">
        <v>0</v>
      </c>
      <c r="FK290" s="113">
        <v>0</v>
      </c>
      <c r="FL290" s="113">
        <v>0</v>
      </c>
      <c r="FM290" s="113">
        <v>0</v>
      </c>
      <c r="FN290" s="113">
        <v>0</v>
      </c>
      <c r="FO290" s="113">
        <v>0</v>
      </c>
      <c r="FP290" s="113">
        <v>0</v>
      </c>
      <c r="FQ290" s="113">
        <v>0</v>
      </c>
      <c r="FR290" s="113">
        <v>0</v>
      </c>
      <c r="FS290" s="113">
        <v>0</v>
      </c>
      <c r="FT290" s="113">
        <v>0</v>
      </c>
      <c r="FU290" s="113">
        <v>0</v>
      </c>
      <c r="FV290" s="113">
        <v>0</v>
      </c>
      <c r="FW290" s="113">
        <v>0</v>
      </c>
      <c r="FX290" s="32">
        <v>0</v>
      </c>
      <c r="FY290" s="30">
        <v>0</v>
      </c>
      <c r="FZ290" s="30">
        <v>0</v>
      </c>
    </row>
    <row r="291" spans="1:182" x14ac:dyDescent="0.2">
      <c r="A291" s="28">
        <v>40422</v>
      </c>
      <c r="B291" s="28"/>
      <c r="C291" s="29">
        <v>255119.09</v>
      </c>
      <c r="D291" s="29">
        <v>241539.15</v>
      </c>
      <c r="E291" s="29">
        <f t="shared" si="8"/>
        <v>496658.24</v>
      </c>
      <c r="F291" s="30">
        <v>5439646.0499999998</v>
      </c>
      <c r="G291" s="30">
        <v>221399.34</v>
      </c>
      <c r="H291" s="30">
        <f t="shared" si="9"/>
        <v>5661045.3899999997</v>
      </c>
      <c r="I291" s="42" t="s">
        <v>75</v>
      </c>
      <c r="J291" s="42" t="s">
        <v>75</v>
      </c>
      <c r="K291" s="32">
        <v>15733150.6</v>
      </c>
      <c r="L291" s="31" t="s">
        <v>75</v>
      </c>
      <c r="M291" s="31" t="s">
        <v>75</v>
      </c>
      <c r="N291" s="30">
        <v>20221484.75</v>
      </c>
      <c r="O291" s="31" t="s">
        <v>75</v>
      </c>
      <c r="P291" s="31" t="s">
        <v>75</v>
      </c>
      <c r="Q291" s="30">
        <v>17584040.509999998</v>
      </c>
      <c r="R291" s="31" t="s">
        <v>75</v>
      </c>
      <c r="S291" s="31" t="s">
        <v>75</v>
      </c>
      <c r="T291" s="32">
        <v>138285.92000000001</v>
      </c>
      <c r="U291" s="17">
        <v>4683.8600000000006</v>
      </c>
      <c r="V291" s="17">
        <v>3020.6</v>
      </c>
      <c r="W291" s="30">
        <f t="shared" si="11"/>
        <v>7704.4600000000009</v>
      </c>
      <c r="X291" s="17">
        <v>69168.73</v>
      </c>
      <c r="Y291" s="17">
        <v>11612.35</v>
      </c>
      <c r="Z291" s="30">
        <f t="shared" si="12"/>
        <v>80781.08</v>
      </c>
      <c r="AA291" s="17">
        <v>114836.1</v>
      </c>
      <c r="AB291" s="17">
        <v>6713.3000000000011</v>
      </c>
      <c r="AC291" s="30">
        <f t="shared" si="13"/>
        <v>121549.40000000001</v>
      </c>
      <c r="AD291" s="17">
        <v>8522.93</v>
      </c>
      <c r="AE291" s="17">
        <v>20902.899999999998</v>
      </c>
      <c r="AF291" s="30">
        <f t="shared" si="14"/>
        <v>29425.829999999998</v>
      </c>
      <c r="AG291" s="32">
        <v>31059.750000000004</v>
      </c>
      <c r="AH291" s="32">
        <v>23447.53</v>
      </c>
      <c r="AI291" s="32">
        <f t="shared" si="15"/>
        <v>54507.28</v>
      </c>
      <c r="AJ291" s="31" t="s">
        <v>75</v>
      </c>
      <c r="AK291" s="31" t="s">
        <v>75</v>
      </c>
      <c r="AL291" s="30">
        <v>40788.75</v>
      </c>
      <c r="AM291" s="30"/>
      <c r="AN291" s="30"/>
      <c r="AO291" s="30"/>
      <c r="AP291" s="30"/>
      <c r="AQ291" s="30"/>
      <c r="AR291" s="30"/>
      <c r="AS291" s="31" t="s">
        <v>75</v>
      </c>
      <c r="AT291" s="31" t="s">
        <v>75</v>
      </c>
      <c r="AU291" s="35">
        <v>1817773.07</v>
      </c>
      <c r="AV291" s="31" t="s">
        <v>75</v>
      </c>
      <c r="AW291" s="31" t="s">
        <v>75</v>
      </c>
      <c r="AX291" s="36">
        <v>43949.51</v>
      </c>
      <c r="AY291" s="30">
        <v>8632412.0999999996</v>
      </c>
      <c r="AZ291" s="32">
        <v>0</v>
      </c>
      <c r="BA291" s="29">
        <f t="shared" si="10"/>
        <v>8632412.0999999996</v>
      </c>
      <c r="BB291" s="31" t="s">
        <v>75</v>
      </c>
      <c r="BC291" s="31" t="s">
        <v>75</v>
      </c>
      <c r="BD291" s="29">
        <v>1556460.6222222222</v>
      </c>
      <c r="BE291" s="113">
        <v>0</v>
      </c>
      <c r="BF291" s="113">
        <v>0</v>
      </c>
      <c r="BG291" s="113">
        <v>0</v>
      </c>
      <c r="BH291" s="113">
        <v>0</v>
      </c>
      <c r="BI291" s="113">
        <v>0</v>
      </c>
      <c r="BJ291" s="113">
        <v>0</v>
      </c>
      <c r="BK291" s="113">
        <v>0</v>
      </c>
      <c r="BL291" s="113">
        <v>0</v>
      </c>
      <c r="BM291" s="113">
        <v>0</v>
      </c>
      <c r="BN291" s="113">
        <v>0</v>
      </c>
      <c r="BO291" s="113">
        <v>0</v>
      </c>
      <c r="BP291" s="113">
        <v>0</v>
      </c>
      <c r="BQ291" s="113">
        <v>0</v>
      </c>
      <c r="BR291" s="113">
        <v>0</v>
      </c>
      <c r="BS291" s="113">
        <v>0</v>
      </c>
      <c r="BT291" s="113">
        <v>0</v>
      </c>
      <c r="BU291" s="113">
        <v>0</v>
      </c>
      <c r="BV291" s="113">
        <v>0</v>
      </c>
      <c r="BW291" s="113"/>
      <c r="BX291" s="113"/>
      <c r="BY291" s="113"/>
      <c r="BZ291" s="113">
        <v>0</v>
      </c>
      <c r="CA291" s="113">
        <v>0</v>
      </c>
      <c r="CB291" s="113">
        <v>0</v>
      </c>
      <c r="CC291" s="113"/>
      <c r="CD291" s="113"/>
      <c r="CE291" s="113"/>
      <c r="CF291" s="113">
        <v>0</v>
      </c>
      <c r="CG291" s="113">
        <v>0</v>
      </c>
      <c r="CH291" s="113">
        <v>0</v>
      </c>
      <c r="CI291" s="113">
        <v>0</v>
      </c>
      <c r="CJ291" s="113">
        <v>0</v>
      </c>
      <c r="CK291" s="113">
        <v>0</v>
      </c>
      <c r="CL291" s="113">
        <v>0</v>
      </c>
      <c r="CM291" s="113">
        <v>0</v>
      </c>
      <c r="CN291" s="113">
        <v>0</v>
      </c>
      <c r="CO291" s="113">
        <v>0</v>
      </c>
      <c r="CP291" s="113">
        <v>0</v>
      </c>
      <c r="CQ291" s="113">
        <v>0</v>
      </c>
      <c r="CR291" s="113">
        <v>0</v>
      </c>
      <c r="CS291" s="113">
        <v>0</v>
      </c>
      <c r="CT291" s="113">
        <v>0</v>
      </c>
      <c r="CU291" s="113">
        <v>0</v>
      </c>
      <c r="CV291" s="113">
        <v>0</v>
      </c>
      <c r="CW291" s="113">
        <v>0</v>
      </c>
      <c r="CX291" s="113">
        <v>0</v>
      </c>
      <c r="CY291" s="113">
        <v>0</v>
      </c>
      <c r="CZ291" s="113">
        <v>0</v>
      </c>
      <c r="DA291" s="113">
        <v>0</v>
      </c>
      <c r="DB291" s="113">
        <v>0</v>
      </c>
      <c r="DC291" s="113">
        <v>0</v>
      </c>
      <c r="DD291" s="113">
        <v>0</v>
      </c>
      <c r="DE291" s="113">
        <v>0</v>
      </c>
      <c r="DF291" s="113">
        <v>0</v>
      </c>
      <c r="DG291" s="113">
        <v>0</v>
      </c>
      <c r="DH291" s="113">
        <v>0</v>
      </c>
      <c r="DI291" s="113">
        <v>0</v>
      </c>
      <c r="DJ291" s="113">
        <v>0</v>
      </c>
      <c r="DK291" s="113">
        <v>0</v>
      </c>
      <c r="DL291" s="113">
        <v>0</v>
      </c>
      <c r="DM291" s="113">
        <v>0</v>
      </c>
      <c r="DN291" s="113">
        <v>0</v>
      </c>
      <c r="DO291" s="113">
        <v>0</v>
      </c>
      <c r="DP291" s="113">
        <v>0</v>
      </c>
      <c r="DQ291" s="113">
        <v>0</v>
      </c>
      <c r="DR291" s="113">
        <v>0</v>
      </c>
      <c r="DS291" s="113">
        <v>0</v>
      </c>
      <c r="DT291" s="113">
        <v>0</v>
      </c>
      <c r="DU291" s="113">
        <v>0</v>
      </c>
      <c r="DV291" s="113">
        <v>0</v>
      </c>
      <c r="DW291" s="113">
        <v>0</v>
      </c>
      <c r="DX291" s="113">
        <v>0</v>
      </c>
      <c r="DY291" s="113">
        <v>0</v>
      </c>
      <c r="DZ291" s="113">
        <v>0</v>
      </c>
      <c r="EA291" s="113">
        <v>0</v>
      </c>
      <c r="EB291" s="113">
        <v>0</v>
      </c>
      <c r="EC291" s="113">
        <v>0</v>
      </c>
      <c r="ED291" s="113">
        <v>0</v>
      </c>
      <c r="EE291" s="113">
        <v>0</v>
      </c>
      <c r="EF291" s="113">
        <v>0</v>
      </c>
      <c r="EG291" s="113">
        <v>0</v>
      </c>
      <c r="EH291" s="113">
        <v>0</v>
      </c>
      <c r="EI291" s="113">
        <v>0</v>
      </c>
      <c r="EJ291" s="113">
        <v>0</v>
      </c>
      <c r="EK291" s="113">
        <v>0</v>
      </c>
      <c r="EL291" s="113">
        <v>0</v>
      </c>
      <c r="EM291" s="113">
        <v>0</v>
      </c>
      <c r="EN291" s="113">
        <v>0</v>
      </c>
      <c r="EO291" s="113">
        <v>0</v>
      </c>
      <c r="EP291" s="113">
        <v>0</v>
      </c>
      <c r="EQ291" s="113">
        <v>0</v>
      </c>
      <c r="ER291" s="113">
        <v>0</v>
      </c>
      <c r="ES291" s="113">
        <v>0</v>
      </c>
      <c r="ET291" s="113">
        <v>0</v>
      </c>
      <c r="EU291" s="113">
        <v>0</v>
      </c>
      <c r="EV291" s="113">
        <v>0</v>
      </c>
      <c r="EW291" s="113">
        <v>0</v>
      </c>
      <c r="EX291" s="113">
        <v>0</v>
      </c>
      <c r="EY291" s="113">
        <v>0</v>
      </c>
      <c r="EZ291" s="113">
        <v>0</v>
      </c>
      <c r="FA291" s="113">
        <v>0</v>
      </c>
      <c r="FB291" s="113">
        <v>0</v>
      </c>
      <c r="FC291" s="113">
        <v>0</v>
      </c>
      <c r="FD291" s="113">
        <v>0</v>
      </c>
      <c r="FE291" s="113">
        <v>0</v>
      </c>
      <c r="FF291" s="113">
        <v>0</v>
      </c>
      <c r="FG291" s="113">
        <v>0</v>
      </c>
      <c r="FH291" s="113">
        <v>0</v>
      </c>
      <c r="FI291" s="113">
        <v>0</v>
      </c>
      <c r="FJ291" s="113">
        <v>0</v>
      </c>
      <c r="FK291" s="113">
        <v>0</v>
      </c>
      <c r="FL291" s="113">
        <v>0</v>
      </c>
      <c r="FM291" s="113">
        <v>0</v>
      </c>
      <c r="FN291" s="113">
        <v>0</v>
      </c>
      <c r="FO291" s="113">
        <v>0</v>
      </c>
      <c r="FP291" s="113">
        <v>0</v>
      </c>
      <c r="FQ291" s="113">
        <v>0</v>
      </c>
      <c r="FR291" s="113">
        <v>0</v>
      </c>
      <c r="FS291" s="113">
        <v>0</v>
      </c>
      <c r="FT291" s="113">
        <v>0</v>
      </c>
      <c r="FU291" s="113">
        <v>0</v>
      </c>
      <c r="FV291" s="113">
        <v>0</v>
      </c>
      <c r="FW291" s="113">
        <v>0</v>
      </c>
      <c r="FX291" s="32">
        <v>0</v>
      </c>
      <c r="FY291" s="30">
        <v>0</v>
      </c>
      <c r="FZ291" s="30">
        <v>0</v>
      </c>
    </row>
    <row r="292" spans="1:182" x14ac:dyDescent="0.2">
      <c r="A292" s="28">
        <v>40452</v>
      </c>
      <c r="B292" s="28"/>
      <c r="C292" s="29">
        <v>280830.44999999995</v>
      </c>
      <c r="D292" s="29">
        <v>220225.36</v>
      </c>
      <c r="E292" s="29">
        <f t="shared" si="8"/>
        <v>501055.80999999994</v>
      </c>
      <c r="F292" s="30">
        <v>8703280.7100000009</v>
      </c>
      <c r="G292" s="30">
        <v>358513.47</v>
      </c>
      <c r="H292" s="30">
        <f t="shared" si="9"/>
        <v>9061794.1800000016</v>
      </c>
      <c r="I292" s="42" t="s">
        <v>75</v>
      </c>
      <c r="J292" s="42" t="s">
        <v>75</v>
      </c>
      <c r="K292" s="32">
        <v>10880090.130000001</v>
      </c>
      <c r="L292" s="31" t="s">
        <v>75</v>
      </c>
      <c r="M292" s="31" t="s">
        <v>75</v>
      </c>
      <c r="N292" s="30">
        <v>23058624.530000001</v>
      </c>
      <c r="O292" s="31" t="s">
        <v>75</v>
      </c>
      <c r="P292" s="31" t="s">
        <v>75</v>
      </c>
      <c r="Q292" s="30">
        <v>18624286.239999998</v>
      </c>
      <c r="R292" s="31" t="s">
        <v>75</v>
      </c>
      <c r="S292" s="31" t="s">
        <v>75</v>
      </c>
      <c r="T292" s="32">
        <v>121034.78</v>
      </c>
      <c r="U292" s="17">
        <v>11065.25</v>
      </c>
      <c r="V292" s="17">
        <v>7030.9400000000005</v>
      </c>
      <c r="W292" s="30">
        <f t="shared" si="11"/>
        <v>18096.190000000002</v>
      </c>
      <c r="X292" s="17">
        <v>56719.55</v>
      </c>
      <c r="Y292" s="17">
        <v>11101.59</v>
      </c>
      <c r="Z292" s="30">
        <f t="shared" si="12"/>
        <v>67821.14</v>
      </c>
      <c r="AA292" s="17">
        <v>85887.9</v>
      </c>
      <c r="AB292" s="17">
        <v>4910.84</v>
      </c>
      <c r="AC292" s="30">
        <f t="shared" si="13"/>
        <v>90798.739999999991</v>
      </c>
      <c r="AD292" s="17">
        <v>7361.62</v>
      </c>
      <c r="AE292" s="17">
        <v>38983.950000000004</v>
      </c>
      <c r="AF292" s="30">
        <f t="shared" si="14"/>
        <v>46345.570000000007</v>
      </c>
      <c r="AG292" s="32">
        <v>30210.44</v>
      </c>
      <c r="AH292" s="32">
        <v>26258.749999999996</v>
      </c>
      <c r="AI292" s="32">
        <f t="shared" si="15"/>
        <v>56469.189999999995</v>
      </c>
      <c r="AJ292" s="31" t="s">
        <v>75</v>
      </c>
      <c r="AK292" s="31" t="s">
        <v>75</v>
      </c>
      <c r="AL292" s="30">
        <v>42452.5</v>
      </c>
      <c r="AM292" s="30"/>
      <c r="AN292" s="30"/>
      <c r="AO292" s="30"/>
      <c r="AP292" s="30"/>
      <c r="AQ292" s="30"/>
      <c r="AR292" s="30"/>
      <c r="AS292" s="31" t="s">
        <v>75</v>
      </c>
      <c r="AT292" s="31" t="s">
        <v>75</v>
      </c>
      <c r="AU292" s="35">
        <v>1497855.26</v>
      </c>
      <c r="AV292" s="31" t="s">
        <v>75</v>
      </c>
      <c r="AW292" s="31" t="s">
        <v>75</v>
      </c>
      <c r="AX292" s="36">
        <v>31332.05</v>
      </c>
      <c r="AY292" s="30">
        <v>8734526.6999999993</v>
      </c>
      <c r="AZ292" s="32">
        <v>48895</v>
      </c>
      <c r="BA292" s="29">
        <f t="shared" si="10"/>
        <v>8783421.6999999993</v>
      </c>
      <c r="BB292" s="31" t="s">
        <v>75</v>
      </c>
      <c r="BC292" s="31" t="s">
        <v>75</v>
      </c>
      <c r="BD292" s="29">
        <v>1699402.4222222222</v>
      </c>
      <c r="BE292" s="113">
        <v>0</v>
      </c>
      <c r="BF292" s="113">
        <v>0</v>
      </c>
      <c r="BG292" s="113">
        <v>0</v>
      </c>
      <c r="BH292" s="113">
        <v>0</v>
      </c>
      <c r="BI292" s="113">
        <v>0</v>
      </c>
      <c r="BJ292" s="113">
        <v>0</v>
      </c>
      <c r="BK292" s="113">
        <v>0</v>
      </c>
      <c r="BL292" s="113">
        <v>0</v>
      </c>
      <c r="BM292" s="113">
        <v>0</v>
      </c>
      <c r="BN292" s="113">
        <v>0</v>
      </c>
      <c r="BO292" s="113">
        <v>0</v>
      </c>
      <c r="BP292" s="113">
        <v>0</v>
      </c>
      <c r="BQ292" s="113">
        <v>0</v>
      </c>
      <c r="BR292" s="113">
        <v>0</v>
      </c>
      <c r="BS292" s="113">
        <v>0</v>
      </c>
      <c r="BT292" s="113">
        <v>0</v>
      </c>
      <c r="BU292" s="113">
        <v>0</v>
      </c>
      <c r="BV292" s="113">
        <v>0</v>
      </c>
      <c r="BW292" s="113"/>
      <c r="BX292" s="113"/>
      <c r="BY292" s="113"/>
      <c r="BZ292" s="113">
        <v>0</v>
      </c>
      <c r="CA292" s="113">
        <v>0</v>
      </c>
      <c r="CB292" s="113">
        <v>0</v>
      </c>
      <c r="CC292" s="113"/>
      <c r="CD292" s="113"/>
      <c r="CE292" s="113"/>
      <c r="CF292" s="113">
        <v>0</v>
      </c>
      <c r="CG292" s="113">
        <v>0</v>
      </c>
      <c r="CH292" s="113">
        <v>0</v>
      </c>
      <c r="CI292" s="113">
        <v>0</v>
      </c>
      <c r="CJ292" s="113">
        <v>0</v>
      </c>
      <c r="CK292" s="113">
        <v>0</v>
      </c>
      <c r="CL292" s="113">
        <v>0</v>
      </c>
      <c r="CM292" s="113">
        <v>0</v>
      </c>
      <c r="CN292" s="113">
        <v>0</v>
      </c>
      <c r="CO292" s="113">
        <v>0</v>
      </c>
      <c r="CP292" s="113">
        <v>0</v>
      </c>
      <c r="CQ292" s="113">
        <v>0</v>
      </c>
      <c r="CR292" s="113">
        <v>0</v>
      </c>
      <c r="CS292" s="113">
        <v>0</v>
      </c>
      <c r="CT292" s="113">
        <v>0</v>
      </c>
      <c r="CU292" s="113">
        <v>0</v>
      </c>
      <c r="CV292" s="113">
        <v>0</v>
      </c>
      <c r="CW292" s="113">
        <v>0</v>
      </c>
      <c r="CX292" s="113">
        <v>0</v>
      </c>
      <c r="CY292" s="113">
        <v>0</v>
      </c>
      <c r="CZ292" s="113">
        <v>0</v>
      </c>
      <c r="DA292" s="113">
        <v>0</v>
      </c>
      <c r="DB292" s="113">
        <v>0</v>
      </c>
      <c r="DC292" s="113">
        <v>0</v>
      </c>
      <c r="DD292" s="113">
        <v>0</v>
      </c>
      <c r="DE292" s="113">
        <v>0</v>
      </c>
      <c r="DF292" s="113">
        <v>0</v>
      </c>
      <c r="DG292" s="113">
        <v>0</v>
      </c>
      <c r="DH292" s="113">
        <v>0</v>
      </c>
      <c r="DI292" s="113">
        <v>0</v>
      </c>
      <c r="DJ292" s="113">
        <v>0</v>
      </c>
      <c r="DK292" s="113">
        <v>0</v>
      </c>
      <c r="DL292" s="113">
        <v>0</v>
      </c>
      <c r="DM292" s="113">
        <v>0</v>
      </c>
      <c r="DN292" s="113">
        <v>0</v>
      </c>
      <c r="DO292" s="113">
        <v>0</v>
      </c>
      <c r="DP292" s="113">
        <v>0</v>
      </c>
      <c r="DQ292" s="113">
        <v>0</v>
      </c>
      <c r="DR292" s="113">
        <v>0</v>
      </c>
      <c r="DS292" s="113">
        <v>0</v>
      </c>
      <c r="DT292" s="113">
        <v>0</v>
      </c>
      <c r="DU292" s="113">
        <v>0</v>
      </c>
      <c r="DV292" s="113">
        <v>0</v>
      </c>
      <c r="DW292" s="113">
        <v>0</v>
      </c>
      <c r="DX292" s="113">
        <v>0</v>
      </c>
      <c r="DY292" s="113">
        <v>0</v>
      </c>
      <c r="DZ292" s="113">
        <v>0</v>
      </c>
      <c r="EA292" s="113">
        <v>0</v>
      </c>
      <c r="EB292" s="113">
        <v>0</v>
      </c>
      <c r="EC292" s="113">
        <v>0</v>
      </c>
      <c r="ED292" s="113">
        <v>0</v>
      </c>
      <c r="EE292" s="113">
        <v>0</v>
      </c>
      <c r="EF292" s="113">
        <v>0</v>
      </c>
      <c r="EG292" s="113">
        <v>0</v>
      </c>
      <c r="EH292" s="113">
        <v>0</v>
      </c>
      <c r="EI292" s="113">
        <v>0</v>
      </c>
      <c r="EJ292" s="113">
        <v>0</v>
      </c>
      <c r="EK292" s="113">
        <v>0</v>
      </c>
      <c r="EL292" s="113">
        <v>0</v>
      </c>
      <c r="EM292" s="113">
        <v>0</v>
      </c>
      <c r="EN292" s="113">
        <v>0</v>
      </c>
      <c r="EO292" s="113">
        <v>0</v>
      </c>
      <c r="EP292" s="113">
        <v>0</v>
      </c>
      <c r="EQ292" s="113">
        <v>0</v>
      </c>
      <c r="ER292" s="113">
        <v>0</v>
      </c>
      <c r="ES292" s="113">
        <v>0</v>
      </c>
      <c r="ET292" s="113">
        <v>0</v>
      </c>
      <c r="EU292" s="113">
        <v>0</v>
      </c>
      <c r="EV292" s="113">
        <v>0</v>
      </c>
      <c r="EW292" s="113">
        <v>0</v>
      </c>
      <c r="EX292" s="113">
        <v>0</v>
      </c>
      <c r="EY292" s="113">
        <v>0</v>
      </c>
      <c r="EZ292" s="113">
        <v>0</v>
      </c>
      <c r="FA292" s="113">
        <v>0</v>
      </c>
      <c r="FB292" s="113">
        <v>0</v>
      </c>
      <c r="FC292" s="113">
        <v>0</v>
      </c>
      <c r="FD292" s="113">
        <v>0</v>
      </c>
      <c r="FE292" s="113">
        <v>0</v>
      </c>
      <c r="FF292" s="113">
        <v>0</v>
      </c>
      <c r="FG292" s="113">
        <v>0</v>
      </c>
      <c r="FH292" s="113">
        <v>0</v>
      </c>
      <c r="FI292" s="113">
        <v>0</v>
      </c>
      <c r="FJ292" s="113">
        <v>0</v>
      </c>
      <c r="FK292" s="113">
        <v>0</v>
      </c>
      <c r="FL292" s="113">
        <v>0</v>
      </c>
      <c r="FM292" s="113">
        <v>0</v>
      </c>
      <c r="FN292" s="113">
        <v>0</v>
      </c>
      <c r="FO292" s="113">
        <v>0</v>
      </c>
      <c r="FP292" s="113">
        <v>0</v>
      </c>
      <c r="FQ292" s="113">
        <v>0</v>
      </c>
      <c r="FR292" s="113">
        <v>0</v>
      </c>
      <c r="FS292" s="113">
        <v>0</v>
      </c>
      <c r="FT292" s="113">
        <v>0</v>
      </c>
      <c r="FU292" s="113">
        <v>0</v>
      </c>
      <c r="FV292" s="113">
        <v>0</v>
      </c>
      <c r="FW292" s="113">
        <v>0</v>
      </c>
      <c r="FX292" s="32">
        <v>0</v>
      </c>
      <c r="FY292" s="30">
        <v>0</v>
      </c>
      <c r="FZ292" s="30">
        <v>0</v>
      </c>
    </row>
    <row r="293" spans="1:182" x14ac:dyDescent="0.2">
      <c r="A293" s="28">
        <v>40483</v>
      </c>
      <c r="B293" s="28"/>
      <c r="C293" s="29">
        <v>410381.76</v>
      </c>
      <c r="D293" s="29">
        <v>441605.10999999993</v>
      </c>
      <c r="E293" s="29">
        <f t="shared" si="8"/>
        <v>851986.86999999988</v>
      </c>
      <c r="F293" s="30">
        <v>11201810.709999999</v>
      </c>
      <c r="G293" s="30">
        <v>470541.54000000004</v>
      </c>
      <c r="H293" s="30">
        <f t="shared" si="9"/>
        <v>11672352.25</v>
      </c>
      <c r="I293" s="42" t="s">
        <v>75</v>
      </c>
      <c r="J293" s="42" t="s">
        <v>75</v>
      </c>
      <c r="K293" s="32">
        <v>13557200.6</v>
      </c>
      <c r="L293" s="31" t="s">
        <v>75</v>
      </c>
      <c r="M293" s="31" t="s">
        <v>75</v>
      </c>
      <c r="N293" s="30">
        <v>29216666.09</v>
      </c>
      <c r="O293" s="31" t="s">
        <v>75</v>
      </c>
      <c r="P293" s="31" t="s">
        <v>75</v>
      </c>
      <c r="Q293" s="30">
        <v>23018011.199999999</v>
      </c>
      <c r="R293" s="31" t="s">
        <v>75</v>
      </c>
      <c r="S293" s="31" t="s">
        <v>75</v>
      </c>
      <c r="T293" s="32">
        <v>126047.03999999999</v>
      </c>
      <c r="U293" s="17">
        <v>35164.53</v>
      </c>
      <c r="V293" s="17">
        <v>13474.73</v>
      </c>
      <c r="W293" s="30">
        <f t="shared" si="11"/>
        <v>48639.259999999995</v>
      </c>
      <c r="X293" s="17">
        <v>216948.34</v>
      </c>
      <c r="Y293" s="17">
        <v>16959.98</v>
      </c>
      <c r="Z293" s="30">
        <f t="shared" si="12"/>
        <v>233908.32</v>
      </c>
      <c r="AA293" s="17">
        <v>117037.87</v>
      </c>
      <c r="AB293" s="17">
        <v>13721.98</v>
      </c>
      <c r="AC293" s="30">
        <f t="shared" si="13"/>
        <v>130759.84999999999</v>
      </c>
      <c r="AD293" s="17">
        <v>10722.900000000001</v>
      </c>
      <c r="AE293" s="17">
        <v>70287.39</v>
      </c>
      <c r="AF293" s="30">
        <f t="shared" si="14"/>
        <v>81010.290000000008</v>
      </c>
      <c r="AG293" s="32">
        <v>40065.199999999997</v>
      </c>
      <c r="AH293" s="32">
        <v>48160.329999999994</v>
      </c>
      <c r="AI293" s="32">
        <f t="shared" si="15"/>
        <v>88225.53</v>
      </c>
      <c r="AJ293" s="31" t="s">
        <v>75</v>
      </c>
      <c r="AK293" s="31" t="s">
        <v>75</v>
      </c>
      <c r="AL293" s="30">
        <v>42666.25</v>
      </c>
      <c r="AM293" s="30"/>
      <c r="AN293" s="30"/>
      <c r="AO293" s="30"/>
      <c r="AP293" s="30"/>
      <c r="AQ293" s="30"/>
      <c r="AR293" s="30"/>
      <c r="AS293" s="31" t="s">
        <v>75</v>
      </c>
      <c r="AT293" s="31" t="s">
        <v>75</v>
      </c>
      <c r="AU293" s="35">
        <v>1693490.09</v>
      </c>
      <c r="AV293" s="31" t="s">
        <v>75</v>
      </c>
      <c r="AW293" s="31" t="s">
        <v>75</v>
      </c>
      <c r="AX293" s="36">
        <v>36377.61</v>
      </c>
      <c r="AY293" s="30">
        <v>9195195.1999999993</v>
      </c>
      <c r="AZ293" s="32">
        <v>97205</v>
      </c>
      <c r="BA293" s="29">
        <f t="shared" si="10"/>
        <v>9292400.1999999993</v>
      </c>
      <c r="BB293" s="31" t="s">
        <v>75</v>
      </c>
      <c r="BC293" s="31" t="s">
        <v>75</v>
      </c>
      <c r="BD293" s="29">
        <v>1637155.0888888889</v>
      </c>
      <c r="BE293" s="113">
        <v>0</v>
      </c>
      <c r="BF293" s="113">
        <v>0</v>
      </c>
      <c r="BG293" s="113">
        <v>0</v>
      </c>
      <c r="BH293" s="113">
        <v>0</v>
      </c>
      <c r="BI293" s="113">
        <v>0</v>
      </c>
      <c r="BJ293" s="113">
        <v>0</v>
      </c>
      <c r="BK293" s="113">
        <v>0</v>
      </c>
      <c r="BL293" s="113">
        <v>0</v>
      </c>
      <c r="BM293" s="113">
        <v>0</v>
      </c>
      <c r="BN293" s="113">
        <v>0</v>
      </c>
      <c r="BO293" s="113">
        <v>0</v>
      </c>
      <c r="BP293" s="113">
        <v>0</v>
      </c>
      <c r="BQ293" s="113">
        <v>0</v>
      </c>
      <c r="BR293" s="113">
        <v>0</v>
      </c>
      <c r="BS293" s="113">
        <v>0</v>
      </c>
      <c r="BT293" s="113">
        <v>0</v>
      </c>
      <c r="BU293" s="113">
        <v>0</v>
      </c>
      <c r="BV293" s="113">
        <v>0</v>
      </c>
      <c r="BW293" s="113"/>
      <c r="BX293" s="113"/>
      <c r="BY293" s="113"/>
      <c r="BZ293" s="113">
        <v>0</v>
      </c>
      <c r="CA293" s="113">
        <v>0</v>
      </c>
      <c r="CB293" s="113">
        <v>0</v>
      </c>
      <c r="CC293" s="113"/>
      <c r="CD293" s="113"/>
      <c r="CE293" s="113"/>
      <c r="CF293" s="113">
        <v>0</v>
      </c>
      <c r="CG293" s="113">
        <v>0</v>
      </c>
      <c r="CH293" s="113">
        <v>0</v>
      </c>
      <c r="CI293" s="113">
        <v>0</v>
      </c>
      <c r="CJ293" s="113">
        <v>0</v>
      </c>
      <c r="CK293" s="113">
        <v>0</v>
      </c>
      <c r="CL293" s="113">
        <v>0</v>
      </c>
      <c r="CM293" s="113">
        <v>0</v>
      </c>
      <c r="CN293" s="113">
        <v>0</v>
      </c>
      <c r="CO293" s="113">
        <v>0</v>
      </c>
      <c r="CP293" s="113">
        <v>0</v>
      </c>
      <c r="CQ293" s="113">
        <v>0</v>
      </c>
      <c r="CR293" s="113">
        <v>0</v>
      </c>
      <c r="CS293" s="113">
        <v>0</v>
      </c>
      <c r="CT293" s="113">
        <v>0</v>
      </c>
      <c r="CU293" s="113">
        <v>0</v>
      </c>
      <c r="CV293" s="113">
        <v>0</v>
      </c>
      <c r="CW293" s="113">
        <v>0</v>
      </c>
      <c r="CX293" s="113">
        <v>0</v>
      </c>
      <c r="CY293" s="113">
        <v>0</v>
      </c>
      <c r="CZ293" s="113">
        <v>0</v>
      </c>
      <c r="DA293" s="113">
        <v>0</v>
      </c>
      <c r="DB293" s="113">
        <v>0</v>
      </c>
      <c r="DC293" s="113">
        <v>0</v>
      </c>
      <c r="DD293" s="113">
        <v>0</v>
      </c>
      <c r="DE293" s="113">
        <v>0</v>
      </c>
      <c r="DF293" s="113">
        <v>0</v>
      </c>
      <c r="DG293" s="113">
        <v>0</v>
      </c>
      <c r="DH293" s="113">
        <v>0</v>
      </c>
      <c r="DI293" s="113">
        <v>0</v>
      </c>
      <c r="DJ293" s="113">
        <v>0</v>
      </c>
      <c r="DK293" s="113">
        <v>0</v>
      </c>
      <c r="DL293" s="113">
        <v>0</v>
      </c>
      <c r="DM293" s="113">
        <v>0</v>
      </c>
      <c r="DN293" s="113">
        <v>0</v>
      </c>
      <c r="DO293" s="113">
        <v>0</v>
      </c>
      <c r="DP293" s="113">
        <v>0</v>
      </c>
      <c r="DQ293" s="113">
        <v>0</v>
      </c>
      <c r="DR293" s="113">
        <v>0</v>
      </c>
      <c r="DS293" s="113">
        <v>0</v>
      </c>
      <c r="DT293" s="113">
        <v>0</v>
      </c>
      <c r="DU293" s="113">
        <v>0</v>
      </c>
      <c r="DV293" s="113">
        <v>0</v>
      </c>
      <c r="DW293" s="113">
        <v>0</v>
      </c>
      <c r="DX293" s="113">
        <v>0</v>
      </c>
      <c r="DY293" s="113">
        <v>0</v>
      </c>
      <c r="DZ293" s="113">
        <v>0</v>
      </c>
      <c r="EA293" s="113">
        <v>0</v>
      </c>
      <c r="EB293" s="113">
        <v>0</v>
      </c>
      <c r="EC293" s="113">
        <v>0</v>
      </c>
      <c r="ED293" s="113">
        <v>0</v>
      </c>
      <c r="EE293" s="113">
        <v>0</v>
      </c>
      <c r="EF293" s="113">
        <v>0</v>
      </c>
      <c r="EG293" s="113">
        <v>0</v>
      </c>
      <c r="EH293" s="113">
        <v>0</v>
      </c>
      <c r="EI293" s="113">
        <v>0</v>
      </c>
      <c r="EJ293" s="113">
        <v>0</v>
      </c>
      <c r="EK293" s="113">
        <v>0</v>
      </c>
      <c r="EL293" s="113">
        <v>0</v>
      </c>
      <c r="EM293" s="113">
        <v>0</v>
      </c>
      <c r="EN293" s="113">
        <v>0</v>
      </c>
      <c r="EO293" s="113">
        <v>0</v>
      </c>
      <c r="EP293" s="113">
        <v>0</v>
      </c>
      <c r="EQ293" s="113">
        <v>0</v>
      </c>
      <c r="ER293" s="113">
        <v>0</v>
      </c>
      <c r="ES293" s="113">
        <v>0</v>
      </c>
      <c r="ET293" s="113">
        <v>0</v>
      </c>
      <c r="EU293" s="113">
        <v>0</v>
      </c>
      <c r="EV293" s="113">
        <v>0</v>
      </c>
      <c r="EW293" s="113">
        <v>0</v>
      </c>
      <c r="EX293" s="113">
        <v>0</v>
      </c>
      <c r="EY293" s="113">
        <v>0</v>
      </c>
      <c r="EZ293" s="113">
        <v>0</v>
      </c>
      <c r="FA293" s="113">
        <v>0</v>
      </c>
      <c r="FB293" s="113">
        <v>0</v>
      </c>
      <c r="FC293" s="113">
        <v>0</v>
      </c>
      <c r="FD293" s="113">
        <v>0</v>
      </c>
      <c r="FE293" s="113">
        <v>0</v>
      </c>
      <c r="FF293" s="113">
        <v>0</v>
      </c>
      <c r="FG293" s="113">
        <v>0</v>
      </c>
      <c r="FH293" s="113">
        <v>0</v>
      </c>
      <c r="FI293" s="113">
        <v>0</v>
      </c>
      <c r="FJ293" s="113">
        <v>0</v>
      </c>
      <c r="FK293" s="113">
        <v>0</v>
      </c>
      <c r="FL293" s="113">
        <v>0</v>
      </c>
      <c r="FM293" s="113">
        <v>0</v>
      </c>
      <c r="FN293" s="113">
        <v>0</v>
      </c>
      <c r="FO293" s="113">
        <v>0</v>
      </c>
      <c r="FP293" s="113">
        <v>0</v>
      </c>
      <c r="FQ293" s="113">
        <v>0</v>
      </c>
      <c r="FR293" s="113">
        <v>0</v>
      </c>
      <c r="FS293" s="113">
        <v>0</v>
      </c>
      <c r="FT293" s="113">
        <v>0</v>
      </c>
      <c r="FU293" s="113">
        <v>0</v>
      </c>
      <c r="FV293" s="113">
        <v>0</v>
      </c>
      <c r="FW293" s="113">
        <v>0</v>
      </c>
      <c r="FX293" s="32">
        <v>0</v>
      </c>
      <c r="FY293" s="30">
        <v>0</v>
      </c>
      <c r="FZ293" s="30">
        <v>0</v>
      </c>
    </row>
    <row r="294" spans="1:182" x14ac:dyDescent="0.2">
      <c r="A294" s="28">
        <v>40513</v>
      </c>
      <c r="B294" s="28"/>
      <c r="C294" s="29">
        <v>334915.10000000003</v>
      </c>
      <c r="D294" s="29">
        <v>478677.22</v>
      </c>
      <c r="E294" s="29">
        <f t="shared" si="8"/>
        <v>813592.32000000007</v>
      </c>
      <c r="F294" s="30">
        <v>13528141.66</v>
      </c>
      <c r="G294" s="30">
        <v>829984.28999999992</v>
      </c>
      <c r="H294" s="30">
        <f t="shared" si="9"/>
        <v>14358125.949999999</v>
      </c>
      <c r="I294" s="42" t="s">
        <v>75</v>
      </c>
      <c r="J294" s="42" t="s">
        <v>75</v>
      </c>
      <c r="K294" s="32">
        <v>19656473.920000002</v>
      </c>
      <c r="L294" s="31" t="s">
        <v>75</v>
      </c>
      <c r="M294" s="31" t="s">
        <v>75</v>
      </c>
      <c r="N294" s="30">
        <v>37170495.210000001</v>
      </c>
      <c r="O294" s="31" t="s">
        <v>75</v>
      </c>
      <c r="P294" s="31" t="s">
        <v>75</v>
      </c>
      <c r="Q294" s="30">
        <v>24332891.740000002</v>
      </c>
      <c r="R294" s="31" t="s">
        <v>75</v>
      </c>
      <c r="S294" s="31" t="s">
        <v>75</v>
      </c>
      <c r="T294" s="32">
        <v>94362.040000000008</v>
      </c>
      <c r="U294" s="17">
        <v>42173.65</v>
      </c>
      <c r="V294" s="17">
        <v>23602.129999999997</v>
      </c>
      <c r="W294" s="30">
        <f t="shared" si="11"/>
        <v>65775.78</v>
      </c>
      <c r="X294" s="17">
        <v>152027.62</v>
      </c>
      <c r="Y294" s="17">
        <v>11356.27</v>
      </c>
      <c r="Z294" s="30">
        <f t="shared" si="12"/>
        <v>163383.88999999998</v>
      </c>
      <c r="AA294" s="17">
        <v>129254.37</v>
      </c>
      <c r="AB294" s="17">
        <v>17083.84</v>
      </c>
      <c r="AC294" s="30">
        <f t="shared" si="13"/>
        <v>146338.21</v>
      </c>
      <c r="AD294" s="17">
        <v>23692.559999999998</v>
      </c>
      <c r="AE294" s="17">
        <v>118300.15000000001</v>
      </c>
      <c r="AF294" s="30">
        <f t="shared" si="14"/>
        <v>141992.71000000002</v>
      </c>
      <c r="AG294" s="32">
        <v>57228.87</v>
      </c>
      <c r="AH294" s="32">
        <v>98842.340000000011</v>
      </c>
      <c r="AI294" s="32">
        <f t="shared" si="15"/>
        <v>156071.21000000002</v>
      </c>
      <c r="AJ294" s="31" t="s">
        <v>75</v>
      </c>
      <c r="AK294" s="31" t="s">
        <v>75</v>
      </c>
      <c r="AL294" s="30">
        <v>75082.5</v>
      </c>
      <c r="AM294" s="30"/>
      <c r="AN294" s="30"/>
      <c r="AO294" s="30"/>
      <c r="AP294" s="30"/>
      <c r="AQ294" s="30"/>
      <c r="AR294" s="30"/>
      <c r="AS294" s="31" t="s">
        <v>75</v>
      </c>
      <c r="AT294" s="31" t="s">
        <v>75</v>
      </c>
      <c r="AU294" s="35">
        <v>1537345.84</v>
      </c>
      <c r="AV294" s="31" t="s">
        <v>75</v>
      </c>
      <c r="AW294" s="31" t="s">
        <v>75</v>
      </c>
      <c r="AX294" s="36">
        <v>47860.959999999999</v>
      </c>
      <c r="AY294" s="30">
        <v>12630663.800000001</v>
      </c>
      <c r="AZ294" s="32">
        <v>62410</v>
      </c>
      <c r="BA294" s="29">
        <f t="shared" si="10"/>
        <v>12693073.800000001</v>
      </c>
      <c r="BB294" s="31" t="s">
        <v>75</v>
      </c>
      <c r="BC294" s="31" t="s">
        <v>75</v>
      </c>
      <c r="BD294" s="29">
        <v>1998048.111111111</v>
      </c>
      <c r="BE294" s="113">
        <v>0</v>
      </c>
      <c r="BF294" s="113">
        <v>0</v>
      </c>
      <c r="BG294" s="113">
        <v>0</v>
      </c>
      <c r="BH294" s="113">
        <v>0</v>
      </c>
      <c r="BI294" s="113">
        <v>0</v>
      </c>
      <c r="BJ294" s="113">
        <v>0</v>
      </c>
      <c r="BK294" s="113">
        <v>0</v>
      </c>
      <c r="BL294" s="113">
        <v>0</v>
      </c>
      <c r="BM294" s="113">
        <v>0</v>
      </c>
      <c r="BN294" s="113">
        <v>0</v>
      </c>
      <c r="BO294" s="113">
        <v>0</v>
      </c>
      <c r="BP294" s="113">
        <v>0</v>
      </c>
      <c r="BQ294" s="113">
        <v>0</v>
      </c>
      <c r="BR294" s="113">
        <v>0</v>
      </c>
      <c r="BS294" s="113">
        <v>0</v>
      </c>
      <c r="BT294" s="113">
        <v>0</v>
      </c>
      <c r="BU294" s="113">
        <v>0</v>
      </c>
      <c r="BV294" s="113">
        <v>0</v>
      </c>
      <c r="BW294" s="113"/>
      <c r="BX294" s="113"/>
      <c r="BY294" s="113"/>
      <c r="BZ294" s="113">
        <v>0</v>
      </c>
      <c r="CA294" s="113">
        <v>0</v>
      </c>
      <c r="CB294" s="113">
        <v>0</v>
      </c>
      <c r="CC294" s="113"/>
      <c r="CD294" s="113"/>
      <c r="CE294" s="113"/>
      <c r="CF294" s="113">
        <v>0</v>
      </c>
      <c r="CG294" s="113">
        <v>0</v>
      </c>
      <c r="CH294" s="113">
        <v>0</v>
      </c>
      <c r="CI294" s="113">
        <v>0</v>
      </c>
      <c r="CJ294" s="113">
        <v>0</v>
      </c>
      <c r="CK294" s="113">
        <v>0</v>
      </c>
      <c r="CL294" s="113">
        <v>0</v>
      </c>
      <c r="CM294" s="113">
        <v>0</v>
      </c>
      <c r="CN294" s="113">
        <v>0</v>
      </c>
      <c r="CO294" s="113">
        <v>0</v>
      </c>
      <c r="CP294" s="113">
        <v>0</v>
      </c>
      <c r="CQ294" s="113">
        <v>0</v>
      </c>
      <c r="CR294" s="113">
        <v>0</v>
      </c>
      <c r="CS294" s="113">
        <v>0</v>
      </c>
      <c r="CT294" s="113">
        <v>0</v>
      </c>
      <c r="CU294" s="113">
        <v>0</v>
      </c>
      <c r="CV294" s="113">
        <v>0</v>
      </c>
      <c r="CW294" s="113">
        <v>0</v>
      </c>
      <c r="CX294" s="113">
        <v>0</v>
      </c>
      <c r="CY294" s="113">
        <v>0</v>
      </c>
      <c r="CZ294" s="113">
        <v>0</v>
      </c>
      <c r="DA294" s="113">
        <v>0</v>
      </c>
      <c r="DB294" s="113">
        <v>0</v>
      </c>
      <c r="DC294" s="113">
        <v>0</v>
      </c>
      <c r="DD294" s="113">
        <v>0</v>
      </c>
      <c r="DE294" s="113">
        <v>0</v>
      </c>
      <c r="DF294" s="113">
        <v>0</v>
      </c>
      <c r="DG294" s="113">
        <v>0</v>
      </c>
      <c r="DH294" s="113">
        <v>0</v>
      </c>
      <c r="DI294" s="113">
        <v>0</v>
      </c>
      <c r="DJ294" s="113">
        <v>0</v>
      </c>
      <c r="DK294" s="113">
        <v>0</v>
      </c>
      <c r="DL294" s="113">
        <v>0</v>
      </c>
      <c r="DM294" s="113">
        <v>0</v>
      </c>
      <c r="DN294" s="113">
        <v>0</v>
      </c>
      <c r="DO294" s="113">
        <v>0</v>
      </c>
      <c r="DP294" s="113">
        <v>0</v>
      </c>
      <c r="DQ294" s="113">
        <v>0</v>
      </c>
      <c r="DR294" s="113">
        <v>0</v>
      </c>
      <c r="DS294" s="113">
        <v>0</v>
      </c>
      <c r="DT294" s="113">
        <v>0</v>
      </c>
      <c r="DU294" s="113">
        <v>0</v>
      </c>
      <c r="DV294" s="113">
        <v>0</v>
      </c>
      <c r="DW294" s="113">
        <v>0</v>
      </c>
      <c r="DX294" s="113">
        <v>0</v>
      </c>
      <c r="DY294" s="113">
        <v>0</v>
      </c>
      <c r="DZ294" s="113">
        <v>0</v>
      </c>
      <c r="EA294" s="113">
        <v>0</v>
      </c>
      <c r="EB294" s="113">
        <v>0</v>
      </c>
      <c r="EC294" s="113">
        <v>0</v>
      </c>
      <c r="ED294" s="113">
        <v>0</v>
      </c>
      <c r="EE294" s="113">
        <v>0</v>
      </c>
      <c r="EF294" s="113">
        <v>0</v>
      </c>
      <c r="EG294" s="113">
        <v>0</v>
      </c>
      <c r="EH294" s="113">
        <v>0</v>
      </c>
      <c r="EI294" s="113">
        <v>0</v>
      </c>
      <c r="EJ294" s="113">
        <v>0</v>
      </c>
      <c r="EK294" s="113">
        <v>0</v>
      </c>
      <c r="EL294" s="113">
        <v>0</v>
      </c>
      <c r="EM294" s="113">
        <v>0</v>
      </c>
      <c r="EN294" s="113">
        <v>0</v>
      </c>
      <c r="EO294" s="113">
        <v>0</v>
      </c>
      <c r="EP294" s="113">
        <v>0</v>
      </c>
      <c r="EQ294" s="113">
        <v>0</v>
      </c>
      <c r="ER294" s="113">
        <v>0</v>
      </c>
      <c r="ES294" s="113">
        <v>0</v>
      </c>
      <c r="ET294" s="113">
        <v>0</v>
      </c>
      <c r="EU294" s="113">
        <v>0</v>
      </c>
      <c r="EV294" s="113">
        <v>0</v>
      </c>
      <c r="EW294" s="113">
        <v>0</v>
      </c>
      <c r="EX294" s="113">
        <v>0</v>
      </c>
      <c r="EY294" s="113">
        <v>0</v>
      </c>
      <c r="EZ294" s="113">
        <v>0</v>
      </c>
      <c r="FA294" s="113">
        <v>0</v>
      </c>
      <c r="FB294" s="113">
        <v>0</v>
      </c>
      <c r="FC294" s="113">
        <v>0</v>
      </c>
      <c r="FD294" s="113">
        <v>0</v>
      </c>
      <c r="FE294" s="113">
        <v>0</v>
      </c>
      <c r="FF294" s="113">
        <v>0</v>
      </c>
      <c r="FG294" s="113">
        <v>0</v>
      </c>
      <c r="FH294" s="113">
        <v>0</v>
      </c>
      <c r="FI294" s="113">
        <v>0</v>
      </c>
      <c r="FJ294" s="113">
        <v>0</v>
      </c>
      <c r="FK294" s="113">
        <v>0</v>
      </c>
      <c r="FL294" s="113">
        <v>0</v>
      </c>
      <c r="FM294" s="113">
        <v>0</v>
      </c>
      <c r="FN294" s="113">
        <v>0</v>
      </c>
      <c r="FO294" s="113">
        <v>0</v>
      </c>
      <c r="FP294" s="113">
        <v>0</v>
      </c>
      <c r="FQ294" s="113">
        <v>0</v>
      </c>
      <c r="FR294" s="113">
        <v>0</v>
      </c>
      <c r="FS294" s="113">
        <v>0</v>
      </c>
      <c r="FT294" s="113">
        <v>0</v>
      </c>
      <c r="FU294" s="113">
        <v>0</v>
      </c>
      <c r="FV294" s="113">
        <v>0</v>
      </c>
      <c r="FW294" s="113">
        <v>0</v>
      </c>
      <c r="FX294" s="32">
        <v>0</v>
      </c>
      <c r="FY294" s="30">
        <v>0</v>
      </c>
      <c r="FZ294" s="30">
        <v>0</v>
      </c>
    </row>
    <row r="295" spans="1:182" x14ac:dyDescent="0.2">
      <c r="A295" s="28">
        <v>40544</v>
      </c>
      <c r="B295" s="28"/>
      <c r="C295" s="29">
        <v>144632.47999999998</v>
      </c>
      <c r="D295" s="29">
        <v>144060.82</v>
      </c>
      <c r="E295" s="29">
        <f t="shared" si="8"/>
        <v>288693.3</v>
      </c>
      <c r="F295" s="35">
        <v>11698173.68</v>
      </c>
      <c r="G295" s="35">
        <v>564689.27000000014</v>
      </c>
      <c r="H295" s="30">
        <f t="shared" si="9"/>
        <v>12262862.949999999</v>
      </c>
      <c r="I295" s="42" t="s">
        <v>75</v>
      </c>
      <c r="J295" s="42" t="s">
        <v>75</v>
      </c>
      <c r="K295" s="45">
        <v>15248763.629999999</v>
      </c>
      <c r="L295" s="31" t="s">
        <v>75</v>
      </c>
      <c r="M295" s="31" t="s">
        <v>75</v>
      </c>
      <c r="N295" s="35">
        <v>27502232.969999999</v>
      </c>
      <c r="O295" s="31" t="s">
        <v>75</v>
      </c>
      <c r="P295" s="31" t="s">
        <v>75</v>
      </c>
      <c r="Q295" s="35">
        <v>24466425.009999998</v>
      </c>
      <c r="R295" s="31" t="s">
        <v>75</v>
      </c>
      <c r="S295" s="31" t="s">
        <v>75</v>
      </c>
      <c r="T295" s="35">
        <v>129659.68000000001</v>
      </c>
      <c r="U295" s="37">
        <v>1244.25</v>
      </c>
      <c r="V295" s="37">
        <v>5564.95</v>
      </c>
      <c r="W295" s="30">
        <f t="shared" si="11"/>
        <v>6809.2</v>
      </c>
      <c r="X295" s="35">
        <v>45668.54</v>
      </c>
      <c r="Y295" s="35">
        <v>4027.72</v>
      </c>
      <c r="Z295" s="38">
        <f t="shared" si="12"/>
        <v>49696.26</v>
      </c>
      <c r="AA295" s="35">
        <v>86337.08</v>
      </c>
      <c r="AB295" s="35">
        <v>17943.66</v>
      </c>
      <c r="AC295" s="30">
        <f t="shared" si="13"/>
        <v>104280.74</v>
      </c>
      <c r="AD295" s="35">
        <v>6186.48</v>
      </c>
      <c r="AE295" s="35">
        <v>31934.040000000005</v>
      </c>
      <c r="AF295" s="30">
        <f t="shared" si="14"/>
        <v>38120.520000000004</v>
      </c>
      <c r="AG295" s="45">
        <v>34105.279999999999</v>
      </c>
      <c r="AH295" s="45">
        <v>50240.779999999992</v>
      </c>
      <c r="AI295" s="32">
        <f t="shared" si="15"/>
        <v>84346.06</v>
      </c>
      <c r="AJ295" s="31" t="s">
        <v>75</v>
      </c>
      <c r="AK295" s="31" t="s">
        <v>75</v>
      </c>
      <c r="AL295" s="35">
        <v>63643.75</v>
      </c>
      <c r="AM295" s="35"/>
      <c r="AN295" s="35"/>
      <c r="AO295" s="35"/>
      <c r="AP295" s="35"/>
      <c r="AQ295" s="35"/>
      <c r="AR295" s="35"/>
      <c r="AS295" s="31" t="s">
        <v>75</v>
      </c>
      <c r="AT295" s="31" t="s">
        <v>75</v>
      </c>
      <c r="AU295" s="35">
        <v>1499225.68</v>
      </c>
      <c r="AV295" s="31" t="s">
        <v>75</v>
      </c>
      <c r="AW295" s="31" t="s">
        <v>75</v>
      </c>
      <c r="AX295" s="35">
        <v>35041.879999999997</v>
      </c>
      <c r="AY295" s="30">
        <v>10256451.199999999</v>
      </c>
      <c r="AZ295" s="32">
        <v>50273</v>
      </c>
      <c r="BA295" s="29">
        <f t="shared" si="10"/>
        <v>10306724.199999999</v>
      </c>
      <c r="BB295" s="31" t="s">
        <v>75</v>
      </c>
      <c r="BC295" s="31" t="s">
        <v>75</v>
      </c>
      <c r="BD295" s="29">
        <v>1444177.5333333332</v>
      </c>
      <c r="BE295" s="113">
        <v>0</v>
      </c>
      <c r="BF295" s="113">
        <v>0</v>
      </c>
      <c r="BG295" s="113">
        <v>132</v>
      </c>
      <c r="BH295" s="113">
        <v>0</v>
      </c>
      <c r="BI295" s="113">
        <v>0</v>
      </c>
      <c r="BJ295" s="113">
        <v>0</v>
      </c>
      <c r="BK295" s="113">
        <v>0</v>
      </c>
      <c r="BL295" s="113">
        <v>0</v>
      </c>
      <c r="BM295" s="113">
        <v>276.01</v>
      </c>
      <c r="BN295" s="113">
        <v>0</v>
      </c>
      <c r="BO295" s="113">
        <v>0</v>
      </c>
      <c r="BP295" s="113">
        <v>0</v>
      </c>
      <c r="BQ295" s="113">
        <v>0</v>
      </c>
      <c r="BR295" s="113">
        <v>0</v>
      </c>
      <c r="BS295" s="113">
        <v>59</v>
      </c>
      <c r="BT295" s="113">
        <v>0</v>
      </c>
      <c r="BU295" s="113">
        <v>0</v>
      </c>
      <c r="BV295" s="113">
        <v>0</v>
      </c>
      <c r="BW295" s="113"/>
      <c r="BX295" s="113"/>
      <c r="BY295" s="113"/>
      <c r="BZ295" s="113">
        <v>0</v>
      </c>
      <c r="CA295" s="113">
        <v>0</v>
      </c>
      <c r="CB295" s="30">
        <v>355</v>
      </c>
      <c r="CC295" s="30"/>
      <c r="CD295" s="30"/>
      <c r="CE295" s="30"/>
      <c r="CF295" s="113">
        <v>0</v>
      </c>
      <c r="CG295" s="113">
        <v>0</v>
      </c>
      <c r="CH295" s="113">
        <v>0</v>
      </c>
      <c r="CI295" s="113">
        <v>0</v>
      </c>
      <c r="CJ295" s="113">
        <v>0</v>
      </c>
      <c r="CK295" s="30">
        <v>26</v>
      </c>
      <c r="CL295" s="30">
        <v>0</v>
      </c>
      <c r="CM295" s="30">
        <v>0</v>
      </c>
      <c r="CN295" s="30">
        <v>0</v>
      </c>
      <c r="CO295" s="113">
        <v>0</v>
      </c>
      <c r="CP295" s="113">
        <v>0</v>
      </c>
      <c r="CQ295" s="113">
        <v>6</v>
      </c>
      <c r="CR295" s="113">
        <v>0</v>
      </c>
      <c r="CS295" s="113">
        <v>0</v>
      </c>
      <c r="CT295" s="113">
        <v>0</v>
      </c>
      <c r="CU295" s="113">
        <v>0</v>
      </c>
      <c r="CV295" s="113">
        <v>0</v>
      </c>
      <c r="CW295" s="113">
        <v>66</v>
      </c>
      <c r="CX295" s="113">
        <v>0</v>
      </c>
      <c r="CY295" s="113">
        <v>0</v>
      </c>
      <c r="CZ295" s="113">
        <v>0</v>
      </c>
      <c r="DA295" s="113">
        <v>0</v>
      </c>
      <c r="DB295" s="113">
        <v>0</v>
      </c>
      <c r="DC295" s="113">
        <v>1</v>
      </c>
      <c r="DD295" s="113">
        <v>0</v>
      </c>
      <c r="DE295" s="113">
        <v>0</v>
      </c>
      <c r="DF295" s="113">
        <v>0</v>
      </c>
      <c r="DG295" s="113">
        <v>0</v>
      </c>
      <c r="DH295" s="113">
        <v>0</v>
      </c>
      <c r="DI295" s="113">
        <v>0</v>
      </c>
      <c r="DJ295" s="113">
        <v>0</v>
      </c>
      <c r="DK295" s="113">
        <v>0</v>
      </c>
      <c r="DL295" s="113">
        <v>0</v>
      </c>
      <c r="DM295" s="113">
        <v>0</v>
      </c>
      <c r="DN295" s="113">
        <v>0</v>
      </c>
      <c r="DO295" s="113">
        <v>0</v>
      </c>
      <c r="DP295" s="113">
        <v>0</v>
      </c>
      <c r="DQ295" s="113">
        <v>0</v>
      </c>
      <c r="DR295" s="113">
        <v>0</v>
      </c>
      <c r="DS295" s="113">
        <v>0</v>
      </c>
      <c r="DT295" s="113">
        <v>0</v>
      </c>
      <c r="DU295" s="113">
        <v>0</v>
      </c>
      <c r="DV295" s="113">
        <v>0</v>
      </c>
      <c r="DW295" s="113">
        <v>0</v>
      </c>
      <c r="DX295" s="113">
        <v>4</v>
      </c>
      <c r="DY295" s="113">
        <v>0</v>
      </c>
      <c r="DZ295" s="113">
        <v>0</v>
      </c>
      <c r="EA295" s="113">
        <v>350</v>
      </c>
      <c r="EB295" s="113">
        <v>0</v>
      </c>
      <c r="EC295" s="113">
        <v>0</v>
      </c>
      <c r="ED295" s="113">
        <v>0</v>
      </c>
      <c r="EE295" s="113">
        <v>0</v>
      </c>
      <c r="EF295" s="113">
        <v>0</v>
      </c>
      <c r="EG295" s="113">
        <v>1002</v>
      </c>
      <c r="EH295" s="113">
        <v>0</v>
      </c>
      <c r="EI295" s="113">
        <v>0</v>
      </c>
      <c r="EJ295" s="113">
        <v>0</v>
      </c>
      <c r="EK295" s="113">
        <v>0</v>
      </c>
      <c r="EL295" s="113">
        <v>0</v>
      </c>
      <c r="EM295" s="113">
        <v>766</v>
      </c>
      <c r="EN295" s="113">
        <v>0</v>
      </c>
      <c r="EO295" s="113">
        <v>0</v>
      </c>
      <c r="EP295" s="113">
        <v>0</v>
      </c>
      <c r="EQ295" s="113">
        <v>0</v>
      </c>
      <c r="ER295" s="113">
        <v>0</v>
      </c>
      <c r="ES295" s="113">
        <v>32</v>
      </c>
      <c r="ET295" s="113">
        <v>0</v>
      </c>
      <c r="EU295" s="113">
        <v>0</v>
      </c>
      <c r="EV295" s="113">
        <v>0</v>
      </c>
      <c r="EW295" s="113">
        <v>0</v>
      </c>
      <c r="EX295" s="113">
        <v>0</v>
      </c>
      <c r="EY295" s="113">
        <v>7</v>
      </c>
      <c r="EZ295" s="113">
        <v>0</v>
      </c>
      <c r="FA295" s="113">
        <v>0</v>
      </c>
      <c r="FB295" s="113">
        <v>0</v>
      </c>
      <c r="FC295" s="113">
        <v>0</v>
      </c>
      <c r="FD295" s="113">
        <v>0</v>
      </c>
      <c r="FE295" s="113">
        <v>0</v>
      </c>
      <c r="FF295" s="113">
        <v>0</v>
      </c>
      <c r="FG295" s="113">
        <v>0</v>
      </c>
      <c r="FH295" s="113">
        <v>0</v>
      </c>
      <c r="FI295" s="113">
        <v>0</v>
      </c>
      <c r="FJ295" s="113">
        <v>0</v>
      </c>
      <c r="FK295" s="30">
        <v>6</v>
      </c>
      <c r="FL295" s="113">
        <v>0</v>
      </c>
      <c r="FM295" s="113">
        <v>0</v>
      </c>
      <c r="FN295" s="30">
        <v>9409</v>
      </c>
      <c r="FO295" s="113">
        <v>0</v>
      </c>
      <c r="FP295" s="113">
        <v>0</v>
      </c>
      <c r="FQ295" s="30">
        <v>1073</v>
      </c>
      <c r="FR295" s="113">
        <v>0</v>
      </c>
      <c r="FS295" s="113">
        <v>0</v>
      </c>
      <c r="FT295" s="113">
        <v>0</v>
      </c>
      <c r="FU295" s="113">
        <v>0</v>
      </c>
      <c r="FV295" s="113">
        <v>0</v>
      </c>
      <c r="FW295" s="30">
        <v>72</v>
      </c>
      <c r="FX295" s="32">
        <v>0</v>
      </c>
      <c r="FY295" s="30">
        <v>0</v>
      </c>
      <c r="FZ295" s="30">
        <v>0</v>
      </c>
    </row>
    <row r="296" spans="1:182" x14ac:dyDescent="0.2">
      <c r="A296" s="28">
        <v>40575</v>
      </c>
      <c r="B296" s="28"/>
      <c r="C296" s="29">
        <v>235234.58000000002</v>
      </c>
      <c r="D296" s="29">
        <v>148508.87999999998</v>
      </c>
      <c r="E296" s="29">
        <f t="shared" si="8"/>
        <v>383743.45999999996</v>
      </c>
      <c r="F296" s="35">
        <v>9751986.5399999991</v>
      </c>
      <c r="G296" s="35">
        <v>431426.44</v>
      </c>
      <c r="H296" s="30">
        <f t="shared" si="9"/>
        <v>10183412.979999999</v>
      </c>
      <c r="I296" s="42" t="s">
        <v>75</v>
      </c>
      <c r="J296" s="42" t="s">
        <v>75</v>
      </c>
      <c r="K296" s="45">
        <v>10038806.780000001</v>
      </c>
      <c r="L296" s="31" t="s">
        <v>75</v>
      </c>
      <c r="M296" s="31" t="s">
        <v>75</v>
      </c>
      <c r="N296" s="36">
        <v>25530427.949999999</v>
      </c>
      <c r="O296" s="31" t="s">
        <v>75</v>
      </c>
      <c r="P296" s="31" t="s">
        <v>75</v>
      </c>
      <c r="Q296" s="36">
        <v>23216980.48</v>
      </c>
      <c r="R296" s="31" t="s">
        <v>75</v>
      </c>
      <c r="S296" s="31" t="s">
        <v>75</v>
      </c>
      <c r="T296" s="36">
        <v>120149.44</v>
      </c>
      <c r="U296" s="36">
        <v>2831.44</v>
      </c>
      <c r="V296" s="36">
        <v>5493.24</v>
      </c>
      <c r="W296" s="30">
        <f t="shared" si="11"/>
        <v>8324.68</v>
      </c>
      <c r="X296" s="36">
        <v>48199.38</v>
      </c>
      <c r="Y296" s="36">
        <v>802.36999999999989</v>
      </c>
      <c r="Z296" s="30">
        <f t="shared" si="12"/>
        <v>49001.75</v>
      </c>
      <c r="AA296" s="36">
        <v>118692.73999999999</v>
      </c>
      <c r="AB296" s="36">
        <v>10088</v>
      </c>
      <c r="AC296" s="30">
        <f t="shared" si="13"/>
        <v>128780.73999999999</v>
      </c>
      <c r="AD296" s="36">
        <v>6092.0899999999992</v>
      </c>
      <c r="AE296" s="35">
        <v>19553.050000000003</v>
      </c>
      <c r="AF296" s="30">
        <f t="shared" si="14"/>
        <v>25645.140000000003</v>
      </c>
      <c r="AG296" s="46">
        <v>30239.460000000003</v>
      </c>
      <c r="AH296" s="45">
        <v>32686.760000000002</v>
      </c>
      <c r="AI296" s="32">
        <f t="shared" si="15"/>
        <v>62926.22</v>
      </c>
      <c r="AJ296" s="31" t="s">
        <v>75</v>
      </c>
      <c r="AK296" s="31" t="s">
        <v>75</v>
      </c>
      <c r="AL296" s="36">
        <v>47772.5</v>
      </c>
      <c r="AM296" s="36"/>
      <c r="AN296" s="36"/>
      <c r="AO296" s="36"/>
      <c r="AP296" s="36"/>
      <c r="AQ296" s="36"/>
      <c r="AR296" s="36"/>
      <c r="AS296" s="31" t="s">
        <v>75</v>
      </c>
      <c r="AT296" s="31" t="s">
        <v>75</v>
      </c>
      <c r="AU296" s="35">
        <v>1541990.47</v>
      </c>
      <c r="AV296" s="31" t="s">
        <v>75</v>
      </c>
      <c r="AW296" s="31" t="s">
        <v>75</v>
      </c>
      <c r="AX296" s="36">
        <v>36241.51</v>
      </c>
      <c r="AY296" s="30">
        <v>9838252.6999999993</v>
      </c>
      <c r="AZ296" s="32">
        <v>48628</v>
      </c>
      <c r="BA296" s="29">
        <f t="shared" si="10"/>
        <v>9886880.6999999993</v>
      </c>
      <c r="BB296" s="31" t="s">
        <v>75</v>
      </c>
      <c r="BC296" s="31" t="s">
        <v>75</v>
      </c>
      <c r="BD296" s="29">
        <v>1884079.8222222223</v>
      </c>
      <c r="BE296" s="113">
        <v>0</v>
      </c>
      <c r="BF296" s="113">
        <v>0</v>
      </c>
      <c r="BG296" s="113">
        <v>145</v>
      </c>
      <c r="BH296" s="113">
        <v>0</v>
      </c>
      <c r="BI296" s="113">
        <v>0</v>
      </c>
      <c r="BJ296" s="113">
        <v>0</v>
      </c>
      <c r="BK296" s="113">
        <v>0</v>
      </c>
      <c r="BL296" s="113">
        <v>0</v>
      </c>
      <c r="BM296" s="113">
        <v>260</v>
      </c>
      <c r="BN296" s="113">
        <v>0</v>
      </c>
      <c r="BO296" s="113">
        <v>0</v>
      </c>
      <c r="BP296" s="113">
        <v>0</v>
      </c>
      <c r="BQ296" s="113">
        <v>0</v>
      </c>
      <c r="BR296" s="113">
        <v>0</v>
      </c>
      <c r="BS296" s="113">
        <v>57</v>
      </c>
      <c r="BT296" s="113">
        <v>0</v>
      </c>
      <c r="BU296" s="113">
        <v>0</v>
      </c>
      <c r="BV296" s="113">
        <v>0</v>
      </c>
      <c r="BW296" s="113"/>
      <c r="BX296" s="113"/>
      <c r="BY296" s="113"/>
      <c r="BZ296" s="113">
        <v>0</v>
      </c>
      <c r="CA296" s="113">
        <v>0</v>
      </c>
      <c r="CB296" s="30">
        <v>274.99</v>
      </c>
      <c r="CC296" s="30"/>
      <c r="CD296" s="30"/>
      <c r="CE296" s="30"/>
      <c r="CF296" s="113">
        <v>0</v>
      </c>
      <c r="CG296" s="113">
        <v>0</v>
      </c>
      <c r="CH296" s="30">
        <v>2</v>
      </c>
      <c r="CI296" s="113">
        <v>0</v>
      </c>
      <c r="CJ296" s="113">
        <v>0</v>
      </c>
      <c r="CK296" s="30">
        <v>41</v>
      </c>
      <c r="CL296" s="30">
        <v>0</v>
      </c>
      <c r="CM296" s="30">
        <v>0</v>
      </c>
      <c r="CN296" s="30">
        <v>0</v>
      </c>
      <c r="CO296" s="113">
        <v>0</v>
      </c>
      <c r="CP296" s="113">
        <v>0</v>
      </c>
      <c r="CQ296" s="113">
        <v>9</v>
      </c>
      <c r="CR296" s="113">
        <v>0</v>
      </c>
      <c r="CS296" s="113">
        <v>0</v>
      </c>
      <c r="CT296" s="113">
        <v>0</v>
      </c>
      <c r="CU296" s="113">
        <v>0</v>
      </c>
      <c r="CV296" s="113">
        <v>0</v>
      </c>
      <c r="CW296" s="113">
        <v>94</v>
      </c>
      <c r="CX296" s="113">
        <v>0</v>
      </c>
      <c r="CY296" s="113">
        <v>0</v>
      </c>
      <c r="CZ296" s="113">
        <v>0</v>
      </c>
      <c r="DA296" s="113">
        <v>0</v>
      </c>
      <c r="DB296" s="113">
        <v>0</v>
      </c>
      <c r="DC296" s="113">
        <v>1</v>
      </c>
      <c r="DD296" s="113">
        <v>0</v>
      </c>
      <c r="DE296" s="113">
        <v>0</v>
      </c>
      <c r="DF296" s="113">
        <v>0</v>
      </c>
      <c r="DG296" s="113">
        <v>0</v>
      </c>
      <c r="DH296" s="113">
        <v>0</v>
      </c>
      <c r="DI296" s="113">
        <v>0</v>
      </c>
      <c r="DJ296" s="113">
        <v>0</v>
      </c>
      <c r="DK296" s="113">
        <v>0</v>
      </c>
      <c r="DL296" s="113">
        <v>0</v>
      </c>
      <c r="DM296" s="113">
        <v>0</v>
      </c>
      <c r="DN296" s="113">
        <v>0</v>
      </c>
      <c r="DO296" s="113">
        <v>0</v>
      </c>
      <c r="DP296" s="113">
        <v>0</v>
      </c>
      <c r="DQ296" s="113">
        <v>0</v>
      </c>
      <c r="DR296" s="113">
        <v>0</v>
      </c>
      <c r="DS296" s="113">
        <v>0</v>
      </c>
      <c r="DT296" s="113">
        <v>0</v>
      </c>
      <c r="DU296" s="113">
        <v>0</v>
      </c>
      <c r="DV296" s="113">
        <v>0</v>
      </c>
      <c r="DW296" s="113">
        <v>0</v>
      </c>
      <c r="DX296" s="113">
        <v>5</v>
      </c>
      <c r="DY296" s="113">
        <v>0</v>
      </c>
      <c r="DZ296" s="113">
        <v>0</v>
      </c>
      <c r="EA296" s="113">
        <v>278</v>
      </c>
      <c r="EB296" s="113">
        <v>0</v>
      </c>
      <c r="EC296" s="113">
        <v>0</v>
      </c>
      <c r="ED296" s="113">
        <v>0</v>
      </c>
      <c r="EE296" s="113">
        <v>0</v>
      </c>
      <c r="EF296" s="113">
        <v>0</v>
      </c>
      <c r="EG296" s="113">
        <v>972</v>
      </c>
      <c r="EH296" s="113">
        <v>0</v>
      </c>
      <c r="EI296" s="113">
        <v>0</v>
      </c>
      <c r="EJ296" s="113">
        <v>0</v>
      </c>
      <c r="EK296" s="113">
        <v>0</v>
      </c>
      <c r="EL296" s="113">
        <v>0</v>
      </c>
      <c r="EM296" s="113">
        <v>1083</v>
      </c>
      <c r="EN296" s="113">
        <v>0</v>
      </c>
      <c r="EO296" s="113">
        <v>0</v>
      </c>
      <c r="EP296" s="113">
        <v>0</v>
      </c>
      <c r="EQ296" s="113">
        <v>0</v>
      </c>
      <c r="ER296" s="113">
        <v>0</v>
      </c>
      <c r="ES296" s="113">
        <v>62</v>
      </c>
      <c r="ET296" s="113">
        <v>0</v>
      </c>
      <c r="EU296" s="113">
        <v>0</v>
      </c>
      <c r="EV296" s="113">
        <v>0</v>
      </c>
      <c r="EW296" s="113">
        <v>0</v>
      </c>
      <c r="EX296" s="113">
        <v>0</v>
      </c>
      <c r="EY296" s="113">
        <v>6</v>
      </c>
      <c r="EZ296" s="113">
        <v>0</v>
      </c>
      <c r="FA296" s="113">
        <v>0</v>
      </c>
      <c r="FB296" s="113">
        <v>0</v>
      </c>
      <c r="FC296" s="113">
        <v>0</v>
      </c>
      <c r="FD296" s="113">
        <v>0</v>
      </c>
      <c r="FE296" s="113">
        <v>0</v>
      </c>
      <c r="FF296" s="113">
        <v>0</v>
      </c>
      <c r="FG296" s="113">
        <v>0</v>
      </c>
      <c r="FH296" s="113">
        <v>0</v>
      </c>
      <c r="FI296" s="113">
        <v>0</v>
      </c>
      <c r="FJ296" s="113">
        <v>0</v>
      </c>
      <c r="FK296" s="30">
        <v>12</v>
      </c>
      <c r="FL296" s="113">
        <v>0</v>
      </c>
      <c r="FM296" s="113">
        <v>0</v>
      </c>
      <c r="FN296" s="30">
        <v>9216</v>
      </c>
      <c r="FO296" s="113">
        <v>0</v>
      </c>
      <c r="FP296" s="113">
        <v>0</v>
      </c>
      <c r="FQ296" s="30">
        <v>1119</v>
      </c>
      <c r="FR296" s="113">
        <v>0</v>
      </c>
      <c r="FS296" s="113">
        <v>0</v>
      </c>
      <c r="FT296" s="113">
        <v>0</v>
      </c>
      <c r="FU296" s="113">
        <v>0</v>
      </c>
      <c r="FV296" s="113">
        <v>0</v>
      </c>
      <c r="FW296" s="30">
        <v>39</v>
      </c>
      <c r="FX296" s="32">
        <v>0</v>
      </c>
      <c r="FY296" s="30">
        <v>0</v>
      </c>
      <c r="FZ296" s="30"/>
    </row>
    <row r="297" spans="1:182" x14ac:dyDescent="0.2">
      <c r="A297" s="28">
        <v>40603</v>
      </c>
      <c r="B297" s="28"/>
      <c r="C297" s="29">
        <v>284723.72000000003</v>
      </c>
      <c r="D297" s="29">
        <v>237546.03999999998</v>
      </c>
      <c r="E297" s="29">
        <f t="shared" si="8"/>
        <v>522269.76</v>
      </c>
      <c r="F297" s="36">
        <v>8408729.3599999994</v>
      </c>
      <c r="G297" s="36">
        <v>359333.25999999995</v>
      </c>
      <c r="H297" s="30">
        <f t="shared" si="9"/>
        <v>8768062.6199999992</v>
      </c>
      <c r="I297" s="42" t="s">
        <v>75</v>
      </c>
      <c r="J297" s="42" t="s">
        <v>75</v>
      </c>
      <c r="K297" s="45">
        <v>8285011.4900000002</v>
      </c>
      <c r="L297" s="31" t="s">
        <v>75</v>
      </c>
      <c r="M297" s="31" t="s">
        <v>75</v>
      </c>
      <c r="N297" s="36">
        <v>26914509.850000001</v>
      </c>
      <c r="O297" s="31" t="s">
        <v>75</v>
      </c>
      <c r="P297" s="31" t="s">
        <v>75</v>
      </c>
      <c r="Q297" s="36">
        <v>19660295.530000001</v>
      </c>
      <c r="R297" s="31" t="s">
        <v>75</v>
      </c>
      <c r="S297" s="31" t="s">
        <v>75</v>
      </c>
      <c r="T297" s="36">
        <v>147087.51999999999</v>
      </c>
      <c r="U297" s="36">
        <v>3658.1</v>
      </c>
      <c r="V297" s="36">
        <v>2854.58</v>
      </c>
      <c r="W297" s="30">
        <f t="shared" si="11"/>
        <v>6512.68</v>
      </c>
      <c r="X297" s="36">
        <v>48613.22</v>
      </c>
      <c r="Y297" s="36">
        <v>9958.6500000000015</v>
      </c>
      <c r="Z297" s="30">
        <f t="shared" si="12"/>
        <v>58571.87</v>
      </c>
      <c r="AA297" s="36">
        <v>206627.35</v>
      </c>
      <c r="AB297" s="36">
        <v>7011.33</v>
      </c>
      <c r="AC297" s="30">
        <f t="shared" si="13"/>
        <v>213638.68</v>
      </c>
      <c r="AD297" s="36">
        <v>5472.77</v>
      </c>
      <c r="AE297" s="35">
        <v>15796.64</v>
      </c>
      <c r="AF297" s="30">
        <f t="shared" si="14"/>
        <v>21269.41</v>
      </c>
      <c r="AG297" s="46">
        <v>32372.92</v>
      </c>
      <c r="AH297" s="45">
        <v>29193.05</v>
      </c>
      <c r="AI297" s="32">
        <f t="shared" si="15"/>
        <v>61565.97</v>
      </c>
      <c r="AJ297" s="31" t="s">
        <v>75</v>
      </c>
      <c r="AK297" s="31" t="s">
        <v>75</v>
      </c>
      <c r="AL297" s="36">
        <v>50446.25</v>
      </c>
      <c r="AM297" s="36"/>
      <c r="AN297" s="36"/>
      <c r="AO297" s="36"/>
      <c r="AP297" s="36"/>
      <c r="AQ297" s="36"/>
      <c r="AR297" s="36"/>
      <c r="AS297" s="31" t="s">
        <v>75</v>
      </c>
      <c r="AT297" s="31" t="s">
        <v>75</v>
      </c>
      <c r="AU297" s="35">
        <v>1636393.25</v>
      </c>
      <c r="AV297" s="31" t="s">
        <v>75</v>
      </c>
      <c r="AW297" s="31" t="s">
        <v>75</v>
      </c>
      <c r="AX297" s="36">
        <v>52301.34</v>
      </c>
      <c r="AY297" s="30">
        <v>9891176.5999999996</v>
      </c>
      <c r="AZ297" s="32">
        <v>37163</v>
      </c>
      <c r="BA297" s="29">
        <f t="shared" si="10"/>
        <v>9928339.5999999996</v>
      </c>
      <c r="BB297" s="31" t="s">
        <v>75</v>
      </c>
      <c r="BC297" s="31" t="s">
        <v>75</v>
      </c>
      <c r="BD297" s="29">
        <v>1542334.1555555554</v>
      </c>
      <c r="BE297" s="113">
        <v>0</v>
      </c>
      <c r="BF297" s="113">
        <v>0</v>
      </c>
      <c r="BG297" s="113">
        <v>132</v>
      </c>
      <c r="BH297" s="113">
        <v>0</v>
      </c>
      <c r="BI297" s="113">
        <v>0</v>
      </c>
      <c r="BJ297" s="113">
        <v>0</v>
      </c>
      <c r="BK297" s="113">
        <v>0</v>
      </c>
      <c r="BL297" s="113">
        <v>0</v>
      </c>
      <c r="BM297" s="113">
        <v>276</v>
      </c>
      <c r="BN297" s="113">
        <v>0</v>
      </c>
      <c r="BO297" s="113">
        <v>0</v>
      </c>
      <c r="BP297" s="113">
        <v>0</v>
      </c>
      <c r="BQ297" s="113">
        <v>0</v>
      </c>
      <c r="BR297" s="113">
        <v>0</v>
      </c>
      <c r="BS297" s="113">
        <v>324</v>
      </c>
      <c r="BT297" s="113">
        <v>0</v>
      </c>
      <c r="BU297" s="113">
        <v>0</v>
      </c>
      <c r="BV297" s="113">
        <v>0</v>
      </c>
      <c r="BW297" s="113"/>
      <c r="BX297" s="113"/>
      <c r="BY297" s="113"/>
      <c r="BZ297" s="113">
        <v>0</v>
      </c>
      <c r="CA297" s="113">
        <v>0</v>
      </c>
      <c r="CB297" s="30">
        <v>596</v>
      </c>
      <c r="CC297" s="30"/>
      <c r="CD297" s="30"/>
      <c r="CE297" s="30"/>
      <c r="CF297" s="113">
        <v>0</v>
      </c>
      <c r="CG297" s="113">
        <v>0</v>
      </c>
      <c r="CH297" s="113">
        <v>0</v>
      </c>
      <c r="CI297" s="113">
        <v>0</v>
      </c>
      <c r="CJ297" s="113">
        <v>0</v>
      </c>
      <c r="CK297" s="30">
        <v>31</v>
      </c>
      <c r="CL297" s="30">
        <v>0</v>
      </c>
      <c r="CM297" s="30">
        <v>0</v>
      </c>
      <c r="CN297" s="30">
        <v>0</v>
      </c>
      <c r="CO297" s="113">
        <v>0</v>
      </c>
      <c r="CP297" s="113">
        <v>0</v>
      </c>
      <c r="CQ297" s="113">
        <v>9</v>
      </c>
      <c r="CR297" s="113">
        <v>0</v>
      </c>
      <c r="CS297" s="113">
        <v>0</v>
      </c>
      <c r="CT297" s="113">
        <v>0</v>
      </c>
      <c r="CU297" s="113">
        <v>0</v>
      </c>
      <c r="CV297" s="113">
        <v>0</v>
      </c>
      <c r="CW297" s="113">
        <v>60</v>
      </c>
      <c r="CX297" s="113">
        <v>0</v>
      </c>
      <c r="CY297" s="113">
        <v>0</v>
      </c>
      <c r="CZ297" s="113">
        <v>0</v>
      </c>
      <c r="DA297" s="113">
        <v>0</v>
      </c>
      <c r="DB297" s="113">
        <v>0</v>
      </c>
      <c r="DC297" s="113">
        <v>0</v>
      </c>
      <c r="DD297" s="113">
        <v>0</v>
      </c>
      <c r="DE297" s="113">
        <v>0</v>
      </c>
      <c r="DF297" s="113">
        <v>0</v>
      </c>
      <c r="DG297" s="113">
        <v>0</v>
      </c>
      <c r="DH297" s="113">
        <v>0</v>
      </c>
      <c r="DI297" s="113">
        <v>0</v>
      </c>
      <c r="DJ297" s="113">
        <v>0</v>
      </c>
      <c r="DK297" s="113">
        <v>0</v>
      </c>
      <c r="DL297" s="113">
        <v>0</v>
      </c>
      <c r="DM297" s="113">
        <v>0</v>
      </c>
      <c r="DN297" s="113">
        <v>0</v>
      </c>
      <c r="DO297" s="113">
        <v>0</v>
      </c>
      <c r="DP297" s="113">
        <v>0</v>
      </c>
      <c r="DQ297" s="113">
        <v>0</v>
      </c>
      <c r="DR297" s="113">
        <v>0</v>
      </c>
      <c r="DS297" s="113">
        <v>0</v>
      </c>
      <c r="DT297" s="113">
        <v>0</v>
      </c>
      <c r="DU297" s="113">
        <v>1</v>
      </c>
      <c r="DV297" s="113">
        <v>0</v>
      </c>
      <c r="DW297" s="113">
        <v>0</v>
      </c>
      <c r="DX297" s="113">
        <v>0</v>
      </c>
      <c r="DY297" s="113">
        <v>0</v>
      </c>
      <c r="DZ297" s="113">
        <v>0</v>
      </c>
      <c r="EA297" s="113">
        <v>490</v>
      </c>
      <c r="EB297" s="113">
        <v>0</v>
      </c>
      <c r="EC297" s="113">
        <v>0</v>
      </c>
      <c r="ED297" s="113">
        <v>0</v>
      </c>
      <c r="EE297" s="113">
        <v>0</v>
      </c>
      <c r="EF297" s="113">
        <v>0</v>
      </c>
      <c r="EG297" s="113">
        <v>1057</v>
      </c>
      <c r="EH297" s="113">
        <v>0</v>
      </c>
      <c r="EI297" s="113">
        <v>0</v>
      </c>
      <c r="EJ297" s="113">
        <v>0</v>
      </c>
      <c r="EK297" s="113">
        <v>0</v>
      </c>
      <c r="EL297" s="113">
        <v>0</v>
      </c>
      <c r="EM297" s="113">
        <v>898</v>
      </c>
      <c r="EN297" s="113">
        <v>0</v>
      </c>
      <c r="EO297" s="113">
        <v>0</v>
      </c>
      <c r="EP297" s="113">
        <v>0</v>
      </c>
      <c r="EQ297" s="113">
        <v>0</v>
      </c>
      <c r="ER297" s="113">
        <v>0</v>
      </c>
      <c r="ES297" s="113">
        <v>77</v>
      </c>
      <c r="ET297" s="113">
        <v>0</v>
      </c>
      <c r="EU297" s="113">
        <v>0</v>
      </c>
      <c r="EV297" s="113">
        <v>0</v>
      </c>
      <c r="EW297" s="113">
        <v>0</v>
      </c>
      <c r="EX297" s="113">
        <v>0</v>
      </c>
      <c r="EY297" s="113">
        <v>8</v>
      </c>
      <c r="EZ297" s="113">
        <v>0</v>
      </c>
      <c r="FA297" s="113">
        <v>0</v>
      </c>
      <c r="FB297" s="113">
        <v>0</v>
      </c>
      <c r="FC297" s="113">
        <v>0</v>
      </c>
      <c r="FD297" s="113">
        <v>0</v>
      </c>
      <c r="FE297" s="113">
        <v>0</v>
      </c>
      <c r="FF297" s="113">
        <v>0</v>
      </c>
      <c r="FG297" s="113">
        <v>0</v>
      </c>
      <c r="FH297" s="113">
        <v>0</v>
      </c>
      <c r="FI297" s="113">
        <v>0</v>
      </c>
      <c r="FJ297" s="113">
        <v>0</v>
      </c>
      <c r="FK297" s="30">
        <v>5</v>
      </c>
      <c r="FL297" s="113">
        <v>0</v>
      </c>
      <c r="FM297" s="113">
        <v>0</v>
      </c>
      <c r="FN297" s="30">
        <v>8890</v>
      </c>
      <c r="FO297" s="113">
        <v>0</v>
      </c>
      <c r="FP297" s="113">
        <v>0</v>
      </c>
      <c r="FQ297" s="30">
        <v>1052</v>
      </c>
      <c r="FR297" s="113">
        <v>0</v>
      </c>
      <c r="FS297" s="113">
        <v>0</v>
      </c>
      <c r="FT297" s="113">
        <v>0</v>
      </c>
      <c r="FU297" s="113">
        <v>0</v>
      </c>
      <c r="FV297" s="113">
        <v>0</v>
      </c>
      <c r="FW297" s="30">
        <v>34</v>
      </c>
      <c r="FX297" s="32">
        <v>0</v>
      </c>
      <c r="FY297" s="30">
        <v>0</v>
      </c>
      <c r="FZ297" s="30">
        <v>1</v>
      </c>
    </row>
    <row r="298" spans="1:182" x14ac:dyDescent="0.2">
      <c r="A298" s="28">
        <v>40634</v>
      </c>
      <c r="B298" s="28"/>
      <c r="C298" s="29">
        <v>246305.5</v>
      </c>
      <c r="D298" s="29">
        <v>217303.44999999998</v>
      </c>
      <c r="E298" s="29">
        <f t="shared" si="8"/>
        <v>463608.94999999995</v>
      </c>
      <c r="F298" s="36">
        <v>6148925.6999999993</v>
      </c>
      <c r="G298" s="36">
        <v>241951.71</v>
      </c>
      <c r="H298" s="30">
        <f t="shared" si="9"/>
        <v>6390877.4099999992</v>
      </c>
      <c r="I298" s="42" t="s">
        <v>75</v>
      </c>
      <c r="J298" s="42" t="s">
        <v>75</v>
      </c>
      <c r="K298" s="45">
        <v>6598124.75</v>
      </c>
      <c r="L298" s="31" t="s">
        <v>75</v>
      </c>
      <c r="M298" s="31" t="s">
        <v>75</v>
      </c>
      <c r="N298" s="36">
        <v>24361396.649999999</v>
      </c>
      <c r="O298" s="31" t="s">
        <v>75</v>
      </c>
      <c r="P298" s="31" t="s">
        <v>75</v>
      </c>
      <c r="Q298" s="36">
        <v>18061183.23</v>
      </c>
      <c r="R298" s="31" t="s">
        <v>75</v>
      </c>
      <c r="S298" s="31" t="s">
        <v>75</v>
      </c>
      <c r="T298" s="36">
        <v>118010.12</v>
      </c>
      <c r="U298" s="36">
        <v>2986.3199999999997</v>
      </c>
      <c r="V298" s="36">
        <v>1557.31</v>
      </c>
      <c r="W298" s="30">
        <f t="shared" si="11"/>
        <v>4543.6299999999992</v>
      </c>
      <c r="X298" s="36">
        <v>86011.17</v>
      </c>
      <c r="Y298" s="36">
        <v>8144.3799999999992</v>
      </c>
      <c r="Z298" s="30">
        <f t="shared" si="12"/>
        <v>94155.55</v>
      </c>
      <c r="AA298" s="36">
        <v>140211.21000000002</v>
      </c>
      <c r="AB298" s="36">
        <v>7900.17</v>
      </c>
      <c r="AC298" s="30">
        <f t="shared" si="13"/>
        <v>148111.38000000003</v>
      </c>
      <c r="AD298" s="36">
        <v>4250.1399999999994</v>
      </c>
      <c r="AE298" s="35">
        <v>14057.44</v>
      </c>
      <c r="AF298" s="30">
        <f t="shared" si="14"/>
        <v>18307.580000000002</v>
      </c>
      <c r="AG298" s="46">
        <v>30160.62</v>
      </c>
      <c r="AH298" s="45">
        <v>29768.37</v>
      </c>
      <c r="AI298" s="32">
        <f t="shared" si="15"/>
        <v>59928.99</v>
      </c>
      <c r="AJ298" s="31" t="s">
        <v>75</v>
      </c>
      <c r="AK298" s="31" t="s">
        <v>75</v>
      </c>
      <c r="AL298" s="36">
        <v>42387.5</v>
      </c>
      <c r="AM298" s="36"/>
      <c r="AN298" s="36"/>
      <c r="AO298" s="36"/>
      <c r="AP298" s="36"/>
      <c r="AQ298" s="36"/>
      <c r="AR298" s="36"/>
      <c r="AS298" s="31" t="s">
        <v>75</v>
      </c>
      <c r="AT298" s="31" t="s">
        <v>75</v>
      </c>
      <c r="AU298" s="35">
        <v>1427442.86</v>
      </c>
      <c r="AV298" s="31" t="s">
        <v>75</v>
      </c>
      <c r="AW298" s="31" t="s">
        <v>75</v>
      </c>
      <c r="AX298" s="36">
        <v>44948.42</v>
      </c>
      <c r="AY298" s="30">
        <v>9551227.8000000007</v>
      </c>
      <c r="AZ298" s="32">
        <v>31707.5</v>
      </c>
      <c r="BA298" s="29">
        <f t="shared" si="10"/>
        <v>9582935.3000000007</v>
      </c>
      <c r="BB298" s="31" t="s">
        <v>75</v>
      </c>
      <c r="BC298" s="31" t="s">
        <v>75</v>
      </c>
      <c r="BD298" s="29">
        <v>1675704.9111111111</v>
      </c>
      <c r="BE298" s="113">
        <v>0</v>
      </c>
      <c r="BF298" s="113">
        <v>0</v>
      </c>
      <c r="BG298" s="113">
        <v>129</v>
      </c>
      <c r="BH298" s="113">
        <v>0</v>
      </c>
      <c r="BI298" s="113">
        <v>0</v>
      </c>
      <c r="BJ298" s="113">
        <v>0</v>
      </c>
      <c r="BK298" s="113">
        <v>0</v>
      </c>
      <c r="BL298" s="113">
        <v>0</v>
      </c>
      <c r="BM298" s="113">
        <v>208</v>
      </c>
      <c r="BN298" s="113">
        <v>0</v>
      </c>
      <c r="BO298" s="113">
        <v>0</v>
      </c>
      <c r="BP298" s="113">
        <v>0</v>
      </c>
      <c r="BQ298" s="113">
        <v>0</v>
      </c>
      <c r="BR298" s="113">
        <v>0</v>
      </c>
      <c r="BS298" s="113">
        <v>160</v>
      </c>
      <c r="BT298" s="113">
        <v>0</v>
      </c>
      <c r="BU298" s="113">
        <v>0</v>
      </c>
      <c r="BV298" s="113">
        <v>0</v>
      </c>
      <c r="BW298" s="113"/>
      <c r="BX298" s="113"/>
      <c r="BY298" s="113"/>
      <c r="BZ298" s="113">
        <v>0</v>
      </c>
      <c r="CA298" s="113">
        <v>0</v>
      </c>
      <c r="CB298" s="30">
        <v>66</v>
      </c>
      <c r="CC298" s="30"/>
      <c r="CD298" s="30"/>
      <c r="CE298" s="30"/>
      <c r="CF298" s="113">
        <v>0</v>
      </c>
      <c r="CG298" s="113">
        <v>0</v>
      </c>
      <c r="CH298" s="30">
        <v>1</v>
      </c>
      <c r="CI298" s="113">
        <v>0</v>
      </c>
      <c r="CJ298" s="113">
        <v>0</v>
      </c>
      <c r="CK298" s="30">
        <v>22</v>
      </c>
      <c r="CL298" s="30">
        <v>0</v>
      </c>
      <c r="CM298" s="30">
        <v>0</v>
      </c>
      <c r="CN298" s="30">
        <v>0</v>
      </c>
      <c r="CO298" s="113">
        <v>0</v>
      </c>
      <c r="CP298" s="113">
        <v>0</v>
      </c>
      <c r="CQ298" s="113">
        <v>7</v>
      </c>
      <c r="CR298" s="113">
        <v>0</v>
      </c>
      <c r="CS298" s="113">
        <v>0</v>
      </c>
      <c r="CT298" s="113">
        <v>0</v>
      </c>
      <c r="CU298" s="113">
        <v>0</v>
      </c>
      <c r="CV298" s="113">
        <v>0</v>
      </c>
      <c r="CW298" s="113">
        <v>112</v>
      </c>
      <c r="CX298" s="113">
        <v>0</v>
      </c>
      <c r="CY298" s="113">
        <v>0</v>
      </c>
      <c r="CZ298" s="113">
        <v>0</v>
      </c>
      <c r="DA298" s="113">
        <v>0</v>
      </c>
      <c r="DB298" s="113">
        <v>0</v>
      </c>
      <c r="DC298" s="113">
        <v>2</v>
      </c>
      <c r="DD298" s="113">
        <v>0</v>
      </c>
      <c r="DE298" s="113">
        <v>0</v>
      </c>
      <c r="DF298" s="113">
        <v>0</v>
      </c>
      <c r="DG298" s="113">
        <v>0</v>
      </c>
      <c r="DH298" s="113">
        <v>0</v>
      </c>
      <c r="DI298" s="113">
        <v>0</v>
      </c>
      <c r="DJ298" s="113">
        <v>0</v>
      </c>
      <c r="DK298" s="113">
        <v>0</v>
      </c>
      <c r="DL298" s="113">
        <v>0</v>
      </c>
      <c r="DM298" s="113">
        <v>0</v>
      </c>
      <c r="DN298" s="113">
        <v>0</v>
      </c>
      <c r="DO298" s="113">
        <v>0</v>
      </c>
      <c r="DP298" s="113">
        <v>0</v>
      </c>
      <c r="DQ298" s="113">
        <v>0</v>
      </c>
      <c r="DR298" s="113">
        <v>0</v>
      </c>
      <c r="DS298" s="113">
        <v>0</v>
      </c>
      <c r="DT298" s="113">
        <v>0</v>
      </c>
      <c r="DU298" s="113">
        <v>0</v>
      </c>
      <c r="DV298" s="113">
        <v>0</v>
      </c>
      <c r="DW298" s="113">
        <v>0</v>
      </c>
      <c r="DX298" s="113">
        <v>0</v>
      </c>
      <c r="DY298" s="113">
        <v>0</v>
      </c>
      <c r="DZ298" s="113">
        <v>0</v>
      </c>
      <c r="EA298" s="113">
        <v>403</v>
      </c>
      <c r="EB298" s="113">
        <v>0</v>
      </c>
      <c r="EC298" s="113">
        <v>0</v>
      </c>
      <c r="ED298" s="113">
        <v>0</v>
      </c>
      <c r="EE298" s="113">
        <v>0</v>
      </c>
      <c r="EF298" s="113">
        <v>0</v>
      </c>
      <c r="EG298" s="113">
        <v>1062</v>
      </c>
      <c r="EH298" s="113">
        <v>0</v>
      </c>
      <c r="EI298" s="113">
        <v>0</v>
      </c>
      <c r="EJ298" s="113">
        <v>0</v>
      </c>
      <c r="EK298" s="113">
        <v>0</v>
      </c>
      <c r="EL298" s="113">
        <v>0</v>
      </c>
      <c r="EM298" s="113">
        <v>902</v>
      </c>
      <c r="EN298" s="113">
        <v>0</v>
      </c>
      <c r="EO298" s="113">
        <v>0</v>
      </c>
      <c r="EP298" s="113">
        <v>0</v>
      </c>
      <c r="EQ298" s="113">
        <v>0</v>
      </c>
      <c r="ER298" s="113">
        <v>0</v>
      </c>
      <c r="ES298" s="113">
        <v>64</v>
      </c>
      <c r="ET298" s="113">
        <v>0</v>
      </c>
      <c r="EU298" s="113">
        <v>0</v>
      </c>
      <c r="EV298" s="113">
        <v>0</v>
      </c>
      <c r="EW298" s="113">
        <v>0</v>
      </c>
      <c r="EX298" s="113">
        <v>0</v>
      </c>
      <c r="EY298" s="113">
        <v>6</v>
      </c>
      <c r="EZ298" s="113">
        <v>0</v>
      </c>
      <c r="FA298" s="113">
        <v>0</v>
      </c>
      <c r="FB298" s="113">
        <v>0</v>
      </c>
      <c r="FC298" s="113">
        <v>0</v>
      </c>
      <c r="FD298" s="113">
        <v>0</v>
      </c>
      <c r="FE298" s="113">
        <v>0</v>
      </c>
      <c r="FF298" s="113">
        <v>0</v>
      </c>
      <c r="FG298" s="113">
        <v>0</v>
      </c>
      <c r="FH298" s="113">
        <v>0</v>
      </c>
      <c r="FI298" s="113">
        <v>0</v>
      </c>
      <c r="FJ298" s="113">
        <v>0</v>
      </c>
      <c r="FK298" s="30">
        <v>3</v>
      </c>
      <c r="FL298" s="113">
        <v>0</v>
      </c>
      <c r="FM298" s="113">
        <v>0</v>
      </c>
      <c r="FN298" s="30">
        <v>8335</v>
      </c>
      <c r="FO298" s="113">
        <v>0</v>
      </c>
      <c r="FP298" s="113">
        <v>0</v>
      </c>
      <c r="FQ298" s="30">
        <v>1052</v>
      </c>
      <c r="FR298" s="113">
        <v>0</v>
      </c>
      <c r="FS298" s="113">
        <v>0</v>
      </c>
      <c r="FT298" s="113">
        <v>0</v>
      </c>
      <c r="FU298" s="113">
        <v>0</v>
      </c>
      <c r="FV298" s="113">
        <v>0</v>
      </c>
      <c r="FW298" s="30">
        <v>25</v>
      </c>
      <c r="FX298" s="32">
        <v>0</v>
      </c>
      <c r="FY298" s="30">
        <v>0</v>
      </c>
      <c r="FZ298" s="30">
        <v>0</v>
      </c>
    </row>
    <row r="299" spans="1:182" x14ac:dyDescent="0.2">
      <c r="A299" s="28">
        <v>40664</v>
      </c>
      <c r="B299" s="28"/>
      <c r="C299" s="29">
        <v>288862.04000000004</v>
      </c>
      <c r="D299" s="29">
        <v>270089.13</v>
      </c>
      <c r="E299" s="29">
        <f t="shared" si="8"/>
        <v>558951.17000000004</v>
      </c>
      <c r="F299" s="36">
        <v>4289083.71</v>
      </c>
      <c r="G299" s="36">
        <v>250833.3</v>
      </c>
      <c r="H299" s="30">
        <f t="shared" si="9"/>
        <v>4539917.01</v>
      </c>
      <c r="I299" s="42" t="s">
        <v>75</v>
      </c>
      <c r="J299" s="42" t="s">
        <v>75</v>
      </c>
      <c r="K299" s="45">
        <v>6211131.8099999996</v>
      </c>
      <c r="L299" s="31" t="s">
        <v>75</v>
      </c>
      <c r="M299" s="31" t="s">
        <v>75</v>
      </c>
      <c r="N299" s="36">
        <v>20780349.84</v>
      </c>
      <c r="O299" s="31" t="s">
        <v>75</v>
      </c>
      <c r="P299" s="31" t="s">
        <v>75</v>
      </c>
      <c r="Q299" s="36">
        <v>15020505.68</v>
      </c>
      <c r="R299" s="31" t="s">
        <v>75</v>
      </c>
      <c r="S299" s="31" t="s">
        <v>75</v>
      </c>
      <c r="T299" s="36">
        <v>132925.28</v>
      </c>
      <c r="U299" s="36">
        <v>3149.7700000000004</v>
      </c>
      <c r="V299" s="36">
        <v>2115.6799999999998</v>
      </c>
      <c r="W299" s="30">
        <f t="shared" si="11"/>
        <v>5265.4500000000007</v>
      </c>
      <c r="X299" s="36">
        <v>83534.09</v>
      </c>
      <c r="Y299" s="36">
        <v>8939.4</v>
      </c>
      <c r="Z299" s="30">
        <f t="shared" si="12"/>
        <v>92473.489999999991</v>
      </c>
      <c r="AA299" s="36">
        <v>174166.86</v>
      </c>
      <c r="AB299" s="36">
        <v>5269.36</v>
      </c>
      <c r="AC299" s="30">
        <f t="shared" si="13"/>
        <v>179436.21999999997</v>
      </c>
      <c r="AD299" s="36">
        <v>4577.87</v>
      </c>
      <c r="AE299" s="35">
        <v>14018.56</v>
      </c>
      <c r="AF299" s="30">
        <f t="shared" si="14"/>
        <v>18596.43</v>
      </c>
      <c r="AG299" s="46">
        <v>35838.03</v>
      </c>
      <c r="AH299" s="45">
        <v>26294.289999999997</v>
      </c>
      <c r="AI299" s="32">
        <f t="shared" si="15"/>
        <v>62132.319999999992</v>
      </c>
      <c r="AJ299" s="31" t="s">
        <v>75</v>
      </c>
      <c r="AK299" s="31" t="s">
        <v>75</v>
      </c>
      <c r="AL299" s="36">
        <v>43310</v>
      </c>
      <c r="AM299" s="36"/>
      <c r="AN299" s="36"/>
      <c r="AO299" s="36"/>
      <c r="AP299" s="36"/>
      <c r="AQ299" s="36"/>
      <c r="AR299" s="36"/>
      <c r="AS299" s="31" t="s">
        <v>75</v>
      </c>
      <c r="AT299" s="31" t="s">
        <v>75</v>
      </c>
      <c r="AU299" s="35">
        <v>1601145.55</v>
      </c>
      <c r="AV299" s="31" t="s">
        <v>75</v>
      </c>
      <c r="AW299" s="31" t="s">
        <v>75</v>
      </c>
      <c r="AX299" s="36">
        <v>33264.35</v>
      </c>
      <c r="AY299" s="30">
        <v>9619399.1999999993</v>
      </c>
      <c r="AZ299" s="32">
        <v>28525</v>
      </c>
      <c r="BA299" s="29">
        <f t="shared" si="10"/>
        <v>9647924.1999999993</v>
      </c>
      <c r="BB299" s="31" t="s">
        <v>75</v>
      </c>
      <c r="BC299" s="31" t="s">
        <v>75</v>
      </c>
      <c r="BD299" s="29">
        <v>1708007.7111111111</v>
      </c>
      <c r="BE299" s="113">
        <v>0</v>
      </c>
      <c r="BF299" s="113">
        <v>0</v>
      </c>
      <c r="BG299" s="113">
        <v>148</v>
      </c>
      <c r="BH299" s="113">
        <v>0</v>
      </c>
      <c r="BI299" s="113">
        <v>0</v>
      </c>
      <c r="BJ299" s="113">
        <v>0</v>
      </c>
      <c r="BK299" s="113">
        <v>0</v>
      </c>
      <c r="BL299" s="113">
        <v>0</v>
      </c>
      <c r="BM299" s="113">
        <v>381</v>
      </c>
      <c r="BN299" s="113">
        <v>0</v>
      </c>
      <c r="BO299" s="113">
        <v>0</v>
      </c>
      <c r="BP299" s="113">
        <v>0</v>
      </c>
      <c r="BQ299" s="113">
        <v>0</v>
      </c>
      <c r="BR299" s="113">
        <v>0</v>
      </c>
      <c r="BS299" s="113">
        <v>310</v>
      </c>
      <c r="BT299" s="113">
        <v>0</v>
      </c>
      <c r="BU299" s="113">
        <v>0</v>
      </c>
      <c r="BV299" s="113">
        <v>0</v>
      </c>
      <c r="BW299" s="113"/>
      <c r="BX299" s="113"/>
      <c r="BY299" s="113"/>
      <c r="BZ299" s="113">
        <v>0</v>
      </c>
      <c r="CA299" s="113">
        <v>0</v>
      </c>
      <c r="CB299" s="30">
        <v>156</v>
      </c>
      <c r="CC299" s="30"/>
      <c r="CD299" s="30"/>
      <c r="CE299" s="30"/>
      <c r="CF299" s="113">
        <v>0</v>
      </c>
      <c r="CG299" s="113">
        <v>0</v>
      </c>
      <c r="CH299" s="113">
        <v>0</v>
      </c>
      <c r="CI299" s="113">
        <v>0</v>
      </c>
      <c r="CJ299" s="113">
        <v>0</v>
      </c>
      <c r="CK299" s="30">
        <v>43</v>
      </c>
      <c r="CL299" s="30">
        <v>0</v>
      </c>
      <c r="CM299" s="30">
        <v>0</v>
      </c>
      <c r="CN299" s="30">
        <v>0</v>
      </c>
      <c r="CO299" s="113">
        <v>0</v>
      </c>
      <c r="CP299" s="113">
        <v>0</v>
      </c>
      <c r="CQ299" s="113">
        <v>10</v>
      </c>
      <c r="CR299" s="113">
        <v>0</v>
      </c>
      <c r="CS299" s="113">
        <v>0</v>
      </c>
      <c r="CT299" s="113">
        <v>0</v>
      </c>
      <c r="CU299" s="113">
        <v>0</v>
      </c>
      <c r="CV299" s="113">
        <v>0</v>
      </c>
      <c r="CW299" s="113">
        <v>126</v>
      </c>
      <c r="CX299" s="113">
        <v>0</v>
      </c>
      <c r="CY299" s="113">
        <v>0</v>
      </c>
      <c r="CZ299" s="113">
        <v>0</v>
      </c>
      <c r="DA299" s="113">
        <v>0</v>
      </c>
      <c r="DB299" s="113">
        <v>0</v>
      </c>
      <c r="DC299" s="113">
        <v>0</v>
      </c>
      <c r="DD299" s="113">
        <v>0</v>
      </c>
      <c r="DE299" s="113">
        <v>0</v>
      </c>
      <c r="DF299" s="113">
        <v>0</v>
      </c>
      <c r="DG299" s="113">
        <v>0</v>
      </c>
      <c r="DH299" s="113">
        <v>0</v>
      </c>
      <c r="DI299" s="113">
        <v>0</v>
      </c>
      <c r="DJ299" s="113">
        <v>0</v>
      </c>
      <c r="DK299" s="113">
        <v>0</v>
      </c>
      <c r="DL299" s="113">
        <v>0</v>
      </c>
      <c r="DM299" s="113">
        <v>0</v>
      </c>
      <c r="DN299" s="113">
        <v>0</v>
      </c>
      <c r="DO299" s="113">
        <v>0</v>
      </c>
      <c r="DP299" s="113">
        <v>0</v>
      </c>
      <c r="DQ299" s="113">
        <v>0</v>
      </c>
      <c r="DR299" s="113">
        <v>0</v>
      </c>
      <c r="DS299" s="113">
        <v>0</v>
      </c>
      <c r="DT299" s="113">
        <v>0</v>
      </c>
      <c r="DU299" s="113">
        <v>0</v>
      </c>
      <c r="DV299" s="113">
        <v>0</v>
      </c>
      <c r="DW299" s="113">
        <v>0</v>
      </c>
      <c r="DX299" s="113">
        <v>0</v>
      </c>
      <c r="DY299" s="113">
        <v>0</v>
      </c>
      <c r="DZ299" s="113">
        <v>0</v>
      </c>
      <c r="EA299" s="113">
        <v>257.89999999999998</v>
      </c>
      <c r="EB299" s="113">
        <v>0</v>
      </c>
      <c r="EC299" s="113">
        <v>0</v>
      </c>
      <c r="ED299" s="113">
        <v>0</v>
      </c>
      <c r="EE299" s="113">
        <v>0</v>
      </c>
      <c r="EF299" s="113">
        <v>0</v>
      </c>
      <c r="EG299" s="113">
        <v>1290</v>
      </c>
      <c r="EH299" s="113">
        <v>0</v>
      </c>
      <c r="EI299" s="113">
        <v>0</v>
      </c>
      <c r="EJ299" s="113">
        <v>0</v>
      </c>
      <c r="EK299" s="113">
        <v>0</v>
      </c>
      <c r="EL299" s="113">
        <v>0</v>
      </c>
      <c r="EM299" s="113">
        <v>1084</v>
      </c>
      <c r="EN299" s="113">
        <v>0</v>
      </c>
      <c r="EO299" s="113">
        <v>0</v>
      </c>
      <c r="EP299" s="113">
        <v>0</v>
      </c>
      <c r="EQ299" s="113">
        <v>0</v>
      </c>
      <c r="ER299" s="113">
        <v>0</v>
      </c>
      <c r="ES299" s="113">
        <v>82</v>
      </c>
      <c r="ET299" s="113">
        <v>0</v>
      </c>
      <c r="EU299" s="113">
        <v>0</v>
      </c>
      <c r="EV299" s="113">
        <v>0</v>
      </c>
      <c r="EW299" s="113">
        <v>0</v>
      </c>
      <c r="EX299" s="113">
        <v>0</v>
      </c>
      <c r="EY299" s="113">
        <v>11</v>
      </c>
      <c r="EZ299" s="113">
        <v>0</v>
      </c>
      <c r="FA299" s="113">
        <v>0</v>
      </c>
      <c r="FB299" s="113">
        <v>0</v>
      </c>
      <c r="FC299" s="113">
        <v>0</v>
      </c>
      <c r="FD299" s="113">
        <v>0</v>
      </c>
      <c r="FE299" s="113">
        <v>0</v>
      </c>
      <c r="FF299" s="113">
        <v>0</v>
      </c>
      <c r="FG299" s="113">
        <v>0</v>
      </c>
      <c r="FH299" s="113">
        <v>0</v>
      </c>
      <c r="FI299" s="113">
        <v>0</v>
      </c>
      <c r="FJ299" s="113">
        <v>0</v>
      </c>
      <c r="FK299" s="30">
        <v>3</v>
      </c>
      <c r="FL299" s="113">
        <v>0</v>
      </c>
      <c r="FM299" s="113">
        <v>0</v>
      </c>
      <c r="FN299" s="30">
        <v>7548</v>
      </c>
      <c r="FO299" s="113">
        <v>0</v>
      </c>
      <c r="FP299" s="113">
        <v>0</v>
      </c>
      <c r="FQ299" s="30">
        <v>1088</v>
      </c>
      <c r="FR299" s="113">
        <v>0</v>
      </c>
      <c r="FS299" s="113">
        <v>0</v>
      </c>
      <c r="FT299" s="113">
        <v>0</v>
      </c>
      <c r="FU299" s="113">
        <v>0</v>
      </c>
      <c r="FV299" s="113">
        <v>0</v>
      </c>
      <c r="FW299" s="30">
        <v>40</v>
      </c>
      <c r="FX299" s="32">
        <v>0</v>
      </c>
      <c r="FY299" s="30">
        <v>0</v>
      </c>
      <c r="FZ299" s="30">
        <v>0</v>
      </c>
    </row>
    <row r="300" spans="1:182" x14ac:dyDescent="0.2">
      <c r="A300" s="28">
        <v>40695</v>
      </c>
      <c r="B300" s="28"/>
      <c r="C300" s="29">
        <v>312048.09000000003</v>
      </c>
      <c r="D300" s="29">
        <v>305855</v>
      </c>
      <c r="E300" s="29">
        <f t="shared" si="8"/>
        <v>617903.09000000008</v>
      </c>
      <c r="F300" s="36">
        <v>4483525.9400000004</v>
      </c>
      <c r="G300" s="36">
        <v>253814.36</v>
      </c>
      <c r="H300" s="30">
        <f t="shared" si="9"/>
        <v>4737340.3000000007</v>
      </c>
      <c r="I300" s="42" t="s">
        <v>75</v>
      </c>
      <c r="J300" s="42" t="s">
        <v>75</v>
      </c>
      <c r="K300" s="45">
        <v>5333184.01</v>
      </c>
      <c r="L300" s="31" t="s">
        <v>75</v>
      </c>
      <c r="M300" s="31" t="s">
        <v>75</v>
      </c>
      <c r="N300" s="36">
        <v>19148223.84</v>
      </c>
      <c r="O300" s="31" t="s">
        <v>75</v>
      </c>
      <c r="P300" s="31" t="s">
        <v>75</v>
      </c>
      <c r="Q300" s="36">
        <v>11893965.66</v>
      </c>
      <c r="R300" s="31" t="s">
        <v>75</v>
      </c>
      <c r="S300" s="31" t="s">
        <v>75</v>
      </c>
      <c r="T300" s="36">
        <v>151652.5</v>
      </c>
      <c r="U300" s="36">
        <v>2600.54</v>
      </c>
      <c r="V300" s="36">
        <v>1922.73</v>
      </c>
      <c r="W300" s="30">
        <f t="shared" si="11"/>
        <v>4523.2700000000004</v>
      </c>
      <c r="X300" s="36">
        <v>53716.979999999996</v>
      </c>
      <c r="Y300" s="36">
        <v>2371.5</v>
      </c>
      <c r="Z300" s="30">
        <f t="shared" si="12"/>
        <v>56088.479999999996</v>
      </c>
      <c r="AA300" s="36">
        <v>190780.45</v>
      </c>
      <c r="AB300" s="36">
        <v>10908.910000000002</v>
      </c>
      <c r="AC300" s="30">
        <f t="shared" si="13"/>
        <v>201689.36000000002</v>
      </c>
      <c r="AD300" s="36">
        <v>5131.83</v>
      </c>
      <c r="AE300" s="35">
        <v>21533.949999999997</v>
      </c>
      <c r="AF300" s="30">
        <f t="shared" si="14"/>
        <v>26665.78</v>
      </c>
      <c r="AG300" s="46">
        <v>32712.05</v>
      </c>
      <c r="AH300" s="45">
        <v>27289.78</v>
      </c>
      <c r="AI300" s="32">
        <f t="shared" si="15"/>
        <v>60001.83</v>
      </c>
      <c r="AJ300" s="31" t="s">
        <v>75</v>
      </c>
      <c r="AK300" s="31" t="s">
        <v>75</v>
      </c>
      <c r="AL300" s="36">
        <v>35262.5</v>
      </c>
      <c r="AM300" s="36"/>
      <c r="AN300" s="36"/>
      <c r="AO300" s="36"/>
      <c r="AP300" s="36"/>
      <c r="AQ300" s="36"/>
      <c r="AR300" s="36"/>
      <c r="AS300" s="31" t="s">
        <v>75</v>
      </c>
      <c r="AT300" s="31" t="s">
        <v>75</v>
      </c>
      <c r="AU300" s="35">
        <v>1899442.06</v>
      </c>
      <c r="AV300" s="31" t="s">
        <v>75</v>
      </c>
      <c r="AW300" s="31" t="s">
        <v>75</v>
      </c>
      <c r="AX300" s="36">
        <v>42417.02</v>
      </c>
      <c r="AY300" s="30">
        <v>8987802.8000000007</v>
      </c>
      <c r="AZ300" s="32">
        <v>55487</v>
      </c>
      <c r="BA300" s="29">
        <f t="shared" si="10"/>
        <v>9043289.8000000007</v>
      </c>
      <c r="BB300" s="31" t="s">
        <v>75</v>
      </c>
      <c r="BC300" s="31" t="s">
        <v>75</v>
      </c>
      <c r="BD300" s="29">
        <v>1540725.2888888889</v>
      </c>
      <c r="BE300" s="113">
        <v>0</v>
      </c>
      <c r="BF300" s="113">
        <v>0</v>
      </c>
      <c r="BG300" s="113">
        <v>155</v>
      </c>
      <c r="BH300" s="113">
        <v>0</v>
      </c>
      <c r="BI300" s="113">
        <v>0</v>
      </c>
      <c r="BJ300" s="113">
        <v>0</v>
      </c>
      <c r="BK300" s="113">
        <v>0</v>
      </c>
      <c r="BL300" s="113">
        <v>0</v>
      </c>
      <c r="BM300" s="113">
        <v>412</v>
      </c>
      <c r="BN300" s="113">
        <v>0</v>
      </c>
      <c r="BO300" s="113">
        <v>0</v>
      </c>
      <c r="BP300" s="113">
        <v>0</v>
      </c>
      <c r="BQ300" s="113">
        <v>0</v>
      </c>
      <c r="BR300" s="113">
        <v>0</v>
      </c>
      <c r="BS300" s="113">
        <v>171</v>
      </c>
      <c r="BT300" s="113">
        <v>0</v>
      </c>
      <c r="BU300" s="113">
        <v>0</v>
      </c>
      <c r="BV300" s="113">
        <v>0</v>
      </c>
      <c r="BW300" s="113"/>
      <c r="BX300" s="113"/>
      <c r="BY300" s="113"/>
      <c r="BZ300" s="113">
        <v>0</v>
      </c>
      <c r="CA300" s="113">
        <v>0</v>
      </c>
      <c r="CB300" s="30">
        <v>236</v>
      </c>
      <c r="CC300" s="30"/>
      <c r="CD300" s="30"/>
      <c r="CE300" s="30"/>
      <c r="CF300" s="113">
        <v>0</v>
      </c>
      <c r="CG300" s="113">
        <v>0</v>
      </c>
      <c r="CH300" s="30">
        <v>2</v>
      </c>
      <c r="CI300" s="113">
        <v>0</v>
      </c>
      <c r="CJ300" s="113">
        <v>0</v>
      </c>
      <c r="CK300" s="30">
        <v>26</v>
      </c>
      <c r="CL300" s="30">
        <v>0</v>
      </c>
      <c r="CM300" s="30">
        <v>0</v>
      </c>
      <c r="CN300" s="30">
        <v>0</v>
      </c>
      <c r="CO300" s="113">
        <v>0</v>
      </c>
      <c r="CP300" s="113">
        <v>0</v>
      </c>
      <c r="CQ300" s="113">
        <v>10</v>
      </c>
      <c r="CR300" s="113">
        <v>0</v>
      </c>
      <c r="CS300" s="113">
        <v>0</v>
      </c>
      <c r="CT300" s="113">
        <v>0</v>
      </c>
      <c r="CU300" s="113">
        <v>0</v>
      </c>
      <c r="CV300" s="113">
        <v>0</v>
      </c>
      <c r="CW300" s="113">
        <v>140</v>
      </c>
      <c r="CX300" s="113">
        <v>0</v>
      </c>
      <c r="CY300" s="113">
        <v>0</v>
      </c>
      <c r="CZ300" s="113">
        <v>0</v>
      </c>
      <c r="DA300" s="113">
        <v>0</v>
      </c>
      <c r="DB300" s="113">
        <v>0</v>
      </c>
      <c r="DC300" s="113">
        <v>2</v>
      </c>
      <c r="DD300" s="113">
        <v>0</v>
      </c>
      <c r="DE300" s="113">
        <v>0</v>
      </c>
      <c r="DF300" s="113">
        <v>0</v>
      </c>
      <c r="DG300" s="113">
        <v>0</v>
      </c>
      <c r="DH300" s="113">
        <v>0</v>
      </c>
      <c r="DI300" s="113">
        <v>0</v>
      </c>
      <c r="DJ300" s="113">
        <v>0</v>
      </c>
      <c r="DK300" s="113">
        <v>0</v>
      </c>
      <c r="DL300" s="113">
        <v>0</v>
      </c>
      <c r="DM300" s="113">
        <v>0</v>
      </c>
      <c r="DN300" s="113">
        <v>0</v>
      </c>
      <c r="DO300" s="113">
        <v>0</v>
      </c>
      <c r="DP300" s="113">
        <v>0</v>
      </c>
      <c r="DQ300" s="113">
        <v>0</v>
      </c>
      <c r="DR300" s="113">
        <v>0</v>
      </c>
      <c r="DS300" s="113">
        <v>0</v>
      </c>
      <c r="DT300" s="113">
        <v>0</v>
      </c>
      <c r="DU300" s="113">
        <v>0</v>
      </c>
      <c r="DV300" s="113">
        <v>0</v>
      </c>
      <c r="DW300" s="113">
        <v>0</v>
      </c>
      <c r="DX300" s="113">
        <v>7</v>
      </c>
      <c r="DY300" s="113">
        <v>0</v>
      </c>
      <c r="DZ300" s="113">
        <v>0</v>
      </c>
      <c r="EA300" s="113">
        <v>1161</v>
      </c>
      <c r="EB300" s="113">
        <v>0</v>
      </c>
      <c r="EC300" s="113">
        <v>0</v>
      </c>
      <c r="ED300" s="113">
        <v>0</v>
      </c>
      <c r="EE300" s="113">
        <v>0</v>
      </c>
      <c r="EF300" s="113">
        <v>0</v>
      </c>
      <c r="EG300" s="113">
        <v>1081</v>
      </c>
      <c r="EH300" s="113">
        <v>0</v>
      </c>
      <c r="EI300" s="113">
        <v>0</v>
      </c>
      <c r="EJ300" s="113">
        <v>0</v>
      </c>
      <c r="EK300" s="113">
        <v>0</v>
      </c>
      <c r="EL300" s="113">
        <v>0</v>
      </c>
      <c r="EM300" s="113">
        <v>1147</v>
      </c>
      <c r="EN300" s="113">
        <v>0</v>
      </c>
      <c r="EO300" s="113">
        <v>0</v>
      </c>
      <c r="EP300" s="113">
        <v>0</v>
      </c>
      <c r="EQ300" s="113">
        <v>0</v>
      </c>
      <c r="ER300" s="113">
        <v>0</v>
      </c>
      <c r="ES300" s="113">
        <v>64</v>
      </c>
      <c r="ET300" s="113">
        <v>0</v>
      </c>
      <c r="EU300" s="113">
        <v>0</v>
      </c>
      <c r="EV300" s="113">
        <v>0</v>
      </c>
      <c r="EW300" s="113">
        <v>0</v>
      </c>
      <c r="EX300" s="113">
        <v>0</v>
      </c>
      <c r="EY300" s="113">
        <v>8</v>
      </c>
      <c r="EZ300" s="113">
        <v>0</v>
      </c>
      <c r="FA300" s="113">
        <v>0</v>
      </c>
      <c r="FB300" s="113">
        <v>0</v>
      </c>
      <c r="FC300" s="113">
        <v>0</v>
      </c>
      <c r="FD300" s="113">
        <v>0</v>
      </c>
      <c r="FE300" s="113">
        <v>0</v>
      </c>
      <c r="FF300" s="113">
        <v>0</v>
      </c>
      <c r="FG300" s="113">
        <v>0</v>
      </c>
      <c r="FH300" s="113">
        <v>0</v>
      </c>
      <c r="FI300" s="113">
        <v>0</v>
      </c>
      <c r="FJ300" s="113">
        <v>0</v>
      </c>
      <c r="FK300" s="113">
        <v>0</v>
      </c>
      <c r="FL300" s="113">
        <v>0</v>
      </c>
      <c r="FM300" s="113">
        <v>0</v>
      </c>
      <c r="FN300" s="30">
        <v>5823</v>
      </c>
      <c r="FO300" s="113">
        <v>0</v>
      </c>
      <c r="FP300" s="113">
        <v>0</v>
      </c>
      <c r="FQ300" s="30">
        <v>751</v>
      </c>
      <c r="FR300" s="113">
        <v>0</v>
      </c>
      <c r="FS300" s="113">
        <v>0</v>
      </c>
      <c r="FT300" s="113">
        <v>0</v>
      </c>
      <c r="FU300" s="113">
        <v>0</v>
      </c>
      <c r="FV300" s="113">
        <v>0</v>
      </c>
      <c r="FW300" s="30">
        <v>15</v>
      </c>
      <c r="FX300" s="32">
        <v>0</v>
      </c>
      <c r="FY300" s="30">
        <v>0</v>
      </c>
      <c r="FZ300" s="30">
        <v>0</v>
      </c>
    </row>
    <row r="301" spans="1:182" x14ac:dyDescent="0.2">
      <c r="A301" s="28">
        <v>40725</v>
      </c>
      <c r="B301" s="28"/>
      <c r="C301" s="29">
        <v>328684.86</v>
      </c>
      <c r="D301" s="29">
        <v>222524.54</v>
      </c>
      <c r="E301" s="29">
        <f t="shared" si="8"/>
        <v>551209.4</v>
      </c>
      <c r="F301" s="36">
        <v>4916788.49</v>
      </c>
      <c r="G301" s="36">
        <v>267532.68</v>
      </c>
      <c r="H301" s="30">
        <f t="shared" si="9"/>
        <v>5184321.17</v>
      </c>
      <c r="I301" s="42" t="s">
        <v>75</v>
      </c>
      <c r="J301" s="42" t="s">
        <v>75</v>
      </c>
      <c r="K301" s="45">
        <v>5144300.7399999993</v>
      </c>
      <c r="L301" s="31" t="s">
        <v>75</v>
      </c>
      <c r="M301" s="31" t="s">
        <v>75</v>
      </c>
      <c r="N301" s="36">
        <v>20317368.91</v>
      </c>
      <c r="O301" s="31" t="s">
        <v>75</v>
      </c>
      <c r="P301" s="31" t="s">
        <v>75</v>
      </c>
      <c r="Q301" s="36">
        <v>12430015.859999999</v>
      </c>
      <c r="R301" s="31" t="s">
        <v>75</v>
      </c>
      <c r="S301" s="31" t="s">
        <v>75</v>
      </c>
      <c r="T301" s="36">
        <v>132360.22</v>
      </c>
      <c r="U301" s="36">
        <v>2540.9899999999998</v>
      </c>
      <c r="V301" s="36">
        <v>2044.76</v>
      </c>
      <c r="W301" s="30">
        <f t="shared" si="11"/>
        <v>4585.75</v>
      </c>
      <c r="X301" s="36">
        <v>51001.3</v>
      </c>
      <c r="Y301" s="36">
        <v>12218.85</v>
      </c>
      <c r="Z301" s="30">
        <f t="shared" si="12"/>
        <v>63220.15</v>
      </c>
      <c r="AA301" s="36">
        <v>238079.93000000002</v>
      </c>
      <c r="AB301" s="36">
        <v>7789.81</v>
      </c>
      <c r="AC301" s="30">
        <f t="shared" si="13"/>
        <v>245869.74000000002</v>
      </c>
      <c r="AD301" s="36">
        <v>3011.4199999999996</v>
      </c>
      <c r="AE301" s="35">
        <v>16970.59</v>
      </c>
      <c r="AF301" s="30">
        <f t="shared" si="14"/>
        <v>19982.009999999998</v>
      </c>
      <c r="AG301" s="46">
        <v>30468.36</v>
      </c>
      <c r="AH301" s="45">
        <v>28226.820000000007</v>
      </c>
      <c r="AI301" s="32">
        <f t="shared" si="15"/>
        <v>58695.180000000008</v>
      </c>
      <c r="AJ301" s="31" t="s">
        <v>75</v>
      </c>
      <c r="AK301" s="31" t="s">
        <v>75</v>
      </c>
      <c r="AL301" s="36">
        <v>33117.5</v>
      </c>
      <c r="AM301" s="36"/>
      <c r="AN301" s="36"/>
      <c r="AO301" s="36"/>
      <c r="AP301" s="36"/>
      <c r="AQ301" s="36"/>
      <c r="AR301" s="36"/>
      <c r="AS301" s="31" t="s">
        <v>75</v>
      </c>
      <c r="AT301" s="31" t="s">
        <v>75</v>
      </c>
      <c r="AU301" s="35">
        <v>1595005.55</v>
      </c>
      <c r="AV301" s="31" t="s">
        <v>75</v>
      </c>
      <c r="AW301" s="31" t="s">
        <v>75</v>
      </c>
      <c r="AX301" s="36">
        <v>37932.89</v>
      </c>
      <c r="AY301" s="30">
        <v>9183656.5999999996</v>
      </c>
      <c r="AZ301" s="32">
        <v>16214.5</v>
      </c>
      <c r="BA301" s="29">
        <f t="shared" si="10"/>
        <v>9199871.0999999996</v>
      </c>
      <c r="BB301" s="31" t="s">
        <v>75</v>
      </c>
      <c r="BC301" s="31" t="s">
        <v>75</v>
      </c>
      <c r="BD301" s="29">
        <v>1579614.5777777778</v>
      </c>
      <c r="BE301" s="113">
        <v>0</v>
      </c>
      <c r="BF301" s="113">
        <v>0</v>
      </c>
      <c r="BG301" s="113">
        <v>163</v>
      </c>
      <c r="BH301" s="113">
        <v>0</v>
      </c>
      <c r="BI301" s="113">
        <v>0</v>
      </c>
      <c r="BJ301" s="113">
        <v>0</v>
      </c>
      <c r="BK301" s="113">
        <v>0</v>
      </c>
      <c r="BL301" s="113">
        <v>0</v>
      </c>
      <c r="BM301" s="113">
        <v>324</v>
      </c>
      <c r="BN301" s="113">
        <v>0</v>
      </c>
      <c r="BO301" s="113">
        <v>0</v>
      </c>
      <c r="BP301" s="113">
        <v>0</v>
      </c>
      <c r="BQ301" s="113">
        <v>0</v>
      </c>
      <c r="BR301" s="113">
        <v>0</v>
      </c>
      <c r="BS301" s="113">
        <v>116</v>
      </c>
      <c r="BT301" s="113">
        <v>0</v>
      </c>
      <c r="BU301" s="113">
        <v>0</v>
      </c>
      <c r="BV301" s="113">
        <v>0</v>
      </c>
      <c r="BW301" s="113"/>
      <c r="BX301" s="113"/>
      <c r="BY301" s="113"/>
      <c r="BZ301" s="113">
        <v>0</v>
      </c>
      <c r="CA301" s="113">
        <v>0</v>
      </c>
      <c r="CB301" s="30">
        <v>292</v>
      </c>
      <c r="CC301" s="30"/>
      <c r="CD301" s="30"/>
      <c r="CE301" s="30"/>
      <c r="CF301" s="113">
        <v>0</v>
      </c>
      <c r="CG301" s="113">
        <v>0</v>
      </c>
      <c r="CH301" s="30">
        <v>6</v>
      </c>
      <c r="CI301" s="113">
        <v>0</v>
      </c>
      <c r="CJ301" s="113">
        <v>0</v>
      </c>
      <c r="CK301" s="30">
        <v>4</v>
      </c>
      <c r="CL301" s="30">
        <v>0</v>
      </c>
      <c r="CM301" s="30">
        <v>0</v>
      </c>
      <c r="CN301" s="30">
        <v>0</v>
      </c>
      <c r="CO301" s="113">
        <v>0</v>
      </c>
      <c r="CP301" s="113">
        <v>0</v>
      </c>
      <c r="CQ301" s="113">
        <v>4</v>
      </c>
      <c r="CR301" s="113">
        <v>0</v>
      </c>
      <c r="CS301" s="113">
        <v>0</v>
      </c>
      <c r="CT301" s="113">
        <v>0</v>
      </c>
      <c r="CU301" s="113">
        <v>0</v>
      </c>
      <c r="CV301" s="113">
        <v>0</v>
      </c>
      <c r="CW301" s="113">
        <v>197</v>
      </c>
      <c r="CX301" s="113">
        <v>0</v>
      </c>
      <c r="CY301" s="113">
        <v>0</v>
      </c>
      <c r="CZ301" s="113">
        <v>0</v>
      </c>
      <c r="DA301" s="113">
        <v>0</v>
      </c>
      <c r="DB301" s="113">
        <v>0</v>
      </c>
      <c r="DC301" s="113">
        <v>1</v>
      </c>
      <c r="DD301" s="113">
        <v>0</v>
      </c>
      <c r="DE301" s="113">
        <v>0</v>
      </c>
      <c r="DF301" s="113">
        <v>0</v>
      </c>
      <c r="DG301" s="113">
        <v>0</v>
      </c>
      <c r="DH301" s="113">
        <v>0</v>
      </c>
      <c r="DI301" s="113">
        <v>0</v>
      </c>
      <c r="DJ301" s="113">
        <v>0</v>
      </c>
      <c r="DK301" s="113">
        <v>0</v>
      </c>
      <c r="DL301" s="113">
        <v>0</v>
      </c>
      <c r="DM301" s="113">
        <v>0</v>
      </c>
      <c r="DN301" s="113">
        <v>0</v>
      </c>
      <c r="DO301" s="113">
        <v>0</v>
      </c>
      <c r="DP301" s="113">
        <v>0</v>
      </c>
      <c r="DQ301" s="113">
        <v>0</v>
      </c>
      <c r="DR301" s="113">
        <v>0</v>
      </c>
      <c r="DS301" s="113">
        <v>0</v>
      </c>
      <c r="DT301" s="113">
        <v>0</v>
      </c>
      <c r="DU301" s="113">
        <v>0</v>
      </c>
      <c r="DV301" s="113">
        <v>0</v>
      </c>
      <c r="DW301" s="113">
        <v>0</v>
      </c>
      <c r="DX301" s="113">
        <v>3</v>
      </c>
      <c r="DY301" s="113">
        <v>0</v>
      </c>
      <c r="DZ301" s="113">
        <v>0</v>
      </c>
      <c r="EA301" s="113">
        <v>731</v>
      </c>
      <c r="EB301" s="113">
        <v>0</v>
      </c>
      <c r="EC301" s="113">
        <v>0</v>
      </c>
      <c r="ED301" s="113">
        <v>0</v>
      </c>
      <c r="EE301" s="113">
        <v>0</v>
      </c>
      <c r="EF301" s="113">
        <v>0</v>
      </c>
      <c r="EG301" s="113">
        <v>832</v>
      </c>
      <c r="EH301" s="113">
        <v>0</v>
      </c>
      <c r="EI301" s="113">
        <v>0</v>
      </c>
      <c r="EJ301" s="113">
        <v>0</v>
      </c>
      <c r="EK301" s="113">
        <v>0</v>
      </c>
      <c r="EL301" s="113">
        <v>0</v>
      </c>
      <c r="EM301" s="113">
        <v>1061</v>
      </c>
      <c r="EN301" s="113">
        <v>0</v>
      </c>
      <c r="EO301" s="113">
        <v>0</v>
      </c>
      <c r="EP301" s="113">
        <v>0</v>
      </c>
      <c r="EQ301" s="113">
        <v>0</v>
      </c>
      <c r="ER301" s="113">
        <v>0</v>
      </c>
      <c r="ES301" s="113">
        <v>96</v>
      </c>
      <c r="ET301" s="113">
        <v>0</v>
      </c>
      <c r="EU301" s="113">
        <v>0</v>
      </c>
      <c r="EV301" s="113">
        <v>0</v>
      </c>
      <c r="EW301" s="113">
        <v>0</v>
      </c>
      <c r="EX301" s="113">
        <v>0</v>
      </c>
      <c r="EY301" s="113">
        <v>12</v>
      </c>
      <c r="EZ301" s="113">
        <v>0</v>
      </c>
      <c r="FA301" s="113">
        <v>0</v>
      </c>
      <c r="FB301" s="113">
        <v>0</v>
      </c>
      <c r="FC301" s="113">
        <v>0</v>
      </c>
      <c r="FD301" s="113">
        <v>0</v>
      </c>
      <c r="FE301" s="113">
        <v>0</v>
      </c>
      <c r="FF301" s="113">
        <v>0</v>
      </c>
      <c r="FG301" s="113">
        <v>0</v>
      </c>
      <c r="FH301" s="113">
        <v>0</v>
      </c>
      <c r="FI301" s="113">
        <v>0</v>
      </c>
      <c r="FJ301" s="113">
        <v>0</v>
      </c>
      <c r="FK301" s="30">
        <v>1</v>
      </c>
      <c r="FL301" s="113">
        <v>0</v>
      </c>
      <c r="FM301" s="113">
        <v>0</v>
      </c>
      <c r="FN301" s="30">
        <v>6519</v>
      </c>
      <c r="FO301" s="113">
        <v>0</v>
      </c>
      <c r="FP301" s="113">
        <v>0</v>
      </c>
      <c r="FQ301" s="30">
        <v>612</v>
      </c>
      <c r="FR301" s="113">
        <v>0</v>
      </c>
      <c r="FS301" s="113">
        <v>0</v>
      </c>
      <c r="FT301" s="113">
        <v>0</v>
      </c>
      <c r="FU301" s="113">
        <v>0</v>
      </c>
      <c r="FV301" s="113">
        <v>0</v>
      </c>
      <c r="FW301" s="30">
        <v>42</v>
      </c>
      <c r="FX301" s="32">
        <v>0</v>
      </c>
      <c r="FY301" s="30">
        <v>0</v>
      </c>
      <c r="FZ301" s="30">
        <v>0</v>
      </c>
    </row>
    <row r="302" spans="1:182" x14ac:dyDescent="0.2">
      <c r="A302" s="28">
        <v>40756</v>
      </c>
      <c r="B302" s="28"/>
      <c r="C302" s="29">
        <v>229200.22000000003</v>
      </c>
      <c r="D302" s="29">
        <v>233793.16999999998</v>
      </c>
      <c r="E302" s="29">
        <f t="shared" si="8"/>
        <v>462993.39</v>
      </c>
      <c r="F302" s="36">
        <v>4811985.96</v>
      </c>
      <c r="G302" s="36">
        <v>302348.45000000007</v>
      </c>
      <c r="H302" s="30">
        <f t="shared" si="9"/>
        <v>5114334.41</v>
      </c>
      <c r="I302" s="42" t="s">
        <v>75</v>
      </c>
      <c r="J302" s="42" t="s">
        <v>75</v>
      </c>
      <c r="K302" s="45">
        <v>6404994.4299999997</v>
      </c>
      <c r="L302" s="31" t="s">
        <v>75</v>
      </c>
      <c r="M302" s="31" t="s">
        <v>75</v>
      </c>
      <c r="N302" s="36">
        <v>20632232.600000001</v>
      </c>
      <c r="O302" s="31" t="s">
        <v>75</v>
      </c>
      <c r="P302" s="31" t="s">
        <v>75</v>
      </c>
      <c r="Q302" s="36">
        <v>15273279.140000001</v>
      </c>
      <c r="R302" s="31" t="s">
        <v>75</v>
      </c>
      <c r="S302" s="31" t="s">
        <v>75</v>
      </c>
      <c r="T302" s="36">
        <v>144617.09999999998</v>
      </c>
      <c r="U302" s="36">
        <v>4484.76</v>
      </c>
      <c r="V302" s="36">
        <v>2547.34</v>
      </c>
      <c r="W302" s="30">
        <f t="shared" si="11"/>
        <v>7032.1</v>
      </c>
      <c r="X302" s="36">
        <v>74449.009999999995</v>
      </c>
      <c r="Y302" s="36">
        <v>8718.8799999999992</v>
      </c>
      <c r="Z302" s="30">
        <f t="shared" si="12"/>
        <v>83167.89</v>
      </c>
      <c r="AA302" s="36">
        <v>158519.70000000001</v>
      </c>
      <c r="AB302" s="36">
        <v>10824.960000000001</v>
      </c>
      <c r="AC302" s="30">
        <f t="shared" si="13"/>
        <v>169344.66</v>
      </c>
      <c r="AD302" s="36">
        <v>4207.91</v>
      </c>
      <c r="AE302" s="35">
        <v>17616.840000000004</v>
      </c>
      <c r="AF302" s="30">
        <f t="shared" si="14"/>
        <v>21824.750000000004</v>
      </c>
      <c r="AG302" s="46">
        <v>37479.979999999996</v>
      </c>
      <c r="AH302" s="45">
        <v>39578.869999999995</v>
      </c>
      <c r="AI302" s="32">
        <f t="shared" si="15"/>
        <v>77058.849999999991</v>
      </c>
      <c r="AJ302" s="31" t="s">
        <v>75</v>
      </c>
      <c r="AK302" s="31" t="s">
        <v>75</v>
      </c>
      <c r="AL302" s="36">
        <v>41242.5</v>
      </c>
      <c r="AM302" s="36"/>
      <c r="AN302" s="36"/>
      <c r="AO302" s="36"/>
      <c r="AP302" s="36"/>
      <c r="AQ302" s="36"/>
      <c r="AR302" s="36"/>
      <c r="AS302" s="31" t="s">
        <v>75</v>
      </c>
      <c r="AT302" s="31" t="s">
        <v>75</v>
      </c>
      <c r="AU302" s="35">
        <v>1560891.19</v>
      </c>
      <c r="AV302" s="31" t="s">
        <v>75</v>
      </c>
      <c r="AW302" s="31" t="s">
        <v>75</v>
      </c>
      <c r="AX302" s="36">
        <v>39293.5</v>
      </c>
      <c r="AY302" s="30">
        <v>10143974.199999999</v>
      </c>
      <c r="AZ302" s="32">
        <v>52520</v>
      </c>
      <c r="BA302" s="29">
        <f t="shared" si="10"/>
        <v>10196494.199999999</v>
      </c>
      <c r="BB302" s="31" t="s">
        <v>75</v>
      </c>
      <c r="BC302" s="31" t="s">
        <v>75</v>
      </c>
      <c r="BD302" s="29">
        <v>1663155.2222222222</v>
      </c>
      <c r="BE302" s="113">
        <v>0</v>
      </c>
      <c r="BF302" s="113">
        <v>0</v>
      </c>
      <c r="BG302" s="113">
        <v>159</v>
      </c>
      <c r="BH302" s="113">
        <v>0</v>
      </c>
      <c r="BI302" s="113">
        <v>0</v>
      </c>
      <c r="BJ302" s="113">
        <v>0</v>
      </c>
      <c r="BK302" s="113">
        <v>0</v>
      </c>
      <c r="BL302" s="113">
        <v>0</v>
      </c>
      <c r="BM302" s="113">
        <v>404</v>
      </c>
      <c r="BN302" s="113">
        <v>0</v>
      </c>
      <c r="BO302" s="113">
        <v>0</v>
      </c>
      <c r="BP302" s="113">
        <v>0</v>
      </c>
      <c r="BQ302" s="113">
        <v>0</v>
      </c>
      <c r="BR302" s="113">
        <v>0</v>
      </c>
      <c r="BS302" s="113">
        <v>161</v>
      </c>
      <c r="BT302" s="113">
        <v>0</v>
      </c>
      <c r="BU302" s="113">
        <v>0</v>
      </c>
      <c r="BV302" s="113">
        <v>0</v>
      </c>
      <c r="BW302" s="113"/>
      <c r="BX302" s="113"/>
      <c r="BY302" s="113"/>
      <c r="BZ302" s="113">
        <v>0</v>
      </c>
      <c r="CA302" s="113">
        <v>0</v>
      </c>
      <c r="CB302" s="30">
        <v>262</v>
      </c>
      <c r="CC302" s="30"/>
      <c r="CD302" s="30"/>
      <c r="CE302" s="30"/>
      <c r="CF302" s="113">
        <v>0</v>
      </c>
      <c r="CG302" s="113">
        <v>0</v>
      </c>
      <c r="CH302" s="30">
        <v>11</v>
      </c>
      <c r="CI302" s="113">
        <v>0</v>
      </c>
      <c r="CJ302" s="113">
        <v>0</v>
      </c>
      <c r="CK302" s="30">
        <v>1</v>
      </c>
      <c r="CL302" s="30">
        <v>0</v>
      </c>
      <c r="CM302" s="30">
        <v>0</v>
      </c>
      <c r="CN302" s="30">
        <v>0</v>
      </c>
      <c r="CO302" s="113">
        <v>0</v>
      </c>
      <c r="CP302" s="113">
        <v>0</v>
      </c>
      <c r="CQ302" s="113">
        <v>9</v>
      </c>
      <c r="CR302" s="113">
        <v>0</v>
      </c>
      <c r="CS302" s="113">
        <v>0</v>
      </c>
      <c r="CT302" s="113">
        <v>0</v>
      </c>
      <c r="CU302" s="113">
        <v>0</v>
      </c>
      <c r="CV302" s="113">
        <v>0</v>
      </c>
      <c r="CW302" s="113">
        <v>217</v>
      </c>
      <c r="CX302" s="113">
        <v>0</v>
      </c>
      <c r="CY302" s="113">
        <v>0</v>
      </c>
      <c r="CZ302" s="113">
        <v>0</v>
      </c>
      <c r="DA302" s="113">
        <v>0</v>
      </c>
      <c r="DB302" s="113">
        <v>0</v>
      </c>
      <c r="DC302" s="113">
        <v>11</v>
      </c>
      <c r="DD302" s="113">
        <v>0</v>
      </c>
      <c r="DE302" s="113">
        <v>0</v>
      </c>
      <c r="DF302" s="113">
        <v>0</v>
      </c>
      <c r="DG302" s="113">
        <v>0</v>
      </c>
      <c r="DH302" s="113">
        <v>0</v>
      </c>
      <c r="DI302" s="113">
        <v>0</v>
      </c>
      <c r="DJ302" s="113">
        <v>0</v>
      </c>
      <c r="DK302" s="113">
        <v>0</v>
      </c>
      <c r="DL302" s="113">
        <v>0</v>
      </c>
      <c r="DM302" s="113">
        <v>0</v>
      </c>
      <c r="DN302" s="113">
        <v>0</v>
      </c>
      <c r="DO302" s="113">
        <v>0</v>
      </c>
      <c r="DP302" s="113">
        <v>0</v>
      </c>
      <c r="DQ302" s="113">
        <v>0</v>
      </c>
      <c r="DR302" s="113">
        <v>0</v>
      </c>
      <c r="DS302" s="113">
        <v>0</v>
      </c>
      <c r="DT302" s="113">
        <v>0</v>
      </c>
      <c r="DU302" s="113">
        <v>0</v>
      </c>
      <c r="DV302" s="113">
        <v>0</v>
      </c>
      <c r="DW302" s="113">
        <v>0</v>
      </c>
      <c r="DX302" s="113">
        <v>6</v>
      </c>
      <c r="DY302" s="113">
        <v>0</v>
      </c>
      <c r="DZ302" s="113">
        <v>0</v>
      </c>
      <c r="EA302" s="113">
        <v>781</v>
      </c>
      <c r="EB302" s="113">
        <v>0</v>
      </c>
      <c r="EC302" s="113">
        <v>0</v>
      </c>
      <c r="ED302" s="113">
        <v>0</v>
      </c>
      <c r="EE302" s="113">
        <v>0</v>
      </c>
      <c r="EF302" s="113">
        <v>0</v>
      </c>
      <c r="EG302" s="113">
        <v>1263</v>
      </c>
      <c r="EH302" s="113">
        <v>0</v>
      </c>
      <c r="EI302" s="113">
        <v>0</v>
      </c>
      <c r="EJ302" s="113">
        <v>0</v>
      </c>
      <c r="EK302" s="113">
        <v>0</v>
      </c>
      <c r="EL302" s="113">
        <v>0</v>
      </c>
      <c r="EM302" s="113">
        <v>1113</v>
      </c>
      <c r="EN302" s="113">
        <v>0</v>
      </c>
      <c r="EO302" s="113">
        <v>0</v>
      </c>
      <c r="EP302" s="113">
        <v>0</v>
      </c>
      <c r="EQ302" s="113">
        <v>0</v>
      </c>
      <c r="ER302" s="113">
        <v>0</v>
      </c>
      <c r="ES302" s="113">
        <v>115</v>
      </c>
      <c r="ET302" s="113">
        <v>0</v>
      </c>
      <c r="EU302" s="113">
        <v>0</v>
      </c>
      <c r="EV302" s="113">
        <v>0</v>
      </c>
      <c r="EW302" s="113">
        <v>0</v>
      </c>
      <c r="EX302" s="113">
        <v>0</v>
      </c>
      <c r="EY302" s="113">
        <v>16</v>
      </c>
      <c r="EZ302" s="113">
        <v>0</v>
      </c>
      <c r="FA302" s="113">
        <v>0</v>
      </c>
      <c r="FB302" s="113">
        <v>0</v>
      </c>
      <c r="FC302" s="113">
        <v>0</v>
      </c>
      <c r="FD302" s="113">
        <v>0</v>
      </c>
      <c r="FE302" s="113">
        <v>0</v>
      </c>
      <c r="FF302" s="113">
        <v>0</v>
      </c>
      <c r="FG302" s="113">
        <v>0</v>
      </c>
      <c r="FH302" s="113">
        <v>0</v>
      </c>
      <c r="FI302" s="113">
        <v>0</v>
      </c>
      <c r="FJ302" s="113">
        <v>0</v>
      </c>
      <c r="FK302" s="113">
        <v>0</v>
      </c>
      <c r="FL302" s="113">
        <v>0</v>
      </c>
      <c r="FM302" s="113">
        <v>0</v>
      </c>
      <c r="FN302" s="30">
        <v>5062</v>
      </c>
      <c r="FO302" s="113">
        <v>0</v>
      </c>
      <c r="FP302" s="113">
        <v>0</v>
      </c>
      <c r="FQ302" s="30">
        <v>795</v>
      </c>
      <c r="FR302" s="113">
        <v>0</v>
      </c>
      <c r="FS302" s="113">
        <v>0</v>
      </c>
      <c r="FT302" s="113">
        <v>0</v>
      </c>
      <c r="FU302" s="113">
        <v>0</v>
      </c>
      <c r="FV302" s="113">
        <v>0</v>
      </c>
      <c r="FW302" s="30">
        <v>34</v>
      </c>
      <c r="FX302" s="32">
        <v>0</v>
      </c>
      <c r="FY302" s="30">
        <v>0</v>
      </c>
      <c r="FZ302" s="30">
        <v>0</v>
      </c>
    </row>
    <row r="303" spans="1:182" x14ac:dyDescent="0.2">
      <c r="A303" s="28">
        <v>40787</v>
      </c>
      <c r="B303" s="28"/>
      <c r="C303" s="29">
        <v>288840.28000000003</v>
      </c>
      <c r="D303" s="29">
        <v>221320.81000000003</v>
      </c>
      <c r="E303" s="29">
        <f t="shared" si="8"/>
        <v>510161.09000000008</v>
      </c>
      <c r="F303" s="36">
        <v>5570991.0800000001</v>
      </c>
      <c r="G303" s="36">
        <v>385089.89999999997</v>
      </c>
      <c r="H303" s="30">
        <f t="shared" si="9"/>
        <v>5956080.9800000004</v>
      </c>
      <c r="I303" s="42" t="s">
        <v>75</v>
      </c>
      <c r="J303" s="42" t="s">
        <v>75</v>
      </c>
      <c r="K303" s="45">
        <v>7261375.1799999997</v>
      </c>
      <c r="L303" s="31" t="s">
        <v>75</v>
      </c>
      <c r="M303" s="31" t="s">
        <v>75</v>
      </c>
      <c r="N303" s="36">
        <v>22421547.609999999</v>
      </c>
      <c r="O303" s="31" t="s">
        <v>75</v>
      </c>
      <c r="P303" s="31" t="s">
        <v>75</v>
      </c>
      <c r="Q303" s="36">
        <v>18349007.27</v>
      </c>
      <c r="R303" s="31" t="s">
        <v>75</v>
      </c>
      <c r="S303" s="31" t="s">
        <v>75</v>
      </c>
      <c r="T303" s="36">
        <v>127021.48000000001</v>
      </c>
      <c r="U303" s="36">
        <v>7450.05</v>
      </c>
      <c r="V303" s="36">
        <v>11498.72</v>
      </c>
      <c r="W303" s="30">
        <f t="shared" si="11"/>
        <v>18948.77</v>
      </c>
      <c r="X303" s="36">
        <v>76397.98000000001</v>
      </c>
      <c r="Y303" s="36">
        <v>8891.85</v>
      </c>
      <c r="Z303" s="30">
        <f t="shared" si="12"/>
        <v>85289.830000000016</v>
      </c>
      <c r="AA303" s="36">
        <v>97167.37000000001</v>
      </c>
      <c r="AB303" s="36">
        <v>10106.300000000001</v>
      </c>
      <c r="AC303" s="30">
        <f t="shared" si="13"/>
        <v>107273.67000000001</v>
      </c>
      <c r="AD303" s="36">
        <v>8819.43</v>
      </c>
      <c r="AE303" s="35">
        <v>11159.600000000002</v>
      </c>
      <c r="AF303" s="30">
        <f t="shared" si="14"/>
        <v>19979.030000000002</v>
      </c>
      <c r="AG303" s="46">
        <v>42364.25</v>
      </c>
      <c r="AH303" s="45">
        <v>39707.929999999993</v>
      </c>
      <c r="AI303" s="32">
        <f t="shared" si="15"/>
        <v>82072.179999999993</v>
      </c>
      <c r="AJ303" s="31" t="s">
        <v>75</v>
      </c>
      <c r="AK303" s="31" t="s">
        <v>75</v>
      </c>
      <c r="AL303" s="36">
        <v>49187.5</v>
      </c>
      <c r="AM303" s="36"/>
      <c r="AN303" s="36"/>
      <c r="AO303" s="36"/>
      <c r="AP303" s="36"/>
      <c r="AQ303" s="36"/>
      <c r="AR303" s="36"/>
      <c r="AS303" s="31" t="s">
        <v>75</v>
      </c>
      <c r="AT303" s="31" t="s">
        <v>75</v>
      </c>
      <c r="AU303" s="35">
        <v>1461903.53</v>
      </c>
      <c r="AV303" s="31" t="s">
        <v>75</v>
      </c>
      <c r="AW303" s="31" t="s">
        <v>75</v>
      </c>
      <c r="AX303" s="36">
        <v>45550.5</v>
      </c>
      <c r="AY303" s="30">
        <v>10366065.4</v>
      </c>
      <c r="AZ303" s="32">
        <v>26035.5</v>
      </c>
      <c r="BA303" s="29">
        <f t="shared" si="10"/>
        <v>10392100.9</v>
      </c>
      <c r="BB303" s="31" t="s">
        <v>75</v>
      </c>
      <c r="BC303" s="31" t="s">
        <v>75</v>
      </c>
      <c r="BD303" s="29">
        <v>1671916.111111111</v>
      </c>
      <c r="BE303" s="113">
        <v>0</v>
      </c>
      <c r="BF303" s="113">
        <v>0</v>
      </c>
      <c r="BG303" s="113">
        <v>183</v>
      </c>
      <c r="BH303" s="113">
        <v>0</v>
      </c>
      <c r="BI303" s="113">
        <v>0</v>
      </c>
      <c r="BJ303" s="113">
        <v>0</v>
      </c>
      <c r="BK303" s="113">
        <v>0</v>
      </c>
      <c r="BL303" s="113">
        <v>0</v>
      </c>
      <c r="BM303" s="113">
        <v>304</v>
      </c>
      <c r="BN303" s="113">
        <v>0</v>
      </c>
      <c r="BO303" s="113">
        <v>0</v>
      </c>
      <c r="BP303" s="113">
        <v>0</v>
      </c>
      <c r="BQ303" s="113">
        <v>0</v>
      </c>
      <c r="BR303" s="113">
        <v>0</v>
      </c>
      <c r="BS303" s="113">
        <v>196</v>
      </c>
      <c r="BT303" s="113">
        <v>0</v>
      </c>
      <c r="BU303" s="113">
        <v>0</v>
      </c>
      <c r="BV303" s="113">
        <v>0</v>
      </c>
      <c r="BW303" s="113"/>
      <c r="BX303" s="113"/>
      <c r="BY303" s="113"/>
      <c r="BZ303" s="113">
        <v>0</v>
      </c>
      <c r="CA303" s="113">
        <v>0</v>
      </c>
      <c r="CB303" s="30">
        <v>321</v>
      </c>
      <c r="CC303" s="30"/>
      <c r="CD303" s="30"/>
      <c r="CE303" s="30"/>
      <c r="CF303" s="113">
        <v>0</v>
      </c>
      <c r="CG303" s="113">
        <v>0</v>
      </c>
      <c r="CH303" s="30">
        <v>15</v>
      </c>
      <c r="CI303" s="113">
        <v>0</v>
      </c>
      <c r="CJ303" s="113">
        <v>0</v>
      </c>
      <c r="CK303" s="30">
        <v>95</v>
      </c>
      <c r="CL303" s="30">
        <v>0</v>
      </c>
      <c r="CM303" s="30">
        <v>0</v>
      </c>
      <c r="CN303" s="30">
        <v>0</v>
      </c>
      <c r="CO303" s="113">
        <v>0</v>
      </c>
      <c r="CP303" s="113">
        <v>0</v>
      </c>
      <c r="CQ303" s="113">
        <v>12</v>
      </c>
      <c r="CR303" s="113">
        <v>0</v>
      </c>
      <c r="CS303" s="113">
        <v>0</v>
      </c>
      <c r="CT303" s="113">
        <v>0</v>
      </c>
      <c r="CU303" s="113">
        <v>0</v>
      </c>
      <c r="CV303" s="113">
        <v>0</v>
      </c>
      <c r="CW303" s="113">
        <v>208</v>
      </c>
      <c r="CX303" s="113">
        <v>0</v>
      </c>
      <c r="CY303" s="113">
        <v>0</v>
      </c>
      <c r="CZ303" s="113">
        <v>0</v>
      </c>
      <c r="DA303" s="113">
        <v>0</v>
      </c>
      <c r="DB303" s="113">
        <v>0</v>
      </c>
      <c r="DC303" s="113">
        <v>8</v>
      </c>
      <c r="DD303" s="113">
        <v>0</v>
      </c>
      <c r="DE303" s="113">
        <v>0</v>
      </c>
      <c r="DF303" s="113">
        <v>0</v>
      </c>
      <c r="DG303" s="113">
        <v>0</v>
      </c>
      <c r="DH303" s="113">
        <v>0</v>
      </c>
      <c r="DI303" s="113">
        <v>0</v>
      </c>
      <c r="DJ303" s="113">
        <v>0</v>
      </c>
      <c r="DK303" s="113">
        <v>0</v>
      </c>
      <c r="DL303" s="113">
        <v>0</v>
      </c>
      <c r="DM303" s="113">
        <v>0</v>
      </c>
      <c r="DN303" s="113">
        <v>0</v>
      </c>
      <c r="DO303" s="113">
        <v>0</v>
      </c>
      <c r="DP303" s="113">
        <v>0</v>
      </c>
      <c r="DQ303" s="113">
        <v>0</v>
      </c>
      <c r="DR303" s="113">
        <v>0</v>
      </c>
      <c r="DS303" s="113">
        <v>0</v>
      </c>
      <c r="DT303" s="113">
        <v>0</v>
      </c>
      <c r="DU303" s="113">
        <v>0</v>
      </c>
      <c r="DV303" s="113">
        <v>0</v>
      </c>
      <c r="DW303" s="113">
        <v>0</v>
      </c>
      <c r="DX303" s="113">
        <v>6</v>
      </c>
      <c r="DY303" s="113">
        <v>0</v>
      </c>
      <c r="DZ303" s="113">
        <v>0</v>
      </c>
      <c r="EA303" s="113">
        <v>726</v>
      </c>
      <c r="EB303" s="113">
        <v>0</v>
      </c>
      <c r="EC303" s="113">
        <v>0</v>
      </c>
      <c r="ED303" s="113">
        <v>0</v>
      </c>
      <c r="EE303" s="113">
        <v>0</v>
      </c>
      <c r="EF303" s="113">
        <v>0</v>
      </c>
      <c r="EG303" s="113">
        <v>1025</v>
      </c>
      <c r="EH303" s="113">
        <v>0</v>
      </c>
      <c r="EI303" s="113">
        <v>0</v>
      </c>
      <c r="EJ303" s="113">
        <v>0</v>
      </c>
      <c r="EK303" s="113">
        <v>0</v>
      </c>
      <c r="EL303" s="113">
        <v>0</v>
      </c>
      <c r="EM303" s="113">
        <v>1026</v>
      </c>
      <c r="EN303" s="113">
        <v>0</v>
      </c>
      <c r="EO303" s="113">
        <v>0</v>
      </c>
      <c r="EP303" s="113">
        <v>0</v>
      </c>
      <c r="EQ303" s="113">
        <v>0</v>
      </c>
      <c r="ER303" s="113">
        <v>0</v>
      </c>
      <c r="ES303" s="113">
        <v>121</v>
      </c>
      <c r="ET303" s="113">
        <v>0</v>
      </c>
      <c r="EU303" s="113">
        <v>0</v>
      </c>
      <c r="EV303" s="113">
        <v>0</v>
      </c>
      <c r="EW303" s="113">
        <v>0</v>
      </c>
      <c r="EX303" s="113">
        <v>0</v>
      </c>
      <c r="EY303" s="113">
        <v>8</v>
      </c>
      <c r="EZ303" s="113">
        <v>0</v>
      </c>
      <c r="FA303" s="113">
        <v>0</v>
      </c>
      <c r="FB303" s="113">
        <v>0</v>
      </c>
      <c r="FC303" s="113">
        <v>0</v>
      </c>
      <c r="FD303" s="113">
        <v>0</v>
      </c>
      <c r="FE303" s="113">
        <v>0</v>
      </c>
      <c r="FF303" s="113">
        <v>0</v>
      </c>
      <c r="FG303" s="113">
        <v>0</v>
      </c>
      <c r="FH303" s="113">
        <v>0</v>
      </c>
      <c r="FI303" s="113">
        <v>0</v>
      </c>
      <c r="FJ303" s="113">
        <v>0</v>
      </c>
      <c r="FK303" s="30">
        <v>2</v>
      </c>
      <c r="FL303" s="113">
        <v>0</v>
      </c>
      <c r="FM303" s="113">
        <v>0</v>
      </c>
      <c r="FN303" s="113">
        <v>7069</v>
      </c>
      <c r="FO303" s="113">
        <v>0</v>
      </c>
      <c r="FP303" s="113">
        <v>0</v>
      </c>
      <c r="FQ303" s="113">
        <v>865</v>
      </c>
      <c r="FR303" s="113">
        <v>0</v>
      </c>
      <c r="FS303" s="113">
        <v>0</v>
      </c>
      <c r="FT303" s="113">
        <v>0</v>
      </c>
      <c r="FU303" s="113">
        <v>0</v>
      </c>
      <c r="FV303" s="113">
        <v>0</v>
      </c>
      <c r="FW303" s="113">
        <v>59</v>
      </c>
      <c r="FX303" s="32">
        <v>0</v>
      </c>
      <c r="FY303" s="30">
        <v>0</v>
      </c>
      <c r="FZ303" s="30">
        <v>1</v>
      </c>
    </row>
    <row r="304" spans="1:182" x14ac:dyDescent="0.2">
      <c r="A304" s="28">
        <v>40817</v>
      </c>
      <c r="B304" s="28"/>
      <c r="C304" s="29">
        <v>261461.58000000002</v>
      </c>
      <c r="D304" s="29">
        <v>262377.59999999998</v>
      </c>
      <c r="E304" s="29">
        <f t="shared" si="8"/>
        <v>523839.18</v>
      </c>
      <c r="F304" s="36">
        <v>9700736.9400000013</v>
      </c>
      <c r="G304" s="36">
        <v>596134.38</v>
      </c>
      <c r="H304" s="30">
        <f t="shared" si="9"/>
        <v>10296871.320000002</v>
      </c>
      <c r="I304" s="42" t="s">
        <v>75</v>
      </c>
      <c r="J304" s="42" t="s">
        <v>75</v>
      </c>
      <c r="K304" s="45">
        <v>7172609.54</v>
      </c>
      <c r="L304" s="31" t="s">
        <v>75</v>
      </c>
      <c r="M304" s="31" t="s">
        <v>75</v>
      </c>
      <c r="N304" s="36">
        <v>24357080.98</v>
      </c>
      <c r="O304" s="31" t="s">
        <v>75</v>
      </c>
      <c r="P304" s="31" t="s">
        <v>75</v>
      </c>
      <c r="Q304" s="36">
        <v>20199475.219999999</v>
      </c>
      <c r="R304" s="31" t="s">
        <v>75</v>
      </c>
      <c r="S304" s="31" t="s">
        <v>75</v>
      </c>
      <c r="T304" s="36">
        <v>123737</v>
      </c>
      <c r="U304" s="36">
        <v>8417.2200000000012</v>
      </c>
      <c r="V304" s="36">
        <v>10032.08</v>
      </c>
      <c r="W304" s="30">
        <f t="shared" si="11"/>
        <v>18449.300000000003</v>
      </c>
      <c r="X304" s="36">
        <v>62158.080000000002</v>
      </c>
      <c r="Y304" s="36">
        <v>1496.9</v>
      </c>
      <c r="Z304" s="30">
        <f t="shared" si="12"/>
        <v>63654.98</v>
      </c>
      <c r="AA304" s="36">
        <v>108712.56</v>
      </c>
      <c r="AB304" s="36">
        <v>14837.48</v>
      </c>
      <c r="AC304" s="30">
        <f t="shared" si="13"/>
        <v>123550.04</v>
      </c>
      <c r="AD304" s="36">
        <v>10377.24</v>
      </c>
      <c r="AE304" s="35">
        <v>17148.650000000001</v>
      </c>
      <c r="AF304" s="30">
        <f t="shared" si="14"/>
        <v>27525.89</v>
      </c>
      <c r="AG304" s="46">
        <v>39705.009999999995</v>
      </c>
      <c r="AH304" s="45">
        <v>37380.25</v>
      </c>
      <c r="AI304" s="32">
        <f t="shared" si="15"/>
        <v>77085.259999999995</v>
      </c>
      <c r="AJ304" s="31" t="s">
        <v>75</v>
      </c>
      <c r="AK304" s="31" t="s">
        <v>75</v>
      </c>
      <c r="AL304" s="36">
        <v>37956.25</v>
      </c>
      <c r="AM304" s="36"/>
      <c r="AN304" s="36"/>
      <c r="AO304" s="36"/>
      <c r="AP304" s="36"/>
      <c r="AQ304" s="36"/>
      <c r="AR304" s="36"/>
      <c r="AS304" s="31" t="s">
        <v>75</v>
      </c>
      <c r="AT304" s="31" t="s">
        <v>75</v>
      </c>
      <c r="AU304" s="35">
        <v>1552924.7</v>
      </c>
      <c r="AV304" s="31" t="s">
        <v>75</v>
      </c>
      <c r="AW304" s="31" t="s">
        <v>75</v>
      </c>
      <c r="AX304" s="36">
        <v>42109.15</v>
      </c>
      <c r="AY304" s="30">
        <v>9637091.1999999993</v>
      </c>
      <c r="AZ304" s="32">
        <v>31090</v>
      </c>
      <c r="BA304" s="29">
        <f t="shared" si="10"/>
        <v>9668181.1999999993</v>
      </c>
      <c r="BB304" s="31" t="s">
        <v>75</v>
      </c>
      <c r="BC304" s="31" t="s">
        <v>75</v>
      </c>
      <c r="BD304" s="29">
        <v>1688596.111111111</v>
      </c>
      <c r="BE304" s="113">
        <v>0</v>
      </c>
      <c r="BF304" s="113">
        <v>0</v>
      </c>
      <c r="BG304" s="114">
        <v>119</v>
      </c>
      <c r="BH304" s="114">
        <v>0</v>
      </c>
      <c r="BI304" s="114">
        <v>0</v>
      </c>
      <c r="BJ304" s="114">
        <v>0</v>
      </c>
      <c r="BK304" s="113">
        <v>0</v>
      </c>
      <c r="BL304" s="113">
        <v>0</v>
      </c>
      <c r="BM304" s="113">
        <v>234</v>
      </c>
      <c r="BN304" s="113">
        <v>0</v>
      </c>
      <c r="BO304" s="113">
        <v>0</v>
      </c>
      <c r="BP304" s="113">
        <v>0</v>
      </c>
      <c r="BQ304" s="113">
        <v>0</v>
      </c>
      <c r="BR304" s="113">
        <v>0</v>
      </c>
      <c r="BS304" s="113">
        <v>190</v>
      </c>
      <c r="BT304" s="113">
        <v>0</v>
      </c>
      <c r="BU304" s="113">
        <v>0</v>
      </c>
      <c r="BV304" s="113">
        <v>0</v>
      </c>
      <c r="BW304" s="113"/>
      <c r="BX304" s="113"/>
      <c r="BY304" s="113"/>
      <c r="BZ304" s="113">
        <v>0</v>
      </c>
      <c r="CA304" s="113">
        <v>0</v>
      </c>
      <c r="CB304" s="30">
        <v>263</v>
      </c>
      <c r="CC304" s="30"/>
      <c r="CD304" s="30"/>
      <c r="CE304" s="30"/>
      <c r="CF304" s="113">
        <v>0</v>
      </c>
      <c r="CG304" s="113">
        <v>0</v>
      </c>
      <c r="CH304" s="30">
        <v>15</v>
      </c>
      <c r="CI304" s="113">
        <v>0</v>
      </c>
      <c r="CJ304" s="113">
        <v>0</v>
      </c>
      <c r="CK304" s="30">
        <v>27</v>
      </c>
      <c r="CL304" s="30">
        <v>0</v>
      </c>
      <c r="CM304" s="30">
        <v>0</v>
      </c>
      <c r="CN304" s="30">
        <v>0</v>
      </c>
      <c r="CO304" s="113">
        <v>0</v>
      </c>
      <c r="CP304" s="113">
        <v>0</v>
      </c>
      <c r="CQ304" s="113">
        <v>12</v>
      </c>
      <c r="CR304" s="113">
        <v>0</v>
      </c>
      <c r="CS304" s="113">
        <v>0</v>
      </c>
      <c r="CT304" s="113">
        <v>0</v>
      </c>
      <c r="CU304" s="113">
        <v>0</v>
      </c>
      <c r="CV304" s="113">
        <v>0</v>
      </c>
      <c r="CW304" s="113">
        <v>208</v>
      </c>
      <c r="CX304" s="113">
        <v>0</v>
      </c>
      <c r="CY304" s="113">
        <v>0</v>
      </c>
      <c r="CZ304" s="113">
        <v>0</v>
      </c>
      <c r="DA304" s="113">
        <v>0</v>
      </c>
      <c r="DB304" s="113">
        <v>0</v>
      </c>
      <c r="DC304" s="113">
        <v>2</v>
      </c>
      <c r="DD304" s="113">
        <v>0</v>
      </c>
      <c r="DE304" s="113">
        <v>0</v>
      </c>
      <c r="DF304" s="113">
        <v>0</v>
      </c>
      <c r="DG304" s="113">
        <v>0</v>
      </c>
      <c r="DH304" s="113">
        <v>0</v>
      </c>
      <c r="DI304" s="113">
        <v>0</v>
      </c>
      <c r="DJ304" s="113">
        <v>0</v>
      </c>
      <c r="DK304" s="113">
        <v>0</v>
      </c>
      <c r="DL304" s="113">
        <v>0</v>
      </c>
      <c r="DM304" s="113">
        <v>0</v>
      </c>
      <c r="DN304" s="113">
        <v>0</v>
      </c>
      <c r="DO304" s="113">
        <v>0</v>
      </c>
      <c r="DP304" s="113">
        <v>0</v>
      </c>
      <c r="DQ304" s="113">
        <v>0</v>
      </c>
      <c r="DR304" s="113">
        <v>0</v>
      </c>
      <c r="DS304" s="113">
        <v>0</v>
      </c>
      <c r="DT304" s="113">
        <v>0</v>
      </c>
      <c r="DU304" s="113">
        <v>0</v>
      </c>
      <c r="DV304" s="113">
        <v>0</v>
      </c>
      <c r="DW304" s="113">
        <v>0</v>
      </c>
      <c r="DX304" s="113">
        <v>5</v>
      </c>
      <c r="DY304" s="113">
        <v>0</v>
      </c>
      <c r="DZ304" s="113">
        <v>0</v>
      </c>
      <c r="EA304" s="113">
        <v>486</v>
      </c>
      <c r="EB304" s="113">
        <v>0</v>
      </c>
      <c r="EC304" s="113">
        <v>0</v>
      </c>
      <c r="ED304" s="113">
        <v>0</v>
      </c>
      <c r="EE304" s="113">
        <v>0</v>
      </c>
      <c r="EF304" s="113">
        <v>0</v>
      </c>
      <c r="EG304" s="113">
        <v>992</v>
      </c>
      <c r="EH304" s="113">
        <v>0</v>
      </c>
      <c r="EI304" s="113">
        <v>0</v>
      </c>
      <c r="EJ304" s="113">
        <v>0</v>
      </c>
      <c r="EK304" s="113">
        <v>0</v>
      </c>
      <c r="EL304" s="113">
        <v>0</v>
      </c>
      <c r="EM304" s="113">
        <v>1190</v>
      </c>
      <c r="EN304" s="113">
        <v>0</v>
      </c>
      <c r="EO304" s="113">
        <v>0</v>
      </c>
      <c r="EP304" s="113">
        <v>0</v>
      </c>
      <c r="EQ304" s="113">
        <v>0</v>
      </c>
      <c r="ER304" s="113">
        <v>0</v>
      </c>
      <c r="ES304" s="113">
        <v>70</v>
      </c>
      <c r="ET304" s="113">
        <v>0</v>
      </c>
      <c r="EU304" s="113">
        <v>0</v>
      </c>
      <c r="EV304" s="113">
        <v>0</v>
      </c>
      <c r="EW304" s="113">
        <v>0</v>
      </c>
      <c r="EX304" s="113">
        <v>0</v>
      </c>
      <c r="EY304" s="113">
        <v>10</v>
      </c>
      <c r="EZ304" s="113">
        <v>0</v>
      </c>
      <c r="FA304" s="113">
        <v>0</v>
      </c>
      <c r="FB304" s="113">
        <v>0</v>
      </c>
      <c r="FC304" s="113">
        <v>0</v>
      </c>
      <c r="FD304" s="113">
        <v>0</v>
      </c>
      <c r="FE304" s="113">
        <v>0</v>
      </c>
      <c r="FF304" s="113">
        <v>0</v>
      </c>
      <c r="FG304" s="113">
        <v>0</v>
      </c>
      <c r="FH304" s="113">
        <v>0</v>
      </c>
      <c r="FI304" s="113">
        <v>0</v>
      </c>
      <c r="FJ304" s="113">
        <v>0</v>
      </c>
      <c r="FK304" s="113">
        <v>0</v>
      </c>
      <c r="FL304" s="113">
        <v>0</v>
      </c>
      <c r="FM304" s="113">
        <v>0</v>
      </c>
      <c r="FN304" s="113">
        <v>5797</v>
      </c>
      <c r="FO304" s="113">
        <v>0</v>
      </c>
      <c r="FP304" s="113">
        <v>0</v>
      </c>
      <c r="FQ304" s="113">
        <v>846</v>
      </c>
      <c r="FR304" s="113">
        <v>0</v>
      </c>
      <c r="FS304" s="113">
        <v>0</v>
      </c>
      <c r="FT304" s="113">
        <v>0</v>
      </c>
      <c r="FU304" s="113">
        <v>0</v>
      </c>
      <c r="FV304" s="113">
        <v>0</v>
      </c>
      <c r="FW304" s="113">
        <v>116</v>
      </c>
      <c r="FX304" s="32">
        <v>0</v>
      </c>
      <c r="FY304" s="30">
        <v>0</v>
      </c>
      <c r="FZ304" s="30">
        <v>25</v>
      </c>
    </row>
    <row r="305" spans="1:182" x14ac:dyDescent="0.2">
      <c r="A305" s="28">
        <v>40848</v>
      </c>
      <c r="B305" s="28"/>
      <c r="C305" s="29">
        <v>406855.72000000003</v>
      </c>
      <c r="D305" s="29">
        <v>443906.71</v>
      </c>
      <c r="E305" s="29">
        <f t="shared" si="8"/>
        <v>850762.43</v>
      </c>
      <c r="F305" s="36">
        <v>12204166.18</v>
      </c>
      <c r="G305" s="36">
        <v>813099.10000000009</v>
      </c>
      <c r="H305" s="30">
        <f t="shared" si="9"/>
        <v>13017265.279999999</v>
      </c>
      <c r="I305" s="42" t="s">
        <v>75</v>
      </c>
      <c r="J305" s="42" t="s">
        <v>75</v>
      </c>
      <c r="K305" s="45">
        <v>9033307.2999999989</v>
      </c>
      <c r="L305" s="31" t="s">
        <v>75</v>
      </c>
      <c r="M305" s="31" t="s">
        <v>75</v>
      </c>
      <c r="N305" s="36">
        <v>30418239.189999998</v>
      </c>
      <c r="O305" s="31" t="s">
        <v>75</v>
      </c>
      <c r="P305" s="31" t="s">
        <v>75</v>
      </c>
      <c r="Q305" s="36">
        <v>19963706.649999999</v>
      </c>
      <c r="R305" s="31" t="s">
        <v>75</v>
      </c>
      <c r="S305" s="31" t="s">
        <v>75</v>
      </c>
      <c r="T305" s="36">
        <v>121968.05</v>
      </c>
      <c r="U305" s="36">
        <v>27980.73</v>
      </c>
      <c r="V305" s="36">
        <v>18193.96</v>
      </c>
      <c r="W305" s="30">
        <f t="shared" si="11"/>
        <v>46174.69</v>
      </c>
      <c r="X305" s="36">
        <v>222478.83</v>
      </c>
      <c r="Y305" s="36">
        <v>15539.5</v>
      </c>
      <c r="Z305" s="30">
        <f t="shared" si="12"/>
        <v>238018.33</v>
      </c>
      <c r="AA305" s="36">
        <v>106758.80999999998</v>
      </c>
      <c r="AB305" s="36">
        <v>15630.03</v>
      </c>
      <c r="AC305" s="30">
        <f t="shared" si="13"/>
        <v>122388.83999999998</v>
      </c>
      <c r="AD305" s="36">
        <v>16270.440000000002</v>
      </c>
      <c r="AE305" s="35">
        <v>65864.459999999992</v>
      </c>
      <c r="AF305" s="30">
        <f t="shared" si="14"/>
        <v>82134.899999999994</v>
      </c>
      <c r="AG305" s="46">
        <v>38054.400000000001</v>
      </c>
      <c r="AH305" s="45">
        <v>58431.829999999994</v>
      </c>
      <c r="AI305" s="32">
        <f t="shared" si="15"/>
        <v>96486.23</v>
      </c>
      <c r="AJ305" s="31" t="s">
        <v>75</v>
      </c>
      <c r="AK305" s="31" t="s">
        <v>75</v>
      </c>
      <c r="AL305" s="36">
        <v>53671.25</v>
      </c>
      <c r="AM305" s="36"/>
      <c r="AN305" s="36"/>
      <c r="AO305" s="36"/>
      <c r="AP305" s="36"/>
      <c r="AQ305" s="36"/>
      <c r="AR305" s="36"/>
      <c r="AS305" s="31" t="s">
        <v>75</v>
      </c>
      <c r="AT305" s="31" t="s">
        <v>75</v>
      </c>
      <c r="AU305" s="35">
        <v>1577035.95</v>
      </c>
      <c r="AV305" s="31" t="s">
        <v>75</v>
      </c>
      <c r="AW305" s="31" t="s">
        <v>75</v>
      </c>
      <c r="AX305" s="36">
        <v>48370.84</v>
      </c>
      <c r="AY305" s="30">
        <v>10354420.4</v>
      </c>
      <c r="AZ305" s="32">
        <v>34265</v>
      </c>
      <c r="BA305" s="29">
        <f t="shared" si="10"/>
        <v>10388685.4</v>
      </c>
      <c r="BB305" s="31" t="s">
        <v>75</v>
      </c>
      <c r="BC305" s="31" t="s">
        <v>75</v>
      </c>
      <c r="BD305" s="29">
        <v>1690925.3333333335</v>
      </c>
      <c r="BE305" s="113">
        <v>0</v>
      </c>
      <c r="BF305" s="113">
        <v>0</v>
      </c>
      <c r="BG305" s="114">
        <v>234</v>
      </c>
      <c r="BH305" s="114">
        <v>0</v>
      </c>
      <c r="BI305" s="114">
        <v>0</v>
      </c>
      <c r="BJ305" s="114">
        <v>0</v>
      </c>
      <c r="BK305" s="113">
        <v>0</v>
      </c>
      <c r="BL305" s="113">
        <v>0</v>
      </c>
      <c r="BM305" s="113">
        <v>174</v>
      </c>
      <c r="BN305" s="113">
        <v>0</v>
      </c>
      <c r="BO305" s="113">
        <v>0</v>
      </c>
      <c r="BP305" s="113">
        <v>0</v>
      </c>
      <c r="BQ305" s="113">
        <v>0</v>
      </c>
      <c r="BR305" s="113">
        <v>0</v>
      </c>
      <c r="BS305" s="113">
        <v>173</v>
      </c>
      <c r="BT305" s="113">
        <v>0</v>
      </c>
      <c r="BU305" s="113">
        <v>0</v>
      </c>
      <c r="BV305" s="113">
        <v>0</v>
      </c>
      <c r="BW305" s="113"/>
      <c r="BX305" s="113"/>
      <c r="BY305" s="113"/>
      <c r="BZ305" s="113">
        <v>0</v>
      </c>
      <c r="CA305" s="113">
        <v>0</v>
      </c>
      <c r="CB305" s="30">
        <v>201</v>
      </c>
      <c r="CC305" s="30"/>
      <c r="CD305" s="30"/>
      <c r="CE305" s="30"/>
      <c r="CF305" s="113">
        <v>0</v>
      </c>
      <c r="CG305" s="113">
        <v>0</v>
      </c>
      <c r="CH305" s="30">
        <v>12</v>
      </c>
      <c r="CI305" s="113">
        <v>0</v>
      </c>
      <c r="CJ305" s="113">
        <v>0</v>
      </c>
      <c r="CK305" s="30">
        <v>69</v>
      </c>
      <c r="CL305" s="30">
        <v>0</v>
      </c>
      <c r="CM305" s="30">
        <v>0</v>
      </c>
      <c r="CN305" s="30">
        <v>0</v>
      </c>
      <c r="CO305" s="113">
        <v>0</v>
      </c>
      <c r="CP305" s="113">
        <v>0</v>
      </c>
      <c r="CQ305" s="113">
        <v>9</v>
      </c>
      <c r="CR305" s="113">
        <v>0</v>
      </c>
      <c r="CS305" s="113">
        <v>0</v>
      </c>
      <c r="CT305" s="113">
        <v>0</v>
      </c>
      <c r="CU305" s="113">
        <v>0</v>
      </c>
      <c r="CV305" s="113">
        <v>0</v>
      </c>
      <c r="CW305" s="113">
        <v>228</v>
      </c>
      <c r="CX305" s="113">
        <v>0</v>
      </c>
      <c r="CY305" s="113">
        <v>0</v>
      </c>
      <c r="CZ305" s="113">
        <v>0</v>
      </c>
      <c r="DA305" s="113">
        <v>0</v>
      </c>
      <c r="DB305" s="113">
        <v>0</v>
      </c>
      <c r="DC305" s="113">
        <v>0</v>
      </c>
      <c r="DD305" s="113">
        <v>0</v>
      </c>
      <c r="DE305" s="113">
        <v>0</v>
      </c>
      <c r="DF305" s="113">
        <v>0</v>
      </c>
      <c r="DG305" s="113">
        <v>0</v>
      </c>
      <c r="DH305" s="113">
        <v>0</v>
      </c>
      <c r="DI305" s="113">
        <v>0</v>
      </c>
      <c r="DJ305" s="113">
        <v>0</v>
      </c>
      <c r="DK305" s="113">
        <v>0</v>
      </c>
      <c r="DL305" s="113">
        <v>0</v>
      </c>
      <c r="DM305" s="113">
        <v>0</v>
      </c>
      <c r="DN305" s="113">
        <v>0</v>
      </c>
      <c r="DO305" s="113">
        <v>0</v>
      </c>
      <c r="DP305" s="113">
        <v>0</v>
      </c>
      <c r="DQ305" s="113">
        <v>0</v>
      </c>
      <c r="DR305" s="113">
        <v>0</v>
      </c>
      <c r="DS305" s="113">
        <v>0</v>
      </c>
      <c r="DT305" s="113">
        <v>0</v>
      </c>
      <c r="DU305" s="113">
        <v>0</v>
      </c>
      <c r="DV305" s="113">
        <v>0</v>
      </c>
      <c r="DW305" s="113">
        <v>0</v>
      </c>
      <c r="DX305" s="113">
        <v>7</v>
      </c>
      <c r="DY305" s="113">
        <v>0</v>
      </c>
      <c r="DZ305" s="113">
        <v>0</v>
      </c>
      <c r="EA305" s="113">
        <v>719</v>
      </c>
      <c r="EB305" s="113">
        <v>0</v>
      </c>
      <c r="EC305" s="113">
        <v>0</v>
      </c>
      <c r="ED305" s="113">
        <v>0</v>
      </c>
      <c r="EE305" s="113">
        <v>0</v>
      </c>
      <c r="EF305" s="113">
        <v>0</v>
      </c>
      <c r="EG305" s="113">
        <v>1342</v>
      </c>
      <c r="EH305" s="113">
        <v>0</v>
      </c>
      <c r="EI305" s="113">
        <v>0</v>
      </c>
      <c r="EJ305" s="113">
        <v>0</v>
      </c>
      <c r="EK305" s="113">
        <v>0</v>
      </c>
      <c r="EL305" s="113">
        <v>0</v>
      </c>
      <c r="EM305" s="113">
        <v>1037</v>
      </c>
      <c r="EN305" s="113">
        <v>0</v>
      </c>
      <c r="EO305" s="113">
        <v>0</v>
      </c>
      <c r="EP305" s="113">
        <v>0</v>
      </c>
      <c r="EQ305" s="113">
        <v>0</v>
      </c>
      <c r="ER305" s="113">
        <v>0</v>
      </c>
      <c r="ES305" s="113">
        <v>100</v>
      </c>
      <c r="ET305" s="113">
        <v>0</v>
      </c>
      <c r="EU305" s="113">
        <v>0</v>
      </c>
      <c r="EV305" s="113">
        <v>0</v>
      </c>
      <c r="EW305" s="113">
        <v>0</v>
      </c>
      <c r="EX305" s="113">
        <v>0</v>
      </c>
      <c r="EY305" s="113">
        <v>17</v>
      </c>
      <c r="EZ305" s="113">
        <v>0</v>
      </c>
      <c r="FA305" s="113">
        <v>0</v>
      </c>
      <c r="FB305" s="113">
        <v>0</v>
      </c>
      <c r="FC305" s="113">
        <v>0</v>
      </c>
      <c r="FD305" s="113">
        <v>0</v>
      </c>
      <c r="FE305" s="113">
        <v>0</v>
      </c>
      <c r="FF305" s="113">
        <v>0</v>
      </c>
      <c r="FG305" s="113">
        <v>0</v>
      </c>
      <c r="FH305" s="113">
        <v>0</v>
      </c>
      <c r="FI305" s="113">
        <v>0</v>
      </c>
      <c r="FJ305" s="113">
        <v>0</v>
      </c>
      <c r="FK305" s="113">
        <v>0</v>
      </c>
      <c r="FL305" s="113">
        <v>0</v>
      </c>
      <c r="FM305" s="113">
        <v>0</v>
      </c>
      <c r="FN305" s="113">
        <v>8651</v>
      </c>
      <c r="FO305" s="113">
        <v>0</v>
      </c>
      <c r="FP305" s="113">
        <v>0</v>
      </c>
      <c r="FQ305" s="113">
        <v>1013</v>
      </c>
      <c r="FR305" s="113">
        <v>0</v>
      </c>
      <c r="FS305" s="113">
        <v>0</v>
      </c>
      <c r="FT305" s="113">
        <v>0</v>
      </c>
      <c r="FU305" s="113">
        <v>0</v>
      </c>
      <c r="FV305" s="113">
        <v>0</v>
      </c>
      <c r="FW305" s="113">
        <v>103</v>
      </c>
      <c r="FX305" s="32">
        <v>0</v>
      </c>
      <c r="FY305" s="30">
        <v>0</v>
      </c>
      <c r="FZ305" s="30">
        <v>5</v>
      </c>
    </row>
    <row r="306" spans="1:182" x14ac:dyDescent="0.2">
      <c r="A306" s="28">
        <v>40878</v>
      </c>
      <c r="B306" s="28"/>
      <c r="C306" s="29">
        <v>388447.55</v>
      </c>
      <c r="D306" s="29">
        <v>532275.44999999995</v>
      </c>
      <c r="E306" s="29">
        <f t="shared" si="8"/>
        <v>920723</v>
      </c>
      <c r="F306" s="36">
        <v>15181453.540000001</v>
      </c>
      <c r="G306" s="36">
        <v>1224222.3099999996</v>
      </c>
      <c r="H306" s="30">
        <f t="shared" si="9"/>
        <v>16405675.850000001</v>
      </c>
      <c r="I306" s="42" t="s">
        <v>75</v>
      </c>
      <c r="J306" s="42" t="s">
        <v>75</v>
      </c>
      <c r="K306" s="45">
        <v>11421029.449999999</v>
      </c>
      <c r="L306" s="31" t="s">
        <v>75</v>
      </c>
      <c r="M306" s="31" t="s">
        <v>75</v>
      </c>
      <c r="N306" s="36">
        <v>35427862.289999999</v>
      </c>
      <c r="O306" s="31" t="s">
        <v>75</v>
      </c>
      <c r="P306" s="31" t="s">
        <v>75</v>
      </c>
      <c r="Q306" s="36">
        <v>21394239.5</v>
      </c>
      <c r="R306" s="31" t="s">
        <v>75</v>
      </c>
      <c r="S306" s="31" t="s">
        <v>75</v>
      </c>
      <c r="T306" s="36">
        <v>120427.68</v>
      </c>
      <c r="U306" s="36">
        <v>39577.160000000003</v>
      </c>
      <c r="V306" s="36">
        <v>31645.67</v>
      </c>
      <c r="W306" s="30">
        <f t="shared" si="11"/>
        <v>71222.83</v>
      </c>
      <c r="X306" s="36">
        <v>164970.77999999997</v>
      </c>
      <c r="Y306" s="36">
        <v>291</v>
      </c>
      <c r="Z306" s="30">
        <f t="shared" si="12"/>
        <v>165261.77999999997</v>
      </c>
      <c r="AA306" s="36">
        <v>136570.57</v>
      </c>
      <c r="AB306" s="36">
        <v>25113.199999999997</v>
      </c>
      <c r="AC306" s="30">
        <f t="shared" si="13"/>
        <v>161683.77000000002</v>
      </c>
      <c r="AD306" s="36">
        <v>24907.25</v>
      </c>
      <c r="AE306" s="35">
        <v>112808.20999999999</v>
      </c>
      <c r="AF306" s="30">
        <f t="shared" si="14"/>
        <v>137715.46</v>
      </c>
      <c r="AG306" s="46">
        <v>62727.13</v>
      </c>
      <c r="AH306" s="45">
        <v>128371.99000000002</v>
      </c>
      <c r="AI306" s="32">
        <f t="shared" si="15"/>
        <v>191099.12000000002</v>
      </c>
      <c r="AJ306" s="31" t="s">
        <v>75</v>
      </c>
      <c r="AK306" s="31" t="s">
        <v>75</v>
      </c>
      <c r="AL306" s="36">
        <v>78583.75</v>
      </c>
      <c r="AM306" s="36"/>
      <c r="AN306" s="36"/>
      <c r="AO306" s="36"/>
      <c r="AP306" s="36"/>
      <c r="AQ306" s="36"/>
      <c r="AR306" s="36"/>
      <c r="AS306" s="31" t="s">
        <v>75</v>
      </c>
      <c r="AT306" s="31" t="s">
        <v>75</v>
      </c>
      <c r="AU306" s="35">
        <v>1637987.12</v>
      </c>
      <c r="AV306" s="31" t="s">
        <v>75</v>
      </c>
      <c r="AW306" s="31" t="s">
        <v>75</v>
      </c>
      <c r="AX306" s="36">
        <v>34158.49</v>
      </c>
      <c r="AY306" s="30">
        <v>10413061.699999999</v>
      </c>
      <c r="AZ306" s="32">
        <v>850214</v>
      </c>
      <c r="BA306" s="29">
        <f t="shared" si="10"/>
        <v>11263275.699999999</v>
      </c>
      <c r="BB306" s="31" t="s">
        <v>75</v>
      </c>
      <c r="BC306" s="31" t="s">
        <v>75</v>
      </c>
      <c r="BD306" s="31">
        <v>1871663.2</v>
      </c>
      <c r="BE306" s="113">
        <v>0</v>
      </c>
      <c r="BF306" s="113">
        <v>0</v>
      </c>
      <c r="BG306" s="114">
        <v>148</v>
      </c>
      <c r="BH306" s="114">
        <v>0</v>
      </c>
      <c r="BI306" s="114">
        <v>0</v>
      </c>
      <c r="BJ306" s="114">
        <v>0</v>
      </c>
      <c r="BK306" s="113">
        <v>0</v>
      </c>
      <c r="BL306" s="113">
        <v>0</v>
      </c>
      <c r="BM306" s="113">
        <v>162</v>
      </c>
      <c r="BN306" s="113">
        <v>0</v>
      </c>
      <c r="BO306" s="113">
        <v>0</v>
      </c>
      <c r="BP306" s="113">
        <v>0</v>
      </c>
      <c r="BQ306" s="113">
        <v>0</v>
      </c>
      <c r="BR306" s="113">
        <v>0</v>
      </c>
      <c r="BS306" s="113">
        <v>226</v>
      </c>
      <c r="BT306" s="113">
        <v>0</v>
      </c>
      <c r="BU306" s="113">
        <v>0</v>
      </c>
      <c r="BV306" s="113">
        <v>0</v>
      </c>
      <c r="BW306" s="113"/>
      <c r="BX306" s="113"/>
      <c r="BY306" s="113"/>
      <c r="BZ306" s="113">
        <v>0</v>
      </c>
      <c r="CA306" s="113">
        <v>0</v>
      </c>
      <c r="CB306" s="30">
        <v>299</v>
      </c>
      <c r="CC306" s="30"/>
      <c r="CD306" s="30"/>
      <c r="CE306" s="30"/>
      <c r="CF306" s="113">
        <v>0</v>
      </c>
      <c r="CG306" s="113">
        <v>0</v>
      </c>
      <c r="CH306" s="30">
        <v>15</v>
      </c>
      <c r="CI306" s="113">
        <v>0</v>
      </c>
      <c r="CJ306" s="113">
        <v>0</v>
      </c>
      <c r="CK306" s="30">
        <v>41</v>
      </c>
      <c r="CL306" s="30">
        <v>0</v>
      </c>
      <c r="CM306" s="30">
        <v>0</v>
      </c>
      <c r="CN306" s="30">
        <v>0</v>
      </c>
      <c r="CO306" s="113">
        <v>0</v>
      </c>
      <c r="CP306" s="113">
        <v>0</v>
      </c>
      <c r="CQ306" s="113">
        <v>20</v>
      </c>
      <c r="CR306" s="113">
        <v>0</v>
      </c>
      <c r="CS306" s="113">
        <v>0</v>
      </c>
      <c r="CT306" s="113">
        <v>0</v>
      </c>
      <c r="CU306" s="113">
        <v>0</v>
      </c>
      <c r="CV306" s="113">
        <v>0</v>
      </c>
      <c r="CW306" s="113">
        <v>162</v>
      </c>
      <c r="CX306" s="113">
        <v>0</v>
      </c>
      <c r="CY306" s="113">
        <v>0</v>
      </c>
      <c r="CZ306" s="113">
        <v>0</v>
      </c>
      <c r="DA306" s="113">
        <v>0</v>
      </c>
      <c r="DB306" s="113">
        <v>0</v>
      </c>
      <c r="DC306" s="113">
        <v>2</v>
      </c>
      <c r="DD306" s="113">
        <v>0</v>
      </c>
      <c r="DE306" s="113">
        <v>0</v>
      </c>
      <c r="DF306" s="113">
        <v>0</v>
      </c>
      <c r="DG306" s="113">
        <v>0</v>
      </c>
      <c r="DH306" s="113">
        <v>0</v>
      </c>
      <c r="DI306" s="113">
        <v>0</v>
      </c>
      <c r="DJ306" s="113">
        <v>0</v>
      </c>
      <c r="DK306" s="113">
        <v>0</v>
      </c>
      <c r="DL306" s="113">
        <v>0</v>
      </c>
      <c r="DM306" s="113">
        <v>0</v>
      </c>
      <c r="DN306" s="113">
        <v>0</v>
      </c>
      <c r="DO306" s="113">
        <v>0</v>
      </c>
      <c r="DP306" s="113">
        <v>0</v>
      </c>
      <c r="DQ306" s="113">
        <v>0</v>
      </c>
      <c r="DR306" s="113">
        <v>0</v>
      </c>
      <c r="DS306" s="113">
        <v>0</v>
      </c>
      <c r="DT306" s="113">
        <v>0</v>
      </c>
      <c r="DU306" s="113">
        <v>0</v>
      </c>
      <c r="DV306" s="113">
        <v>0</v>
      </c>
      <c r="DW306" s="113">
        <v>0</v>
      </c>
      <c r="DX306" s="113">
        <v>3</v>
      </c>
      <c r="DY306" s="113">
        <v>0</v>
      </c>
      <c r="DZ306" s="113">
        <v>0</v>
      </c>
      <c r="EA306" s="113">
        <v>655</v>
      </c>
      <c r="EB306" s="113">
        <v>0</v>
      </c>
      <c r="EC306" s="113">
        <v>0</v>
      </c>
      <c r="ED306" s="113">
        <v>0</v>
      </c>
      <c r="EE306" s="113">
        <v>0</v>
      </c>
      <c r="EF306" s="113">
        <v>0</v>
      </c>
      <c r="EG306" s="113">
        <v>1400</v>
      </c>
      <c r="EH306" s="113">
        <v>0</v>
      </c>
      <c r="EI306" s="113">
        <v>0</v>
      </c>
      <c r="EJ306" s="113">
        <v>0</v>
      </c>
      <c r="EK306" s="113">
        <v>0</v>
      </c>
      <c r="EL306" s="113">
        <v>0</v>
      </c>
      <c r="EM306" s="113">
        <v>1221</v>
      </c>
      <c r="EN306" s="113">
        <v>0</v>
      </c>
      <c r="EO306" s="113">
        <v>0</v>
      </c>
      <c r="EP306" s="113">
        <v>0</v>
      </c>
      <c r="EQ306" s="113">
        <v>0</v>
      </c>
      <c r="ER306" s="113">
        <v>0</v>
      </c>
      <c r="ES306" s="113">
        <v>126</v>
      </c>
      <c r="ET306" s="113">
        <v>0</v>
      </c>
      <c r="EU306" s="113">
        <v>0</v>
      </c>
      <c r="EV306" s="113">
        <v>0</v>
      </c>
      <c r="EW306" s="113">
        <v>0</v>
      </c>
      <c r="EX306" s="113">
        <v>0</v>
      </c>
      <c r="EY306" s="113">
        <v>27</v>
      </c>
      <c r="EZ306" s="113">
        <v>0</v>
      </c>
      <c r="FA306" s="113">
        <v>0</v>
      </c>
      <c r="FB306" s="113">
        <v>0</v>
      </c>
      <c r="FC306" s="113">
        <v>0</v>
      </c>
      <c r="FD306" s="113">
        <v>0</v>
      </c>
      <c r="FE306" s="113">
        <v>0</v>
      </c>
      <c r="FF306" s="113">
        <v>0</v>
      </c>
      <c r="FG306" s="113">
        <v>0</v>
      </c>
      <c r="FH306" s="113">
        <v>0</v>
      </c>
      <c r="FI306" s="113">
        <v>0</v>
      </c>
      <c r="FJ306" s="113">
        <v>0</v>
      </c>
      <c r="FK306" s="113">
        <v>0</v>
      </c>
      <c r="FL306" s="113">
        <v>0</v>
      </c>
      <c r="FM306" s="113">
        <v>0</v>
      </c>
      <c r="FN306" s="113">
        <v>10363</v>
      </c>
      <c r="FO306" s="113">
        <v>0</v>
      </c>
      <c r="FP306" s="113">
        <v>0</v>
      </c>
      <c r="FQ306" s="113">
        <v>1319</v>
      </c>
      <c r="FR306" s="113">
        <v>0</v>
      </c>
      <c r="FS306" s="113">
        <v>0</v>
      </c>
      <c r="FT306" s="113">
        <v>0</v>
      </c>
      <c r="FU306" s="113">
        <v>0</v>
      </c>
      <c r="FV306" s="113">
        <v>0</v>
      </c>
      <c r="FW306" s="113">
        <v>140</v>
      </c>
      <c r="FX306" s="32">
        <v>0</v>
      </c>
      <c r="FY306" s="30">
        <v>0</v>
      </c>
      <c r="FZ306" s="30">
        <v>20</v>
      </c>
    </row>
    <row r="307" spans="1:182" x14ac:dyDescent="0.2">
      <c r="A307" s="28">
        <v>40909</v>
      </c>
      <c r="B307" s="28"/>
      <c r="C307" s="29">
        <v>101045.23999999999</v>
      </c>
      <c r="D307" s="29">
        <v>139091.53</v>
      </c>
      <c r="E307" s="29">
        <f t="shared" si="8"/>
        <v>240136.77</v>
      </c>
      <c r="F307" s="40">
        <v>10101832.129999999</v>
      </c>
      <c r="G307" s="40">
        <v>875061.02999999991</v>
      </c>
      <c r="H307" s="30">
        <f t="shared" si="9"/>
        <v>10976893.159999998</v>
      </c>
      <c r="I307" s="42" t="s">
        <v>75</v>
      </c>
      <c r="J307" s="42" t="s">
        <v>75</v>
      </c>
      <c r="K307" s="42">
        <v>8937907.209999999</v>
      </c>
      <c r="L307" s="31" t="s">
        <v>75</v>
      </c>
      <c r="M307" s="31" t="s">
        <v>75</v>
      </c>
      <c r="N307" s="31">
        <v>25065076.030000001</v>
      </c>
      <c r="O307" s="31" t="s">
        <v>75</v>
      </c>
      <c r="P307" s="31" t="s">
        <v>75</v>
      </c>
      <c r="Q307" s="31">
        <v>24300049</v>
      </c>
      <c r="R307" s="31" t="s">
        <v>75</v>
      </c>
      <c r="S307" s="31" t="s">
        <v>75</v>
      </c>
      <c r="T307" s="31">
        <v>114773.12</v>
      </c>
      <c r="U307" s="31">
        <v>3016.33</v>
      </c>
      <c r="V307" s="31">
        <v>4024.6499999999996</v>
      </c>
      <c r="W307" s="31">
        <f t="shared" si="11"/>
        <v>7040.98</v>
      </c>
      <c r="X307" s="31">
        <v>55419.33</v>
      </c>
      <c r="Y307" s="31">
        <v>431.6</v>
      </c>
      <c r="Z307" s="30">
        <f t="shared" si="12"/>
        <v>55850.93</v>
      </c>
      <c r="AA307" s="31">
        <v>81810.880000000005</v>
      </c>
      <c r="AB307" s="31">
        <v>21804.32</v>
      </c>
      <c r="AC307" s="30">
        <f t="shared" si="13"/>
        <v>103615.20000000001</v>
      </c>
      <c r="AD307" s="31">
        <v>9949.43</v>
      </c>
      <c r="AE307" s="31">
        <v>12418.28</v>
      </c>
      <c r="AF307" s="30">
        <f t="shared" si="14"/>
        <v>22367.71</v>
      </c>
      <c r="AG307" s="42">
        <v>34632.36</v>
      </c>
      <c r="AH307" s="42">
        <v>72248.490000000005</v>
      </c>
      <c r="AI307" s="32">
        <f t="shared" si="15"/>
        <v>106880.85</v>
      </c>
      <c r="AJ307" s="31" t="s">
        <v>75</v>
      </c>
      <c r="AK307" s="31" t="s">
        <v>75</v>
      </c>
      <c r="AL307" s="31">
        <v>62223.75</v>
      </c>
      <c r="AM307" s="31"/>
      <c r="AN307" s="31"/>
      <c r="AO307" s="31"/>
      <c r="AP307" s="31"/>
      <c r="AQ307" s="31"/>
      <c r="AR307" s="31"/>
      <c r="AS307" s="31" t="s">
        <v>75</v>
      </c>
      <c r="AT307" s="31" t="s">
        <v>75</v>
      </c>
      <c r="AU307" s="35">
        <v>1635975.2</v>
      </c>
      <c r="AV307" s="31" t="s">
        <v>75</v>
      </c>
      <c r="AW307" s="31" t="s">
        <v>75</v>
      </c>
      <c r="AX307" s="36">
        <v>39987.910000000003</v>
      </c>
      <c r="AY307" s="30">
        <v>9022591.8000000007</v>
      </c>
      <c r="AZ307" s="32">
        <v>1795088.5</v>
      </c>
      <c r="BA307" s="29">
        <f t="shared" si="10"/>
        <v>10817680.300000001</v>
      </c>
      <c r="BB307" s="31" t="s">
        <v>75</v>
      </c>
      <c r="BC307" s="31" t="s">
        <v>75</v>
      </c>
      <c r="BD307" s="31">
        <v>1568452.3333333333</v>
      </c>
      <c r="BE307" s="113">
        <v>0</v>
      </c>
      <c r="BF307" s="113">
        <v>0</v>
      </c>
      <c r="BG307" s="38">
        <v>158</v>
      </c>
      <c r="BH307" s="38">
        <v>0</v>
      </c>
      <c r="BI307" s="38">
        <v>0</v>
      </c>
      <c r="BJ307" s="38">
        <v>0</v>
      </c>
      <c r="BK307" s="113">
        <v>0</v>
      </c>
      <c r="BL307" s="113">
        <v>0</v>
      </c>
      <c r="BM307" s="113">
        <v>134</v>
      </c>
      <c r="BN307" s="113">
        <v>0</v>
      </c>
      <c r="BO307" s="113">
        <v>0</v>
      </c>
      <c r="BP307" s="113">
        <v>0</v>
      </c>
      <c r="BQ307" s="113">
        <v>0</v>
      </c>
      <c r="BR307" s="113">
        <v>0</v>
      </c>
      <c r="BS307" s="113">
        <v>215</v>
      </c>
      <c r="BT307" s="113">
        <v>0</v>
      </c>
      <c r="BU307" s="113">
        <v>0</v>
      </c>
      <c r="BV307" s="113">
        <v>0</v>
      </c>
      <c r="BW307" s="113"/>
      <c r="BX307" s="113"/>
      <c r="BY307" s="113"/>
      <c r="BZ307" s="113">
        <v>0</v>
      </c>
      <c r="CA307" s="113">
        <v>0</v>
      </c>
      <c r="CB307" s="113">
        <v>226</v>
      </c>
      <c r="CC307" s="113"/>
      <c r="CD307" s="113"/>
      <c r="CE307" s="113"/>
      <c r="CF307" s="113">
        <v>0</v>
      </c>
      <c r="CG307" s="113">
        <v>0</v>
      </c>
      <c r="CH307" s="30">
        <v>8</v>
      </c>
      <c r="CI307" s="113">
        <v>0</v>
      </c>
      <c r="CJ307" s="113">
        <v>0</v>
      </c>
      <c r="CK307" s="30">
        <v>28</v>
      </c>
      <c r="CL307" s="30">
        <v>0</v>
      </c>
      <c r="CM307" s="30">
        <v>0</v>
      </c>
      <c r="CN307" s="30">
        <v>0</v>
      </c>
      <c r="CO307" s="113">
        <v>0</v>
      </c>
      <c r="CP307" s="113">
        <v>0</v>
      </c>
      <c r="CQ307" s="113">
        <v>8</v>
      </c>
      <c r="CR307" s="113">
        <v>0</v>
      </c>
      <c r="CS307" s="113">
        <v>0</v>
      </c>
      <c r="CT307" s="113">
        <v>0</v>
      </c>
      <c r="CU307" s="113">
        <v>0</v>
      </c>
      <c r="CV307" s="113">
        <v>0</v>
      </c>
      <c r="CW307" s="113">
        <v>233</v>
      </c>
      <c r="CX307" s="113">
        <v>0</v>
      </c>
      <c r="CY307" s="113">
        <v>0</v>
      </c>
      <c r="CZ307" s="113">
        <v>0</v>
      </c>
      <c r="DA307" s="113">
        <v>0</v>
      </c>
      <c r="DB307" s="113">
        <v>0</v>
      </c>
      <c r="DC307" s="113">
        <v>1</v>
      </c>
      <c r="DD307" s="113">
        <v>0</v>
      </c>
      <c r="DE307" s="113">
        <v>0</v>
      </c>
      <c r="DF307" s="113">
        <v>0</v>
      </c>
      <c r="DG307" s="113">
        <v>0</v>
      </c>
      <c r="DH307" s="113">
        <v>0</v>
      </c>
      <c r="DI307" s="113">
        <v>0</v>
      </c>
      <c r="DJ307" s="113">
        <v>0</v>
      </c>
      <c r="DK307" s="113">
        <v>0</v>
      </c>
      <c r="DL307" s="113">
        <v>0</v>
      </c>
      <c r="DM307" s="113">
        <v>0</v>
      </c>
      <c r="DN307" s="113">
        <v>0</v>
      </c>
      <c r="DO307" s="113">
        <v>0</v>
      </c>
      <c r="DP307" s="113">
        <v>0</v>
      </c>
      <c r="DQ307" s="113">
        <v>0</v>
      </c>
      <c r="DR307" s="113">
        <v>0</v>
      </c>
      <c r="DS307" s="113">
        <v>0</v>
      </c>
      <c r="DT307" s="113">
        <v>0</v>
      </c>
      <c r="DU307" s="113">
        <v>3</v>
      </c>
      <c r="DV307" s="113">
        <v>0</v>
      </c>
      <c r="DW307" s="113">
        <v>0</v>
      </c>
      <c r="DX307" s="113">
        <v>3</v>
      </c>
      <c r="DY307" s="113">
        <v>0</v>
      </c>
      <c r="DZ307" s="113">
        <v>0</v>
      </c>
      <c r="EA307" s="113">
        <v>491</v>
      </c>
      <c r="EB307" s="113">
        <v>0</v>
      </c>
      <c r="EC307" s="113">
        <v>0</v>
      </c>
      <c r="ED307" s="113">
        <v>0</v>
      </c>
      <c r="EE307" s="113">
        <v>0</v>
      </c>
      <c r="EF307" s="113">
        <v>0</v>
      </c>
      <c r="EG307" s="113">
        <v>520</v>
      </c>
      <c r="EH307" s="113">
        <v>0</v>
      </c>
      <c r="EI307" s="113">
        <v>0</v>
      </c>
      <c r="EJ307" s="113">
        <v>0</v>
      </c>
      <c r="EK307" s="113">
        <v>0</v>
      </c>
      <c r="EL307" s="113">
        <v>0</v>
      </c>
      <c r="EM307" s="113">
        <v>556</v>
      </c>
      <c r="EN307" s="113">
        <v>0</v>
      </c>
      <c r="EO307" s="113">
        <v>0</v>
      </c>
      <c r="EP307" s="113">
        <v>0</v>
      </c>
      <c r="EQ307" s="113">
        <v>0</v>
      </c>
      <c r="ER307" s="113">
        <v>0</v>
      </c>
      <c r="ES307" s="113">
        <v>51</v>
      </c>
      <c r="ET307" s="113">
        <v>0</v>
      </c>
      <c r="EU307" s="113">
        <v>0</v>
      </c>
      <c r="EV307" s="113">
        <v>0</v>
      </c>
      <c r="EW307" s="113">
        <v>0</v>
      </c>
      <c r="EX307" s="113">
        <v>0</v>
      </c>
      <c r="EY307" s="113">
        <v>17</v>
      </c>
      <c r="EZ307" s="113">
        <v>0</v>
      </c>
      <c r="FA307" s="113">
        <v>0</v>
      </c>
      <c r="FB307" s="113">
        <v>0</v>
      </c>
      <c r="FC307" s="113">
        <v>0</v>
      </c>
      <c r="FD307" s="113">
        <v>0</v>
      </c>
      <c r="FE307" s="113">
        <v>0</v>
      </c>
      <c r="FF307" s="113">
        <v>0</v>
      </c>
      <c r="FG307" s="113">
        <v>0</v>
      </c>
      <c r="FH307" s="113">
        <v>0</v>
      </c>
      <c r="FI307" s="113">
        <v>0</v>
      </c>
      <c r="FJ307" s="113">
        <v>0</v>
      </c>
      <c r="FK307" s="113">
        <v>0</v>
      </c>
      <c r="FL307" s="113">
        <v>0</v>
      </c>
      <c r="FM307" s="113">
        <v>0</v>
      </c>
      <c r="FN307" s="113">
        <v>7502</v>
      </c>
      <c r="FO307" s="113">
        <v>0</v>
      </c>
      <c r="FP307" s="113">
        <v>0</v>
      </c>
      <c r="FQ307" s="113">
        <v>1114</v>
      </c>
      <c r="FR307" s="113">
        <v>0</v>
      </c>
      <c r="FS307" s="113">
        <v>0</v>
      </c>
      <c r="FT307" s="113">
        <v>0</v>
      </c>
      <c r="FU307" s="113">
        <v>0</v>
      </c>
      <c r="FV307" s="113">
        <v>0</v>
      </c>
      <c r="FW307" s="113">
        <v>82</v>
      </c>
      <c r="FX307" s="32">
        <v>0</v>
      </c>
      <c r="FY307" s="30">
        <v>0</v>
      </c>
      <c r="FZ307" s="30">
        <v>21</v>
      </c>
    </row>
    <row r="308" spans="1:182" x14ac:dyDescent="0.2">
      <c r="A308" s="28">
        <v>40940</v>
      </c>
      <c r="B308" s="28"/>
      <c r="C308" s="31">
        <v>164626.53999999998</v>
      </c>
      <c r="D308" s="31">
        <v>146465.9</v>
      </c>
      <c r="E308" s="29">
        <f t="shared" si="8"/>
        <v>311092.43999999994</v>
      </c>
      <c r="F308" s="40">
        <v>8600050.8100000005</v>
      </c>
      <c r="G308" s="40">
        <v>684398.46000000008</v>
      </c>
      <c r="H308" s="30">
        <f t="shared" si="9"/>
        <v>9284449.2700000014</v>
      </c>
      <c r="I308" s="42" t="s">
        <v>75</v>
      </c>
      <c r="J308" s="42" t="s">
        <v>75</v>
      </c>
      <c r="K308" s="42">
        <v>8419320.8399999999</v>
      </c>
      <c r="L308" s="31" t="s">
        <v>75</v>
      </c>
      <c r="M308" s="31" t="s">
        <v>75</v>
      </c>
      <c r="N308" s="31">
        <v>29479194.329999998</v>
      </c>
      <c r="O308" s="31" t="s">
        <v>75</v>
      </c>
      <c r="P308" s="31" t="s">
        <v>75</v>
      </c>
      <c r="Q308" s="31">
        <v>26830925</v>
      </c>
      <c r="R308" s="31" t="s">
        <v>75</v>
      </c>
      <c r="S308" s="31" t="s">
        <v>75</v>
      </c>
      <c r="T308" s="31">
        <v>122251</v>
      </c>
      <c r="U308" s="31">
        <v>2312.98</v>
      </c>
      <c r="V308" s="31">
        <v>3366.7</v>
      </c>
      <c r="W308" s="31">
        <f t="shared" si="11"/>
        <v>5679.68</v>
      </c>
      <c r="X308" s="31">
        <v>30979.72</v>
      </c>
      <c r="Y308" s="31">
        <v>169.1</v>
      </c>
      <c r="Z308" s="30">
        <f t="shared" si="12"/>
        <v>31148.82</v>
      </c>
      <c r="AA308" s="31">
        <v>93159.3</v>
      </c>
      <c r="AB308" s="31">
        <v>14403.4</v>
      </c>
      <c r="AC308" s="30">
        <f t="shared" si="13"/>
        <v>107562.7</v>
      </c>
      <c r="AD308" s="31">
        <v>6404.78</v>
      </c>
      <c r="AE308" s="31">
        <v>9746.630000000001</v>
      </c>
      <c r="AF308" s="30">
        <f t="shared" si="14"/>
        <v>16151.41</v>
      </c>
      <c r="AG308" s="42">
        <v>28809.54</v>
      </c>
      <c r="AH308" s="42">
        <v>44769.530000000021</v>
      </c>
      <c r="AI308" s="32">
        <f t="shared" si="15"/>
        <v>73579.070000000022</v>
      </c>
      <c r="AJ308" s="31" t="s">
        <v>75</v>
      </c>
      <c r="AK308" s="31" t="s">
        <v>75</v>
      </c>
      <c r="AL308" s="31">
        <v>43555</v>
      </c>
      <c r="AM308" s="31"/>
      <c r="AN308" s="31"/>
      <c r="AO308" s="31"/>
      <c r="AP308" s="31"/>
      <c r="AQ308" s="31"/>
      <c r="AR308" s="31"/>
      <c r="AS308" s="31" t="s">
        <v>75</v>
      </c>
      <c r="AT308" s="31" t="s">
        <v>75</v>
      </c>
      <c r="AU308" s="35">
        <v>1517316.63</v>
      </c>
      <c r="AV308" s="31" t="s">
        <v>75</v>
      </c>
      <c r="AW308" s="31" t="s">
        <v>75</v>
      </c>
      <c r="AX308" s="36">
        <v>42873.99</v>
      </c>
      <c r="AY308" s="30">
        <v>8045596.7999999998</v>
      </c>
      <c r="AZ308" s="32">
        <v>2754605.75</v>
      </c>
      <c r="BA308" s="29">
        <f t="shared" si="10"/>
        <v>10800202.550000001</v>
      </c>
      <c r="BB308" s="31" t="s">
        <v>75</v>
      </c>
      <c r="BC308" s="31" t="s">
        <v>75</v>
      </c>
      <c r="BD308" s="31">
        <v>1633947.0888888889</v>
      </c>
      <c r="BE308" s="113">
        <v>0</v>
      </c>
      <c r="BF308" s="113">
        <v>0</v>
      </c>
      <c r="BG308" s="38">
        <v>133</v>
      </c>
      <c r="BH308" s="38">
        <v>0</v>
      </c>
      <c r="BI308" s="38">
        <v>0</v>
      </c>
      <c r="BJ308" s="38">
        <v>0</v>
      </c>
      <c r="BK308" s="113">
        <v>0</v>
      </c>
      <c r="BL308" s="113">
        <v>0</v>
      </c>
      <c r="BM308" s="113">
        <v>390</v>
      </c>
      <c r="BN308" s="113">
        <v>0</v>
      </c>
      <c r="BO308" s="113">
        <v>0</v>
      </c>
      <c r="BP308" s="113">
        <v>0</v>
      </c>
      <c r="BQ308" s="113">
        <v>0</v>
      </c>
      <c r="BR308" s="113">
        <v>0</v>
      </c>
      <c r="BS308" s="113">
        <v>235</v>
      </c>
      <c r="BT308" s="113">
        <v>0</v>
      </c>
      <c r="BU308" s="113">
        <v>0</v>
      </c>
      <c r="BV308" s="113">
        <v>0</v>
      </c>
      <c r="BW308" s="113"/>
      <c r="BX308" s="113"/>
      <c r="BY308" s="113"/>
      <c r="BZ308" s="113">
        <v>0</v>
      </c>
      <c r="CA308" s="113">
        <v>0</v>
      </c>
      <c r="CB308" s="113">
        <v>181</v>
      </c>
      <c r="CC308" s="113"/>
      <c r="CD308" s="113"/>
      <c r="CE308" s="113"/>
      <c r="CF308" s="113">
        <v>0</v>
      </c>
      <c r="CG308" s="113">
        <v>0</v>
      </c>
      <c r="CH308" s="30">
        <v>10</v>
      </c>
      <c r="CI308" s="113">
        <v>0</v>
      </c>
      <c r="CJ308" s="113">
        <v>0</v>
      </c>
      <c r="CK308" s="30">
        <v>37</v>
      </c>
      <c r="CL308" s="30">
        <v>0</v>
      </c>
      <c r="CM308" s="30">
        <v>0</v>
      </c>
      <c r="CN308" s="30">
        <v>0</v>
      </c>
      <c r="CO308" s="113">
        <v>0</v>
      </c>
      <c r="CP308" s="113">
        <v>0</v>
      </c>
      <c r="CQ308" s="113">
        <v>1</v>
      </c>
      <c r="CR308" s="113">
        <v>0</v>
      </c>
      <c r="CS308" s="113">
        <v>0</v>
      </c>
      <c r="CT308" s="113">
        <v>0</v>
      </c>
      <c r="CU308" s="113">
        <v>0</v>
      </c>
      <c r="CV308" s="113">
        <v>0</v>
      </c>
      <c r="CW308" s="113">
        <v>161</v>
      </c>
      <c r="CX308" s="113">
        <v>0</v>
      </c>
      <c r="CY308" s="113">
        <v>0</v>
      </c>
      <c r="CZ308" s="113">
        <v>0</v>
      </c>
      <c r="DA308" s="113">
        <v>0</v>
      </c>
      <c r="DB308" s="113">
        <v>0</v>
      </c>
      <c r="DC308" s="113">
        <v>0</v>
      </c>
      <c r="DD308" s="113">
        <v>0</v>
      </c>
      <c r="DE308" s="113">
        <v>0</v>
      </c>
      <c r="DF308" s="113">
        <v>0</v>
      </c>
      <c r="DG308" s="113">
        <v>0</v>
      </c>
      <c r="DH308" s="113">
        <v>0</v>
      </c>
      <c r="DI308" s="113">
        <v>0</v>
      </c>
      <c r="DJ308" s="113">
        <v>0</v>
      </c>
      <c r="DK308" s="113">
        <v>0</v>
      </c>
      <c r="DL308" s="113">
        <v>0</v>
      </c>
      <c r="DM308" s="113">
        <v>0</v>
      </c>
      <c r="DN308" s="113">
        <v>0</v>
      </c>
      <c r="DO308" s="113">
        <v>0</v>
      </c>
      <c r="DP308" s="113">
        <v>0</v>
      </c>
      <c r="DQ308" s="113">
        <v>0</v>
      </c>
      <c r="DR308" s="113">
        <v>0</v>
      </c>
      <c r="DS308" s="113">
        <v>0</v>
      </c>
      <c r="DT308" s="113">
        <v>0</v>
      </c>
      <c r="DU308" s="113">
        <v>0</v>
      </c>
      <c r="DV308" s="113">
        <v>0</v>
      </c>
      <c r="DW308" s="113">
        <v>0</v>
      </c>
      <c r="DX308" s="113">
        <v>1</v>
      </c>
      <c r="DY308" s="113">
        <v>0</v>
      </c>
      <c r="DZ308" s="113">
        <v>0</v>
      </c>
      <c r="EA308" s="113">
        <v>1107</v>
      </c>
      <c r="EB308" s="113">
        <v>0</v>
      </c>
      <c r="EC308" s="113">
        <v>0</v>
      </c>
      <c r="ED308" s="113">
        <v>0</v>
      </c>
      <c r="EE308" s="113">
        <v>0</v>
      </c>
      <c r="EF308" s="113">
        <v>0</v>
      </c>
      <c r="EG308" s="113">
        <v>601</v>
      </c>
      <c r="EH308" s="113">
        <v>0</v>
      </c>
      <c r="EI308" s="113">
        <v>0</v>
      </c>
      <c r="EJ308" s="113">
        <v>0</v>
      </c>
      <c r="EK308" s="113">
        <v>0</v>
      </c>
      <c r="EL308" s="113">
        <v>0</v>
      </c>
      <c r="EM308" s="113">
        <v>805</v>
      </c>
      <c r="EN308" s="113">
        <v>0</v>
      </c>
      <c r="EO308" s="113">
        <v>0</v>
      </c>
      <c r="EP308" s="113">
        <v>0</v>
      </c>
      <c r="EQ308" s="113">
        <v>0</v>
      </c>
      <c r="ER308" s="113">
        <v>0</v>
      </c>
      <c r="ES308" s="30">
        <v>62</v>
      </c>
      <c r="ET308" s="30">
        <v>0</v>
      </c>
      <c r="EU308" s="30">
        <v>0</v>
      </c>
      <c r="EV308" s="30">
        <v>0</v>
      </c>
      <c r="EW308" s="113">
        <v>0</v>
      </c>
      <c r="EX308" s="113">
        <v>0</v>
      </c>
      <c r="EY308" s="30">
        <v>10</v>
      </c>
      <c r="EZ308" s="30">
        <v>0</v>
      </c>
      <c r="FA308" s="30">
        <v>0</v>
      </c>
      <c r="FB308" s="30">
        <v>0</v>
      </c>
      <c r="FC308" s="30">
        <v>0</v>
      </c>
      <c r="FD308" s="30">
        <v>0</v>
      </c>
      <c r="FE308" s="30">
        <v>0</v>
      </c>
      <c r="FF308" s="30">
        <v>0</v>
      </c>
      <c r="FG308" s="30">
        <v>0</v>
      </c>
      <c r="FH308" s="30">
        <v>0</v>
      </c>
      <c r="FI308" s="113">
        <v>0</v>
      </c>
      <c r="FJ308" s="113">
        <v>0</v>
      </c>
      <c r="FK308" s="113">
        <v>0</v>
      </c>
      <c r="FL308" s="113">
        <v>0</v>
      </c>
      <c r="FM308" s="113">
        <v>0</v>
      </c>
      <c r="FN308" s="30">
        <v>7515</v>
      </c>
      <c r="FO308" s="113">
        <v>0</v>
      </c>
      <c r="FP308" s="113">
        <v>0</v>
      </c>
      <c r="FQ308" s="30">
        <v>960</v>
      </c>
      <c r="FR308" s="113">
        <v>0</v>
      </c>
      <c r="FS308" s="113">
        <v>0</v>
      </c>
      <c r="FT308" s="113">
        <v>0</v>
      </c>
      <c r="FU308" s="113">
        <v>0</v>
      </c>
      <c r="FV308" s="113">
        <v>0</v>
      </c>
      <c r="FW308" s="30">
        <v>71</v>
      </c>
      <c r="FX308" s="32">
        <v>0</v>
      </c>
      <c r="FY308" s="30">
        <v>0</v>
      </c>
      <c r="FZ308" s="30">
        <v>5</v>
      </c>
    </row>
    <row r="309" spans="1:182" x14ac:dyDescent="0.2">
      <c r="A309" s="28">
        <v>40969</v>
      </c>
      <c r="B309" s="28"/>
      <c r="C309" s="31">
        <v>264130.88</v>
      </c>
      <c r="D309" s="31">
        <v>267835.69999999995</v>
      </c>
      <c r="E309" s="29">
        <f t="shared" si="8"/>
        <v>531966.57999999996</v>
      </c>
      <c r="F309" s="40">
        <v>8213586.6400000006</v>
      </c>
      <c r="G309" s="40">
        <v>594553.78</v>
      </c>
      <c r="H309" s="30">
        <f t="shared" si="9"/>
        <v>8808140.4199999999</v>
      </c>
      <c r="I309" s="42" t="s">
        <v>75</v>
      </c>
      <c r="J309" s="42" t="s">
        <v>75</v>
      </c>
      <c r="K309" s="42">
        <v>8894911.6300000008</v>
      </c>
      <c r="L309" s="31" t="s">
        <v>75</v>
      </c>
      <c r="M309" s="31" t="s">
        <v>75</v>
      </c>
      <c r="N309" s="31">
        <v>29674406.370000001</v>
      </c>
      <c r="O309" s="31" t="s">
        <v>75</v>
      </c>
      <c r="P309" s="31" t="s">
        <v>75</v>
      </c>
      <c r="Q309" s="31">
        <v>24218266</v>
      </c>
      <c r="R309" s="31" t="s">
        <v>75</v>
      </c>
      <c r="S309" s="31" t="s">
        <v>75</v>
      </c>
      <c r="T309" s="31">
        <v>148812</v>
      </c>
      <c r="U309" s="31">
        <v>3115.7799999999997</v>
      </c>
      <c r="V309" s="31">
        <v>3142.68</v>
      </c>
      <c r="W309" s="31">
        <f t="shared" si="11"/>
        <v>6258.4599999999991</v>
      </c>
      <c r="X309" s="31">
        <v>50136.82</v>
      </c>
      <c r="Y309" s="31">
        <v>351.95</v>
      </c>
      <c r="Z309" s="30">
        <f t="shared" si="12"/>
        <v>50488.77</v>
      </c>
      <c r="AA309" s="31">
        <v>203165.65</v>
      </c>
      <c r="AB309" s="31">
        <v>14484.119999999999</v>
      </c>
      <c r="AC309" s="30">
        <f t="shared" si="13"/>
        <v>217649.77</v>
      </c>
      <c r="AD309" s="31">
        <v>6487.6799999999994</v>
      </c>
      <c r="AE309" s="31">
        <v>12275.030000000002</v>
      </c>
      <c r="AF309" s="30">
        <f t="shared" si="14"/>
        <v>18762.710000000003</v>
      </c>
      <c r="AG309" s="42">
        <v>32709.71</v>
      </c>
      <c r="AH309" s="42">
        <v>48833.020000000004</v>
      </c>
      <c r="AI309" s="32">
        <f t="shared" si="15"/>
        <v>81542.73000000001</v>
      </c>
      <c r="AJ309" s="31" t="s">
        <v>75</v>
      </c>
      <c r="AK309" s="31" t="s">
        <v>75</v>
      </c>
      <c r="AL309" s="31">
        <v>75460</v>
      </c>
      <c r="AM309" s="31"/>
      <c r="AN309" s="31"/>
      <c r="AO309" s="31"/>
      <c r="AP309" s="31"/>
      <c r="AQ309" s="31"/>
      <c r="AR309" s="31"/>
      <c r="AS309" s="31" t="s">
        <v>75</v>
      </c>
      <c r="AT309" s="31" t="s">
        <v>75</v>
      </c>
      <c r="AU309" s="35">
        <v>1970773.44</v>
      </c>
      <c r="AV309" s="31" t="s">
        <v>75</v>
      </c>
      <c r="AW309" s="31" t="s">
        <v>75</v>
      </c>
      <c r="AX309" s="36">
        <v>51151.69</v>
      </c>
      <c r="AY309" s="30">
        <v>9812444.5</v>
      </c>
      <c r="AZ309" s="32">
        <v>1872650.25</v>
      </c>
      <c r="BA309" s="29">
        <f t="shared" si="10"/>
        <v>11685094.75</v>
      </c>
      <c r="BB309" s="31" t="s">
        <v>75</v>
      </c>
      <c r="BC309" s="31" t="s">
        <v>75</v>
      </c>
      <c r="BD309" s="31">
        <v>2013097.1777777777</v>
      </c>
      <c r="BE309" s="113">
        <v>0</v>
      </c>
      <c r="BF309" s="113">
        <v>0</v>
      </c>
      <c r="BG309" s="38">
        <v>188</v>
      </c>
      <c r="BH309" s="38">
        <v>0</v>
      </c>
      <c r="BI309" s="38">
        <v>0</v>
      </c>
      <c r="BJ309" s="38">
        <v>0</v>
      </c>
      <c r="BK309" s="113">
        <v>0</v>
      </c>
      <c r="BL309" s="113">
        <v>0</v>
      </c>
      <c r="BM309" s="113">
        <v>326</v>
      </c>
      <c r="BN309" s="113">
        <v>0</v>
      </c>
      <c r="BO309" s="113">
        <v>0</v>
      </c>
      <c r="BP309" s="113">
        <v>0</v>
      </c>
      <c r="BQ309" s="113">
        <v>0</v>
      </c>
      <c r="BR309" s="113">
        <v>0</v>
      </c>
      <c r="BS309" s="113">
        <v>289</v>
      </c>
      <c r="BT309" s="113">
        <v>0</v>
      </c>
      <c r="BU309" s="113">
        <v>0</v>
      </c>
      <c r="BV309" s="113">
        <v>0</v>
      </c>
      <c r="BW309" s="113"/>
      <c r="BX309" s="113"/>
      <c r="BY309" s="113"/>
      <c r="BZ309" s="113">
        <v>0</v>
      </c>
      <c r="CA309" s="113">
        <v>0</v>
      </c>
      <c r="CB309" s="113">
        <v>282</v>
      </c>
      <c r="CC309" s="113"/>
      <c r="CD309" s="113"/>
      <c r="CE309" s="113"/>
      <c r="CF309" s="113">
        <v>0</v>
      </c>
      <c r="CG309" s="113">
        <v>0</v>
      </c>
      <c r="CH309" s="30">
        <v>12</v>
      </c>
      <c r="CI309" s="113">
        <v>0</v>
      </c>
      <c r="CJ309" s="113">
        <v>0</v>
      </c>
      <c r="CK309" s="30">
        <v>42</v>
      </c>
      <c r="CL309" s="30">
        <v>0</v>
      </c>
      <c r="CM309" s="30">
        <v>0</v>
      </c>
      <c r="CN309" s="30">
        <v>0</v>
      </c>
      <c r="CO309" s="113">
        <v>0</v>
      </c>
      <c r="CP309" s="113">
        <v>0</v>
      </c>
      <c r="CQ309" s="30">
        <v>18</v>
      </c>
      <c r="CR309" s="30">
        <v>0</v>
      </c>
      <c r="CS309" s="30">
        <v>0</v>
      </c>
      <c r="CT309" s="30">
        <v>0</v>
      </c>
      <c r="CU309" s="113">
        <v>0</v>
      </c>
      <c r="CV309" s="113">
        <v>0</v>
      </c>
      <c r="CW309" s="30">
        <v>197</v>
      </c>
      <c r="CX309" s="30">
        <v>0</v>
      </c>
      <c r="CY309" s="30">
        <v>0</v>
      </c>
      <c r="CZ309" s="30">
        <v>0</v>
      </c>
      <c r="DA309" s="113">
        <v>0</v>
      </c>
      <c r="DB309" s="113">
        <v>0</v>
      </c>
      <c r="DC309" s="30">
        <v>3</v>
      </c>
      <c r="DD309" s="30">
        <v>0</v>
      </c>
      <c r="DE309" s="30">
        <v>0</v>
      </c>
      <c r="DF309" s="30">
        <v>0</v>
      </c>
      <c r="DG309" s="113">
        <v>0</v>
      </c>
      <c r="DH309" s="113">
        <v>0</v>
      </c>
      <c r="DI309" s="113">
        <v>0</v>
      </c>
      <c r="DJ309" s="113">
        <v>0</v>
      </c>
      <c r="DK309" s="113">
        <v>0</v>
      </c>
      <c r="DL309" s="113">
        <v>0</v>
      </c>
      <c r="DM309" s="113">
        <v>0</v>
      </c>
      <c r="DN309" s="113">
        <v>0</v>
      </c>
      <c r="DO309" s="113">
        <v>0</v>
      </c>
      <c r="DP309" s="113">
        <v>0</v>
      </c>
      <c r="DQ309" s="113">
        <v>0</v>
      </c>
      <c r="DR309" s="113">
        <v>0</v>
      </c>
      <c r="DS309" s="113">
        <v>0</v>
      </c>
      <c r="DT309" s="113">
        <v>0</v>
      </c>
      <c r="DU309" s="113">
        <v>0</v>
      </c>
      <c r="DV309" s="113">
        <v>0</v>
      </c>
      <c r="DW309" s="113">
        <v>0</v>
      </c>
      <c r="DX309" s="113">
        <v>6</v>
      </c>
      <c r="DY309" s="113">
        <v>0</v>
      </c>
      <c r="DZ309" s="113">
        <v>0</v>
      </c>
      <c r="EA309" s="113">
        <v>884</v>
      </c>
      <c r="EB309" s="113">
        <v>0</v>
      </c>
      <c r="EC309" s="113">
        <v>0</v>
      </c>
      <c r="ED309" s="113">
        <v>0</v>
      </c>
      <c r="EE309" s="113">
        <v>0</v>
      </c>
      <c r="EF309" s="113">
        <v>0</v>
      </c>
      <c r="EG309" s="113">
        <v>1021</v>
      </c>
      <c r="EH309" s="113">
        <v>0</v>
      </c>
      <c r="EI309" s="113">
        <v>0</v>
      </c>
      <c r="EJ309" s="113">
        <v>0</v>
      </c>
      <c r="EK309" s="113">
        <v>0</v>
      </c>
      <c r="EL309" s="113">
        <v>0</v>
      </c>
      <c r="EM309" s="113">
        <v>1163</v>
      </c>
      <c r="EN309" s="113">
        <v>0</v>
      </c>
      <c r="EO309" s="113">
        <v>0</v>
      </c>
      <c r="EP309" s="113">
        <v>0</v>
      </c>
      <c r="EQ309" s="113">
        <v>0</v>
      </c>
      <c r="ER309" s="113">
        <v>0</v>
      </c>
      <c r="ES309" s="30">
        <v>127</v>
      </c>
      <c r="ET309" s="30">
        <v>0</v>
      </c>
      <c r="EU309" s="30">
        <v>0</v>
      </c>
      <c r="EV309" s="30">
        <v>0</v>
      </c>
      <c r="EW309" s="113">
        <v>0</v>
      </c>
      <c r="EX309" s="113">
        <v>0</v>
      </c>
      <c r="EY309" s="30">
        <v>15</v>
      </c>
      <c r="EZ309" s="30">
        <v>0</v>
      </c>
      <c r="FA309" s="30">
        <v>0</v>
      </c>
      <c r="FB309" s="30">
        <v>0</v>
      </c>
      <c r="FC309" s="30">
        <v>0</v>
      </c>
      <c r="FD309" s="30">
        <v>0</v>
      </c>
      <c r="FE309" s="30">
        <v>0</v>
      </c>
      <c r="FF309" s="30">
        <v>0</v>
      </c>
      <c r="FG309" s="30">
        <v>0</v>
      </c>
      <c r="FH309" s="30">
        <v>0</v>
      </c>
      <c r="FI309" s="113">
        <v>0</v>
      </c>
      <c r="FJ309" s="113">
        <v>0</v>
      </c>
      <c r="FK309" s="113">
        <v>0</v>
      </c>
      <c r="FL309" s="113">
        <v>0</v>
      </c>
      <c r="FM309" s="113">
        <v>0</v>
      </c>
      <c r="FN309" s="30">
        <v>9416</v>
      </c>
      <c r="FO309" s="113">
        <v>0</v>
      </c>
      <c r="FP309" s="113">
        <v>0</v>
      </c>
      <c r="FQ309" s="30">
        <v>1031</v>
      </c>
      <c r="FR309" s="113">
        <v>0</v>
      </c>
      <c r="FS309" s="113">
        <v>0</v>
      </c>
      <c r="FT309" s="113">
        <v>0</v>
      </c>
      <c r="FU309" s="113">
        <v>0</v>
      </c>
      <c r="FV309" s="113">
        <v>0</v>
      </c>
      <c r="FW309" s="30">
        <v>109</v>
      </c>
      <c r="FX309" s="32">
        <v>0</v>
      </c>
      <c r="FY309" s="30">
        <v>0</v>
      </c>
      <c r="FZ309" s="30">
        <v>-1</v>
      </c>
    </row>
    <row r="310" spans="1:182" x14ac:dyDescent="0.2">
      <c r="A310" s="28">
        <v>41000</v>
      </c>
      <c r="B310" s="28"/>
      <c r="C310" s="31">
        <v>239580.94</v>
      </c>
      <c r="D310" s="31">
        <v>247878.36000000002</v>
      </c>
      <c r="E310" s="29">
        <f t="shared" si="8"/>
        <v>487459.30000000005</v>
      </c>
      <c r="F310" s="40">
        <v>5227153.6899999995</v>
      </c>
      <c r="G310" s="40">
        <v>477123.32999999996</v>
      </c>
      <c r="H310" s="30">
        <f t="shared" si="9"/>
        <v>5704277.0199999996</v>
      </c>
      <c r="I310" s="42" t="s">
        <v>75</v>
      </c>
      <c r="J310" s="42" t="s">
        <v>75</v>
      </c>
      <c r="K310" s="42">
        <v>7112591.7400000002</v>
      </c>
      <c r="L310" s="31" t="s">
        <v>75</v>
      </c>
      <c r="M310" s="31" t="s">
        <v>75</v>
      </c>
      <c r="N310" s="31">
        <v>24928233.079999998</v>
      </c>
      <c r="O310" s="31" t="s">
        <v>75</v>
      </c>
      <c r="P310" s="31" t="s">
        <v>75</v>
      </c>
      <c r="Q310" s="31">
        <v>18339895</v>
      </c>
      <c r="R310" s="31" t="s">
        <v>75</v>
      </c>
      <c r="S310" s="31" t="s">
        <v>75</v>
      </c>
      <c r="T310" s="31">
        <v>124178</v>
      </c>
      <c r="U310" s="31">
        <v>3709</v>
      </c>
      <c r="V310" s="31">
        <v>1947.75</v>
      </c>
      <c r="W310" s="31">
        <f t="shared" si="11"/>
        <v>5656.75</v>
      </c>
      <c r="X310" s="31">
        <v>69296.59</v>
      </c>
      <c r="Y310" s="31">
        <v>43.55</v>
      </c>
      <c r="Z310" s="30">
        <f t="shared" si="12"/>
        <v>69340.14</v>
      </c>
      <c r="AA310" s="31">
        <v>187185.77</v>
      </c>
      <c r="AB310" s="31">
        <v>10446.720000000001</v>
      </c>
      <c r="AC310" s="30">
        <f t="shared" si="13"/>
        <v>197632.49</v>
      </c>
      <c r="AD310" s="31">
        <v>3417.3900000000003</v>
      </c>
      <c r="AE310" s="31">
        <v>6945.94</v>
      </c>
      <c r="AF310" s="30">
        <f t="shared" si="14"/>
        <v>10363.33</v>
      </c>
      <c r="AG310" s="42">
        <v>29973.53</v>
      </c>
      <c r="AH310" s="42">
        <v>39880.68</v>
      </c>
      <c r="AI310" s="32">
        <f t="shared" si="15"/>
        <v>69854.209999999992</v>
      </c>
      <c r="AJ310" s="31" t="s">
        <v>75</v>
      </c>
      <c r="AK310" s="31" t="s">
        <v>75</v>
      </c>
      <c r="AL310" s="31">
        <v>41451.25</v>
      </c>
      <c r="AM310" s="31"/>
      <c r="AN310" s="31"/>
      <c r="AO310" s="31"/>
      <c r="AP310" s="31"/>
      <c r="AQ310" s="31"/>
      <c r="AR310" s="31"/>
      <c r="AS310" s="31" t="s">
        <v>75</v>
      </c>
      <c r="AT310" s="31" t="s">
        <v>75</v>
      </c>
      <c r="AU310" s="35">
        <v>1657555.96</v>
      </c>
      <c r="AV310" s="31" t="s">
        <v>75</v>
      </c>
      <c r="AW310" s="31" t="s">
        <v>75</v>
      </c>
      <c r="AX310" s="36">
        <v>41757.620000000003</v>
      </c>
      <c r="AY310" s="30">
        <v>6169688.0999999996</v>
      </c>
      <c r="AZ310" s="32">
        <v>1235391.75</v>
      </c>
      <c r="BA310" s="29">
        <f t="shared" si="10"/>
        <v>7405079.8499999996</v>
      </c>
      <c r="BB310" s="31" t="s">
        <v>75</v>
      </c>
      <c r="BC310" s="31" t="s">
        <v>75</v>
      </c>
      <c r="BD310" s="31">
        <v>1266932.2222222222</v>
      </c>
      <c r="BE310" s="113">
        <v>0</v>
      </c>
      <c r="BF310" s="113">
        <v>0</v>
      </c>
      <c r="BG310" s="38">
        <v>216</v>
      </c>
      <c r="BH310" s="38">
        <v>0</v>
      </c>
      <c r="BI310" s="38">
        <v>0</v>
      </c>
      <c r="BJ310" s="38">
        <v>0</v>
      </c>
      <c r="BK310" s="113">
        <v>0</v>
      </c>
      <c r="BL310" s="113">
        <v>0</v>
      </c>
      <c r="BM310" s="113">
        <v>267</v>
      </c>
      <c r="BN310" s="113">
        <v>0</v>
      </c>
      <c r="BO310" s="113">
        <v>0</v>
      </c>
      <c r="BP310" s="113">
        <v>0</v>
      </c>
      <c r="BQ310" s="113">
        <v>0</v>
      </c>
      <c r="BR310" s="113">
        <v>0</v>
      </c>
      <c r="BS310" s="113">
        <v>252</v>
      </c>
      <c r="BT310" s="113">
        <v>0</v>
      </c>
      <c r="BU310" s="113">
        <v>0</v>
      </c>
      <c r="BV310" s="113">
        <v>0</v>
      </c>
      <c r="BW310" s="113"/>
      <c r="BX310" s="113"/>
      <c r="BY310" s="113"/>
      <c r="BZ310" s="113">
        <v>0</v>
      </c>
      <c r="CA310" s="113">
        <v>0</v>
      </c>
      <c r="CB310" s="113">
        <v>187</v>
      </c>
      <c r="CC310" s="113"/>
      <c r="CD310" s="113"/>
      <c r="CE310" s="113"/>
      <c r="CF310" s="113">
        <v>0</v>
      </c>
      <c r="CG310" s="113">
        <v>0</v>
      </c>
      <c r="CH310" s="30">
        <v>12</v>
      </c>
      <c r="CI310" s="113">
        <v>0</v>
      </c>
      <c r="CJ310" s="113">
        <v>0</v>
      </c>
      <c r="CK310" s="30">
        <v>36</v>
      </c>
      <c r="CL310" s="30">
        <v>0</v>
      </c>
      <c r="CM310" s="30">
        <v>0</v>
      </c>
      <c r="CN310" s="30">
        <v>0</v>
      </c>
      <c r="CO310" s="113">
        <v>0</v>
      </c>
      <c r="CP310" s="113">
        <v>0</v>
      </c>
      <c r="CQ310" s="30">
        <v>12</v>
      </c>
      <c r="CR310" s="30">
        <v>0</v>
      </c>
      <c r="CS310" s="30">
        <v>0</v>
      </c>
      <c r="CT310" s="30">
        <v>0</v>
      </c>
      <c r="CU310" s="113">
        <v>0</v>
      </c>
      <c r="CV310" s="113">
        <v>0</v>
      </c>
      <c r="CW310" s="30">
        <v>140</v>
      </c>
      <c r="CX310" s="30">
        <v>0</v>
      </c>
      <c r="CY310" s="30">
        <v>0</v>
      </c>
      <c r="CZ310" s="30">
        <v>0</v>
      </c>
      <c r="DA310" s="113">
        <v>0</v>
      </c>
      <c r="DB310" s="113">
        <v>0</v>
      </c>
      <c r="DC310" s="30">
        <v>3</v>
      </c>
      <c r="DD310" s="30">
        <v>0</v>
      </c>
      <c r="DE310" s="30">
        <v>0</v>
      </c>
      <c r="DF310" s="30">
        <v>0</v>
      </c>
      <c r="DG310" s="113">
        <v>0</v>
      </c>
      <c r="DH310" s="113">
        <v>0</v>
      </c>
      <c r="DI310" s="113">
        <v>0</v>
      </c>
      <c r="DJ310" s="113">
        <v>0</v>
      </c>
      <c r="DK310" s="113">
        <v>0</v>
      </c>
      <c r="DL310" s="113">
        <v>0</v>
      </c>
      <c r="DM310" s="113">
        <v>0</v>
      </c>
      <c r="DN310" s="113">
        <v>0</v>
      </c>
      <c r="DO310" s="113">
        <v>0</v>
      </c>
      <c r="DP310" s="113">
        <v>0</v>
      </c>
      <c r="DQ310" s="113">
        <v>0</v>
      </c>
      <c r="DR310" s="113">
        <v>0</v>
      </c>
      <c r="DS310" s="113">
        <v>0</v>
      </c>
      <c r="DT310" s="113">
        <v>0</v>
      </c>
      <c r="DU310" s="113">
        <v>0</v>
      </c>
      <c r="DV310" s="113">
        <v>0</v>
      </c>
      <c r="DW310" s="113">
        <v>0</v>
      </c>
      <c r="DX310" s="113">
        <v>2</v>
      </c>
      <c r="DY310" s="113">
        <v>0</v>
      </c>
      <c r="DZ310" s="113">
        <v>0</v>
      </c>
      <c r="EA310" s="113">
        <v>531</v>
      </c>
      <c r="EB310" s="113">
        <v>0</v>
      </c>
      <c r="EC310" s="113">
        <v>0</v>
      </c>
      <c r="ED310" s="113">
        <v>0</v>
      </c>
      <c r="EE310" s="113">
        <v>0</v>
      </c>
      <c r="EF310" s="113">
        <v>0</v>
      </c>
      <c r="EG310" s="113">
        <v>638</v>
      </c>
      <c r="EH310" s="113">
        <v>0</v>
      </c>
      <c r="EI310" s="113">
        <v>0</v>
      </c>
      <c r="EJ310" s="113">
        <v>0</v>
      </c>
      <c r="EK310" s="113">
        <v>0</v>
      </c>
      <c r="EL310" s="113">
        <v>0</v>
      </c>
      <c r="EM310" s="113">
        <v>802</v>
      </c>
      <c r="EN310" s="113">
        <v>0</v>
      </c>
      <c r="EO310" s="113">
        <v>0</v>
      </c>
      <c r="EP310" s="113">
        <v>0</v>
      </c>
      <c r="EQ310" s="113">
        <v>0</v>
      </c>
      <c r="ER310" s="113">
        <v>0</v>
      </c>
      <c r="ES310" s="30">
        <v>66</v>
      </c>
      <c r="ET310" s="30">
        <v>0</v>
      </c>
      <c r="EU310" s="30">
        <v>0</v>
      </c>
      <c r="EV310" s="30">
        <v>0</v>
      </c>
      <c r="EW310" s="113">
        <v>0</v>
      </c>
      <c r="EX310" s="113">
        <v>0</v>
      </c>
      <c r="EY310" s="30">
        <v>8</v>
      </c>
      <c r="EZ310" s="30">
        <v>0</v>
      </c>
      <c r="FA310" s="30">
        <v>0</v>
      </c>
      <c r="FB310" s="30">
        <v>0</v>
      </c>
      <c r="FC310" s="30">
        <v>0</v>
      </c>
      <c r="FD310" s="30">
        <v>0</v>
      </c>
      <c r="FE310" s="30">
        <v>9</v>
      </c>
      <c r="FF310" s="30">
        <v>0</v>
      </c>
      <c r="FG310" s="30">
        <v>0</v>
      </c>
      <c r="FH310" s="30">
        <v>0</v>
      </c>
      <c r="FI310" s="113">
        <v>0</v>
      </c>
      <c r="FJ310" s="113">
        <v>0</v>
      </c>
      <c r="FK310" s="30">
        <v>2</v>
      </c>
      <c r="FL310" s="113">
        <v>0</v>
      </c>
      <c r="FM310" s="113">
        <v>0</v>
      </c>
      <c r="FN310" s="30">
        <v>6176</v>
      </c>
      <c r="FO310" s="113">
        <v>0</v>
      </c>
      <c r="FP310" s="113">
        <v>0</v>
      </c>
      <c r="FQ310" s="30">
        <v>578</v>
      </c>
      <c r="FR310" s="113">
        <v>0</v>
      </c>
      <c r="FS310" s="113">
        <v>0</v>
      </c>
      <c r="FT310" s="113">
        <v>0</v>
      </c>
      <c r="FU310" s="113">
        <v>0</v>
      </c>
      <c r="FV310" s="113">
        <v>0</v>
      </c>
      <c r="FW310" s="30">
        <v>79</v>
      </c>
      <c r="FX310" s="32">
        <v>0</v>
      </c>
      <c r="FY310" s="30">
        <v>0</v>
      </c>
      <c r="FZ310" s="30">
        <v>3</v>
      </c>
    </row>
    <row r="311" spans="1:182" x14ac:dyDescent="0.2">
      <c r="A311" s="28">
        <v>41030</v>
      </c>
      <c r="B311" s="28"/>
      <c r="C311" s="31">
        <v>283218.34999999998</v>
      </c>
      <c r="D311" s="31">
        <v>249868.08999999997</v>
      </c>
      <c r="E311" s="29">
        <f t="shared" si="8"/>
        <v>533086.43999999994</v>
      </c>
      <c r="F311" s="40">
        <v>4965919.03</v>
      </c>
      <c r="G311" s="40">
        <v>378899.51999999996</v>
      </c>
      <c r="H311" s="30">
        <f t="shared" si="9"/>
        <v>5344818.55</v>
      </c>
      <c r="I311" s="42" t="s">
        <v>75</v>
      </c>
      <c r="J311" s="42" t="s">
        <v>75</v>
      </c>
      <c r="K311" s="42">
        <v>6234209.5199999996</v>
      </c>
      <c r="L311" s="31" t="s">
        <v>75</v>
      </c>
      <c r="M311" s="31" t="s">
        <v>75</v>
      </c>
      <c r="N311" s="31">
        <v>24867655.030000001</v>
      </c>
      <c r="O311" s="31" t="s">
        <v>75</v>
      </c>
      <c r="P311" s="31" t="s">
        <v>75</v>
      </c>
      <c r="Q311" s="31">
        <v>17194576.5</v>
      </c>
      <c r="R311" s="31" t="s">
        <v>75</v>
      </c>
      <c r="S311" s="31" t="s">
        <v>75</v>
      </c>
      <c r="T311" s="31">
        <v>129967</v>
      </c>
      <c r="U311" s="31">
        <v>2800.8599999999997</v>
      </c>
      <c r="V311" s="31">
        <v>3281</v>
      </c>
      <c r="W311" s="31">
        <f t="shared" si="11"/>
        <v>6081.86</v>
      </c>
      <c r="X311" s="31">
        <v>111227.26000000001</v>
      </c>
      <c r="Y311" s="31">
        <v>15685.1</v>
      </c>
      <c r="Z311" s="30">
        <f t="shared" si="12"/>
        <v>126912.36000000002</v>
      </c>
      <c r="AA311" s="31">
        <v>181222.18</v>
      </c>
      <c r="AB311" s="31">
        <v>12928.5</v>
      </c>
      <c r="AC311" s="30">
        <f t="shared" si="13"/>
        <v>194150.68</v>
      </c>
      <c r="AD311" s="31">
        <v>5050.46</v>
      </c>
      <c r="AE311" s="31">
        <v>8689.2199999999993</v>
      </c>
      <c r="AF311" s="30">
        <f t="shared" si="14"/>
        <v>13739.68</v>
      </c>
      <c r="AG311" s="42">
        <v>34085.21</v>
      </c>
      <c r="AH311" s="42">
        <v>40627.279999999999</v>
      </c>
      <c r="AI311" s="32">
        <f t="shared" si="15"/>
        <v>74712.489999999991</v>
      </c>
      <c r="AJ311" s="31" t="s">
        <v>75</v>
      </c>
      <c r="AK311" s="31" t="s">
        <v>75</v>
      </c>
      <c r="AL311" s="31">
        <v>42526.25</v>
      </c>
      <c r="AM311" s="31"/>
      <c r="AN311" s="31"/>
      <c r="AO311" s="31"/>
      <c r="AP311" s="31"/>
      <c r="AQ311" s="31"/>
      <c r="AR311" s="31"/>
      <c r="AS311" s="31" t="s">
        <v>75</v>
      </c>
      <c r="AT311" s="31" t="s">
        <v>75</v>
      </c>
      <c r="AU311" s="35">
        <v>1813817.38</v>
      </c>
      <c r="AV311" s="31" t="s">
        <v>75</v>
      </c>
      <c r="AW311" s="31" t="s">
        <v>75</v>
      </c>
      <c r="AX311" s="36">
        <v>38951.300000000003</v>
      </c>
      <c r="AY311" s="30">
        <v>9086513.5999999996</v>
      </c>
      <c r="AZ311" s="32">
        <v>2288603.6</v>
      </c>
      <c r="BA311" s="29">
        <f t="shared" si="10"/>
        <v>11375117.199999999</v>
      </c>
      <c r="BB311" s="31" t="s">
        <v>75</v>
      </c>
      <c r="BC311" s="31" t="s">
        <v>75</v>
      </c>
      <c r="BD311" s="31">
        <v>1784033.0888888889</v>
      </c>
      <c r="BE311" s="113">
        <v>0</v>
      </c>
      <c r="BF311" s="113">
        <v>0</v>
      </c>
      <c r="BG311" s="38">
        <v>191</v>
      </c>
      <c r="BH311" s="38">
        <v>0</v>
      </c>
      <c r="BI311" s="38">
        <v>0</v>
      </c>
      <c r="BJ311" s="38">
        <v>0</v>
      </c>
      <c r="BK311" s="113">
        <v>0</v>
      </c>
      <c r="BL311" s="113">
        <v>0</v>
      </c>
      <c r="BM311" s="113">
        <v>243</v>
      </c>
      <c r="BN311" s="113">
        <v>0</v>
      </c>
      <c r="BO311" s="113">
        <v>0</v>
      </c>
      <c r="BP311" s="113">
        <v>0</v>
      </c>
      <c r="BQ311" s="113">
        <v>0</v>
      </c>
      <c r="BR311" s="113">
        <v>0</v>
      </c>
      <c r="BS311" s="113">
        <v>206</v>
      </c>
      <c r="BT311" s="113">
        <v>0</v>
      </c>
      <c r="BU311" s="113">
        <v>0</v>
      </c>
      <c r="BV311" s="113">
        <v>0</v>
      </c>
      <c r="BW311" s="113"/>
      <c r="BX311" s="113"/>
      <c r="BY311" s="113"/>
      <c r="BZ311" s="113">
        <v>0</v>
      </c>
      <c r="CA311" s="113">
        <v>0</v>
      </c>
      <c r="CB311" s="113">
        <v>320</v>
      </c>
      <c r="CC311" s="113"/>
      <c r="CD311" s="113"/>
      <c r="CE311" s="113"/>
      <c r="CF311" s="113">
        <v>0</v>
      </c>
      <c r="CG311" s="113">
        <v>0</v>
      </c>
      <c r="CH311" s="30">
        <v>14</v>
      </c>
      <c r="CI311" s="113">
        <v>0</v>
      </c>
      <c r="CJ311" s="113">
        <v>0</v>
      </c>
      <c r="CK311" s="30">
        <v>37</v>
      </c>
      <c r="CL311" s="30">
        <v>0</v>
      </c>
      <c r="CM311" s="30">
        <v>0</v>
      </c>
      <c r="CN311" s="30">
        <v>0</v>
      </c>
      <c r="CO311" s="113">
        <v>0</v>
      </c>
      <c r="CP311" s="113">
        <v>0</v>
      </c>
      <c r="CQ311" s="30">
        <v>12</v>
      </c>
      <c r="CR311" s="30">
        <v>0</v>
      </c>
      <c r="CS311" s="30">
        <v>0</v>
      </c>
      <c r="CT311" s="30">
        <v>0</v>
      </c>
      <c r="CU311" s="113">
        <v>0</v>
      </c>
      <c r="CV311" s="113">
        <v>0</v>
      </c>
      <c r="CW311" s="30">
        <v>184</v>
      </c>
      <c r="CX311" s="30">
        <v>0</v>
      </c>
      <c r="CY311" s="30">
        <v>0</v>
      </c>
      <c r="CZ311" s="30">
        <v>0</v>
      </c>
      <c r="DA311" s="113">
        <v>0</v>
      </c>
      <c r="DB311" s="113">
        <v>0</v>
      </c>
      <c r="DC311" s="113">
        <v>0</v>
      </c>
      <c r="DD311" s="113">
        <v>0</v>
      </c>
      <c r="DE311" s="113">
        <v>0</v>
      </c>
      <c r="DF311" s="113">
        <v>0</v>
      </c>
      <c r="DG311" s="113">
        <v>0</v>
      </c>
      <c r="DH311" s="113">
        <v>0</v>
      </c>
      <c r="DI311" s="113">
        <v>0</v>
      </c>
      <c r="DJ311" s="113">
        <v>0</v>
      </c>
      <c r="DK311" s="113">
        <v>0</v>
      </c>
      <c r="DL311" s="113">
        <v>0</v>
      </c>
      <c r="DM311" s="113">
        <v>0</v>
      </c>
      <c r="DN311" s="113">
        <v>0</v>
      </c>
      <c r="DO311" s="113">
        <v>0</v>
      </c>
      <c r="DP311" s="113">
        <v>0</v>
      </c>
      <c r="DQ311" s="113">
        <v>0</v>
      </c>
      <c r="DR311" s="113">
        <v>0</v>
      </c>
      <c r="DS311" s="113">
        <v>0</v>
      </c>
      <c r="DT311" s="113">
        <v>0</v>
      </c>
      <c r="DU311" s="113">
        <v>0</v>
      </c>
      <c r="DV311" s="113">
        <v>0</v>
      </c>
      <c r="DW311" s="113">
        <v>0</v>
      </c>
      <c r="DX311" s="113">
        <v>0</v>
      </c>
      <c r="DY311" s="113">
        <v>0</v>
      </c>
      <c r="DZ311" s="113">
        <v>0</v>
      </c>
      <c r="EA311" s="113">
        <v>599</v>
      </c>
      <c r="EB311" s="113">
        <v>0</v>
      </c>
      <c r="EC311" s="113">
        <v>0</v>
      </c>
      <c r="ED311" s="113">
        <v>0</v>
      </c>
      <c r="EE311" s="113">
        <v>0</v>
      </c>
      <c r="EF311" s="113">
        <v>0</v>
      </c>
      <c r="EG311" s="113">
        <v>1078</v>
      </c>
      <c r="EH311" s="113">
        <v>0</v>
      </c>
      <c r="EI311" s="113">
        <v>0</v>
      </c>
      <c r="EJ311" s="113">
        <v>0</v>
      </c>
      <c r="EK311" s="113">
        <v>0</v>
      </c>
      <c r="EL311" s="113">
        <v>0</v>
      </c>
      <c r="EM311" s="113">
        <v>982.8</v>
      </c>
      <c r="EN311" s="113">
        <v>0</v>
      </c>
      <c r="EO311" s="113">
        <v>0</v>
      </c>
      <c r="EP311" s="113">
        <v>0</v>
      </c>
      <c r="EQ311" s="113">
        <v>0</v>
      </c>
      <c r="ER311" s="113">
        <v>0</v>
      </c>
      <c r="ES311" s="30">
        <v>83</v>
      </c>
      <c r="ET311" s="30">
        <v>0</v>
      </c>
      <c r="EU311" s="30">
        <v>0</v>
      </c>
      <c r="EV311" s="30">
        <v>0</v>
      </c>
      <c r="EW311" s="113">
        <v>0</v>
      </c>
      <c r="EX311" s="113">
        <v>0</v>
      </c>
      <c r="EY311" s="30">
        <v>2</v>
      </c>
      <c r="EZ311" s="30">
        <v>0</v>
      </c>
      <c r="FA311" s="30">
        <v>0</v>
      </c>
      <c r="FB311" s="30">
        <v>0</v>
      </c>
      <c r="FC311" s="30">
        <v>0</v>
      </c>
      <c r="FD311" s="30">
        <v>0</v>
      </c>
      <c r="FE311" s="30">
        <v>31</v>
      </c>
      <c r="FF311" s="30">
        <v>0</v>
      </c>
      <c r="FG311" s="30">
        <v>0</v>
      </c>
      <c r="FH311" s="30">
        <v>0</v>
      </c>
      <c r="FI311" s="113">
        <v>0</v>
      </c>
      <c r="FJ311" s="113">
        <v>0</v>
      </c>
      <c r="FK311" s="30">
        <v>23</v>
      </c>
      <c r="FL311" s="113">
        <v>0</v>
      </c>
      <c r="FM311" s="113">
        <v>0</v>
      </c>
      <c r="FN311" s="30">
        <v>6491</v>
      </c>
      <c r="FO311" s="113">
        <v>0</v>
      </c>
      <c r="FP311" s="113">
        <v>0</v>
      </c>
      <c r="FQ311" s="30">
        <v>746</v>
      </c>
      <c r="FR311" s="113">
        <v>0</v>
      </c>
      <c r="FS311" s="113">
        <v>0</v>
      </c>
      <c r="FT311" s="113">
        <v>0</v>
      </c>
      <c r="FU311" s="113">
        <v>0</v>
      </c>
      <c r="FV311" s="113">
        <v>0</v>
      </c>
      <c r="FW311" s="30">
        <v>48</v>
      </c>
      <c r="FX311" s="32">
        <v>0</v>
      </c>
      <c r="FY311" s="30">
        <v>0</v>
      </c>
      <c r="FZ311" s="30">
        <v>3</v>
      </c>
    </row>
    <row r="312" spans="1:182" x14ac:dyDescent="0.2">
      <c r="A312" s="28">
        <v>41061</v>
      </c>
      <c r="B312" s="28"/>
      <c r="C312" s="31">
        <v>328819.7</v>
      </c>
      <c r="D312" s="31">
        <v>365934.07</v>
      </c>
      <c r="E312" s="29">
        <f t="shared" si="8"/>
        <v>694753.77</v>
      </c>
      <c r="F312" s="40">
        <v>5050564.01</v>
      </c>
      <c r="G312" s="40">
        <v>361042.71000000008</v>
      </c>
      <c r="H312" s="30">
        <f t="shared" si="9"/>
        <v>5411606.7199999997</v>
      </c>
      <c r="I312" s="42" t="s">
        <v>75</v>
      </c>
      <c r="J312" s="42" t="s">
        <v>75</v>
      </c>
      <c r="K312" s="42">
        <v>5382947.959999999</v>
      </c>
      <c r="L312" s="31" t="s">
        <v>75</v>
      </c>
      <c r="M312" s="31" t="s">
        <v>75</v>
      </c>
      <c r="N312" s="31">
        <v>21524658.27</v>
      </c>
      <c r="O312" s="31" t="s">
        <v>75</v>
      </c>
      <c r="P312" s="31" t="s">
        <v>75</v>
      </c>
      <c r="Q312" s="31">
        <v>14104542.5</v>
      </c>
      <c r="R312" s="31" t="s">
        <v>75</v>
      </c>
      <c r="S312" s="31" t="s">
        <v>75</v>
      </c>
      <c r="T312" s="31">
        <v>171616</v>
      </c>
      <c r="U312" s="31">
        <v>2654.5</v>
      </c>
      <c r="V312" s="31">
        <v>1900.0100000000002</v>
      </c>
      <c r="W312" s="31">
        <f t="shared" si="11"/>
        <v>4554.51</v>
      </c>
      <c r="X312" s="31">
        <v>46947.35</v>
      </c>
      <c r="Y312" s="31">
        <v>13574.849999999999</v>
      </c>
      <c r="Z312" s="30">
        <f t="shared" si="12"/>
        <v>60522.2</v>
      </c>
      <c r="AA312" s="31">
        <v>202680.05000000002</v>
      </c>
      <c r="AB312" s="31">
        <v>13236.68</v>
      </c>
      <c r="AC312" s="30">
        <f t="shared" si="13"/>
        <v>215916.73</v>
      </c>
      <c r="AD312" s="31">
        <v>6676.26</v>
      </c>
      <c r="AE312" s="31">
        <v>9859.6299999999992</v>
      </c>
      <c r="AF312" s="30">
        <f t="shared" si="14"/>
        <v>16535.89</v>
      </c>
      <c r="AG312" s="42">
        <v>31994.84</v>
      </c>
      <c r="AH312" s="42">
        <v>43173.160000000011</v>
      </c>
      <c r="AI312" s="32">
        <f t="shared" si="15"/>
        <v>75168.000000000015</v>
      </c>
      <c r="AJ312" s="31" t="s">
        <v>75</v>
      </c>
      <c r="AK312" s="31" t="s">
        <v>75</v>
      </c>
      <c r="AL312" s="31">
        <v>55796.25</v>
      </c>
      <c r="AM312" s="31"/>
      <c r="AN312" s="31"/>
      <c r="AO312" s="31"/>
      <c r="AP312" s="31"/>
      <c r="AQ312" s="31"/>
      <c r="AR312" s="31"/>
      <c r="AS312" s="31" t="s">
        <v>75</v>
      </c>
      <c r="AT312" s="31" t="s">
        <v>75</v>
      </c>
      <c r="AU312" s="35">
        <v>1677550.02</v>
      </c>
      <c r="AV312" s="31" t="s">
        <v>75</v>
      </c>
      <c r="AW312" s="31" t="s">
        <v>75</v>
      </c>
      <c r="AX312" s="36">
        <v>46170.02</v>
      </c>
      <c r="AY312" s="30">
        <v>6946545.4000000004</v>
      </c>
      <c r="AZ312" s="32">
        <v>691340.5</v>
      </c>
      <c r="BA312" s="29">
        <f t="shared" si="10"/>
        <v>7637885.9000000004</v>
      </c>
      <c r="BB312" s="31" t="s">
        <v>75</v>
      </c>
      <c r="BC312" s="31" t="s">
        <v>75</v>
      </c>
      <c r="BD312" s="31">
        <v>1413728.6444444444</v>
      </c>
      <c r="BE312" s="113">
        <v>0</v>
      </c>
      <c r="BF312" s="113">
        <v>0</v>
      </c>
      <c r="BG312" s="38">
        <v>193</v>
      </c>
      <c r="BH312" s="38">
        <v>0</v>
      </c>
      <c r="BI312" s="38">
        <v>0</v>
      </c>
      <c r="BJ312" s="38">
        <v>0</v>
      </c>
      <c r="BK312" s="113">
        <v>0</v>
      </c>
      <c r="BL312" s="113">
        <v>0</v>
      </c>
      <c r="BM312" s="113">
        <v>228</v>
      </c>
      <c r="BN312" s="113">
        <v>0</v>
      </c>
      <c r="BO312" s="113">
        <v>0</v>
      </c>
      <c r="BP312" s="113">
        <v>0</v>
      </c>
      <c r="BQ312" s="113">
        <v>0</v>
      </c>
      <c r="BR312" s="113">
        <v>0</v>
      </c>
      <c r="BS312" s="113">
        <v>293</v>
      </c>
      <c r="BT312" s="113">
        <v>0</v>
      </c>
      <c r="BU312" s="113">
        <v>0</v>
      </c>
      <c r="BV312" s="113">
        <v>0</v>
      </c>
      <c r="BW312" s="113"/>
      <c r="BX312" s="113"/>
      <c r="BY312" s="113"/>
      <c r="BZ312" s="113">
        <v>0</v>
      </c>
      <c r="CA312" s="113">
        <v>0</v>
      </c>
      <c r="CB312" s="113">
        <v>360</v>
      </c>
      <c r="CC312" s="113"/>
      <c r="CD312" s="113"/>
      <c r="CE312" s="113"/>
      <c r="CF312" s="113">
        <v>0</v>
      </c>
      <c r="CG312" s="113">
        <v>0</v>
      </c>
      <c r="CH312" s="30">
        <v>10</v>
      </c>
      <c r="CI312" s="113">
        <v>0</v>
      </c>
      <c r="CJ312" s="113">
        <v>0</v>
      </c>
      <c r="CK312" s="30">
        <v>42</v>
      </c>
      <c r="CL312" s="30">
        <v>0</v>
      </c>
      <c r="CM312" s="30">
        <v>0</v>
      </c>
      <c r="CN312" s="30">
        <v>0</v>
      </c>
      <c r="CO312" s="113">
        <v>0</v>
      </c>
      <c r="CP312" s="113">
        <v>0</v>
      </c>
      <c r="CQ312" s="30">
        <v>8</v>
      </c>
      <c r="CR312" s="30">
        <v>0</v>
      </c>
      <c r="CS312" s="30">
        <v>0</v>
      </c>
      <c r="CT312" s="30">
        <v>0</v>
      </c>
      <c r="CU312" s="113">
        <v>0</v>
      </c>
      <c r="CV312" s="113">
        <v>0</v>
      </c>
      <c r="CW312" s="30">
        <v>207</v>
      </c>
      <c r="CX312" s="30">
        <v>0</v>
      </c>
      <c r="CY312" s="30">
        <v>0</v>
      </c>
      <c r="CZ312" s="30">
        <v>0</v>
      </c>
      <c r="DA312" s="113">
        <v>0</v>
      </c>
      <c r="DB312" s="113">
        <v>0</v>
      </c>
      <c r="DC312" s="113">
        <v>1</v>
      </c>
      <c r="DD312" s="113">
        <v>0</v>
      </c>
      <c r="DE312" s="113">
        <v>0</v>
      </c>
      <c r="DF312" s="113">
        <v>0</v>
      </c>
      <c r="DG312" s="113">
        <v>0</v>
      </c>
      <c r="DH312" s="113">
        <v>0</v>
      </c>
      <c r="DI312" s="113">
        <v>1</v>
      </c>
      <c r="DJ312" s="113">
        <v>0</v>
      </c>
      <c r="DK312" s="113">
        <v>0</v>
      </c>
      <c r="DL312" s="113">
        <v>0</v>
      </c>
      <c r="DM312" s="113">
        <v>0</v>
      </c>
      <c r="DN312" s="113">
        <v>0</v>
      </c>
      <c r="DO312" s="113">
        <v>0</v>
      </c>
      <c r="DP312" s="113">
        <v>0</v>
      </c>
      <c r="DQ312" s="113">
        <v>0</v>
      </c>
      <c r="DR312" s="113">
        <v>0</v>
      </c>
      <c r="DS312" s="113">
        <v>0</v>
      </c>
      <c r="DT312" s="113">
        <v>0</v>
      </c>
      <c r="DU312" s="113">
        <v>0</v>
      </c>
      <c r="DV312" s="113">
        <v>0</v>
      </c>
      <c r="DW312" s="113">
        <v>0</v>
      </c>
      <c r="DX312" s="113">
        <v>0</v>
      </c>
      <c r="DY312" s="113">
        <v>0</v>
      </c>
      <c r="DZ312" s="113">
        <v>0</v>
      </c>
      <c r="EA312" s="113">
        <v>868</v>
      </c>
      <c r="EB312" s="113">
        <v>0</v>
      </c>
      <c r="EC312" s="113">
        <v>0</v>
      </c>
      <c r="ED312" s="113">
        <v>0</v>
      </c>
      <c r="EE312" s="113">
        <v>0</v>
      </c>
      <c r="EF312" s="113">
        <v>0</v>
      </c>
      <c r="EG312" s="113">
        <v>791</v>
      </c>
      <c r="EH312" s="113">
        <v>0</v>
      </c>
      <c r="EI312" s="113">
        <v>0</v>
      </c>
      <c r="EJ312" s="113">
        <v>0</v>
      </c>
      <c r="EK312" s="113">
        <v>0</v>
      </c>
      <c r="EL312" s="113">
        <v>0</v>
      </c>
      <c r="EM312" s="113">
        <v>842</v>
      </c>
      <c r="EN312" s="113">
        <v>0</v>
      </c>
      <c r="EO312" s="113">
        <v>0</v>
      </c>
      <c r="EP312" s="113">
        <v>0</v>
      </c>
      <c r="EQ312" s="113">
        <v>0</v>
      </c>
      <c r="ER312" s="113">
        <v>0</v>
      </c>
      <c r="ES312" s="30">
        <v>63</v>
      </c>
      <c r="ET312" s="30">
        <v>0</v>
      </c>
      <c r="EU312" s="30">
        <v>0</v>
      </c>
      <c r="EV312" s="30">
        <v>0</v>
      </c>
      <c r="EW312" s="113">
        <v>0</v>
      </c>
      <c r="EX312" s="113">
        <v>0</v>
      </c>
      <c r="EY312" s="30">
        <v>6</v>
      </c>
      <c r="EZ312" s="30">
        <v>0</v>
      </c>
      <c r="FA312" s="30">
        <v>0</v>
      </c>
      <c r="FB312" s="30">
        <v>0</v>
      </c>
      <c r="FC312" s="30">
        <v>0</v>
      </c>
      <c r="FD312" s="30">
        <v>0</v>
      </c>
      <c r="FE312" s="30">
        <v>15</v>
      </c>
      <c r="FF312" s="30">
        <v>0</v>
      </c>
      <c r="FG312" s="30">
        <v>0</v>
      </c>
      <c r="FH312" s="30">
        <v>0</v>
      </c>
      <c r="FI312" s="113">
        <v>0</v>
      </c>
      <c r="FJ312" s="113">
        <v>0</v>
      </c>
      <c r="FK312" s="30">
        <v>2</v>
      </c>
      <c r="FL312" s="113">
        <v>0</v>
      </c>
      <c r="FM312" s="113">
        <v>0</v>
      </c>
      <c r="FN312" s="30">
        <v>5300</v>
      </c>
      <c r="FO312" s="113">
        <v>0</v>
      </c>
      <c r="FP312" s="113">
        <v>0</v>
      </c>
      <c r="FQ312" s="30">
        <v>641</v>
      </c>
      <c r="FR312" s="113">
        <v>0</v>
      </c>
      <c r="FS312" s="113">
        <v>0</v>
      </c>
      <c r="FT312" s="113">
        <v>0</v>
      </c>
      <c r="FU312" s="113">
        <v>0</v>
      </c>
      <c r="FV312" s="113">
        <v>0</v>
      </c>
      <c r="FW312" s="30">
        <v>295</v>
      </c>
      <c r="FX312" s="32">
        <v>0</v>
      </c>
      <c r="FY312" s="30">
        <v>0</v>
      </c>
      <c r="FZ312" s="30">
        <v>1</v>
      </c>
    </row>
    <row r="313" spans="1:182" x14ac:dyDescent="0.2">
      <c r="A313" s="28">
        <v>41091</v>
      </c>
      <c r="B313" s="28"/>
      <c r="C313" s="31">
        <v>315699.79000000004</v>
      </c>
      <c r="D313" s="31">
        <v>227169.16000000003</v>
      </c>
      <c r="E313" s="29">
        <f t="shared" si="8"/>
        <v>542868.95000000007</v>
      </c>
      <c r="F313" s="40">
        <v>4634081.99</v>
      </c>
      <c r="G313" s="40">
        <v>331158.68999999994</v>
      </c>
      <c r="H313" s="30">
        <f t="shared" si="9"/>
        <v>4965240.68</v>
      </c>
      <c r="I313" s="42" t="s">
        <v>75</v>
      </c>
      <c r="J313" s="42" t="s">
        <v>75</v>
      </c>
      <c r="K313" s="42">
        <v>6010571.4399999995</v>
      </c>
      <c r="L313" s="31" t="s">
        <v>75</v>
      </c>
      <c r="M313" s="31" t="s">
        <v>75</v>
      </c>
      <c r="N313" s="31">
        <v>22771018.029999997</v>
      </c>
      <c r="O313" s="31" t="s">
        <v>75</v>
      </c>
      <c r="P313" s="31" t="s">
        <v>75</v>
      </c>
      <c r="Q313" s="31">
        <v>15760299</v>
      </c>
      <c r="R313" s="31" t="s">
        <v>75</v>
      </c>
      <c r="S313" s="31" t="s">
        <v>75</v>
      </c>
      <c r="T313" s="31">
        <v>169694.19999999998</v>
      </c>
      <c r="U313" s="31">
        <v>2455.3100000000004</v>
      </c>
      <c r="V313" s="31">
        <v>3053.16</v>
      </c>
      <c r="W313" s="31">
        <f t="shared" si="11"/>
        <v>5508.47</v>
      </c>
      <c r="X313" s="31">
        <v>62479.020000000004</v>
      </c>
      <c r="Y313" s="31">
        <v>9698</v>
      </c>
      <c r="Z313" s="30">
        <f t="shared" si="12"/>
        <v>72177.02</v>
      </c>
      <c r="AA313" s="31">
        <v>186174.85999999996</v>
      </c>
      <c r="AB313" s="31">
        <v>18265.649999999998</v>
      </c>
      <c r="AC313" s="30">
        <f t="shared" si="13"/>
        <v>204440.50999999995</v>
      </c>
      <c r="AD313" s="31">
        <v>4049.59</v>
      </c>
      <c r="AE313" s="31">
        <v>6201.420000000001</v>
      </c>
      <c r="AF313" s="30">
        <f t="shared" si="14"/>
        <v>10251.010000000002</v>
      </c>
      <c r="AG313" s="42">
        <v>33591.99</v>
      </c>
      <c r="AH313" s="42">
        <v>37141.569999999992</v>
      </c>
      <c r="AI313" s="32">
        <f t="shared" si="15"/>
        <v>70733.56</v>
      </c>
      <c r="AJ313" s="31" t="s">
        <v>75</v>
      </c>
      <c r="AK313" s="31" t="s">
        <v>75</v>
      </c>
      <c r="AL313" s="31">
        <v>25528.75</v>
      </c>
      <c r="AM313" s="31"/>
      <c r="AN313" s="31"/>
      <c r="AO313" s="31"/>
      <c r="AP313" s="31"/>
      <c r="AQ313" s="31"/>
      <c r="AR313" s="31"/>
      <c r="AS313" s="31" t="s">
        <v>75</v>
      </c>
      <c r="AT313" s="31" t="s">
        <v>75</v>
      </c>
      <c r="AU313" s="35">
        <v>1648172.15</v>
      </c>
      <c r="AV313" s="31" t="s">
        <v>75</v>
      </c>
      <c r="AW313" s="31" t="s">
        <v>75</v>
      </c>
      <c r="AX313" s="36">
        <v>38205.61</v>
      </c>
      <c r="AY313" s="30">
        <v>7840416</v>
      </c>
      <c r="AZ313" s="32">
        <v>1394955.5</v>
      </c>
      <c r="BA313" s="29">
        <f t="shared" si="10"/>
        <v>9235371.5</v>
      </c>
      <c r="BB313" s="31" t="s">
        <v>75</v>
      </c>
      <c r="BC313" s="31" t="s">
        <v>75</v>
      </c>
      <c r="BD313" s="31">
        <v>1577743.4888888889</v>
      </c>
      <c r="BE313" s="113">
        <v>0</v>
      </c>
      <c r="BF313" s="113">
        <v>0</v>
      </c>
      <c r="BG313" s="38">
        <v>158</v>
      </c>
      <c r="BH313" s="38">
        <v>0</v>
      </c>
      <c r="BI313" s="38">
        <v>0</v>
      </c>
      <c r="BJ313" s="38">
        <v>0</v>
      </c>
      <c r="BK313" s="113">
        <v>0</v>
      </c>
      <c r="BL313" s="113">
        <v>0</v>
      </c>
      <c r="BM313" s="113">
        <v>253</v>
      </c>
      <c r="BN313" s="113">
        <v>0</v>
      </c>
      <c r="BO313" s="113">
        <v>0</v>
      </c>
      <c r="BP313" s="113">
        <v>0</v>
      </c>
      <c r="BQ313" s="113">
        <v>0</v>
      </c>
      <c r="BR313" s="113">
        <v>0</v>
      </c>
      <c r="BS313" s="113">
        <v>243</v>
      </c>
      <c r="BT313" s="113">
        <v>0</v>
      </c>
      <c r="BU313" s="113">
        <v>0</v>
      </c>
      <c r="BV313" s="113">
        <v>0</v>
      </c>
      <c r="BW313" s="113"/>
      <c r="BX313" s="113"/>
      <c r="BY313" s="113"/>
      <c r="BZ313" s="113">
        <v>0</v>
      </c>
      <c r="CA313" s="113">
        <v>0</v>
      </c>
      <c r="CB313" s="113">
        <v>330</v>
      </c>
      <c r="CC313" s="113"/>
      <c r="CD313" s="113"/>
      <c r="CE313" s="113"/>
      <c r="CF313" s="113">
        <v>0</v>
      </c>
      <c r="CG313" s="113">
        <v>0</v>
      </c>
      <c r="CH313" s="30">
        <v>5</v>
      </c>
      <c r="CI313" s="113">
        <v>0</v>
      </c>
      <c r="CJ313" s="113">
        <v>0</v>
      </c>
      <c r="CK313" s="30">
        <v>21</v>
      </c>
      <c r="CL313" s="30">
        <v>0</v>
      </c>
      <c r="CM313" s="30">
        <v>0</v>
      </c>
      <c r="CN313" s="30">
        <v>0</v>
      </c>
      <c r="CO313" s="113">
        <v>0</v>
      </c>
      <c r="CP313" s="113">
        <v>0</v>
      </c>
      <c r="CQ313" s="30">
        <v>12</v>
      </c>
      <c r="CR313" s="30">
        <v>0</v>
      </c>
      <c r="CS313" s="30">
        <v>0</v>
      </c>
      <c r="CT313" s="30">
        <v>0</v>
      </c>
      <c r="CU313" s="113">
        <v>0</v>
      </c>
      <c r="CV313" s="113">
        <v>0</v>
      </c>
      <c r="CW313" s="30">
        <v>190</v>
      </c>
      <c r="CX313" s="30">
        <v>0</v>
      </c>
      <c r="CY313" s="30">
        <v>0</v>
      </c>
      <c r="CZ313" s="30">
        <v>0</v>
      </c>
      <c r="DA313" s="113">
        <v>0</v>
      </c>
      <c r="DB313" s="113">
        <v>0</v>
      </c>
      <c r="DC313" s="113">
        <v>0</v>
      </c>
      <c r="DD313" s="113">
        <v>0</v>
      </c>
      <c r="DE313" s="113">
        <v>0</v>
      </c>
      <c r="DF313" s="113">
        <v>0</v>
      </c>
      <c r="DG313" s="113">
        <v>0</v>
      </c>
      <c r="DH313" s="113">
        <v>0</v>
      </c>
      <c r="DI313" s="113">
        <v>0</v>
      </c>
      <c r="DJ313" s="113">
        <v>0</v>
      </c>
      <c r="DK313" s="113">
        <v>0</v>
      </c>
      <c r="DL313" s="113">
        <v>0</v>
      </c>
      <c r="DM313" s="113">
        <v>0</v>
      </c>
      <c r="DN313" s="113">
        <v>0</v>
      </c>
      <c r="DO313" s="113">
        <v>0</v>
      </c>
      <c r="DP313" s="113">
        <v>0</v>
      </c>
      <c r="DQ313" s="113">
        <v>0</v>
      </c>
      <c r="DR313" s="113">
        <v>0</v>
      </c>
      <c r="DS313" s="113">
        <v>0</v>
      </c>
      <c r="DT313" s="113">
        <v>0</v>
      </c>
      <c r="DU313" s="113">
        <v>0</v>
      </c>
      <c r="DV313" s="113">
        <v>0</v>
      </c>
      <c r="DW313" s="113">
        <v>0</v>
      </c>
      <c r="DX313" s="113">
        <v>0</v>
      </c>
      <c r="DY313" s="113">
        <v>0</v>
      </c>
      <c r="DZ313" s="113">
        <v>0</v>
      </c>
      <c r="EA313" s="113">
        <v>608</v>
      </c>
      <c r="EB313" s="113">
        <v>0</v>
      </c>
      <c r="EC313" s="113">
        <v>0</v>
      </c>
      <c r="ED313" s="113">
        <v>0</v>
      </c>
      <c r="EE313" s="113">
        <v>0</v>
      </c>
      <c r="EF313" s="113">
        <v>0</v>
      </c>
      <c r="EG313" s="113">
        <v>913</v>
      </c>
      <c r="EH313" s="113">
        <v>0</v>
      </c>
      <c r="EI313" s="113">
        <v>0</v>
      </c>
      <c r="EJ313" s="113">
        <v>1</v>
      </c>
      <c r="EK313" s="113">
        <v>0</v>
      </c>
      <c r="EL313" s="113">
        <v>0</v>
      </c>
      <c r="EM313" s="113">
        <v>888</v>
      </c>
      <c r="EN313" s="113">
        <v>0</v>
      </c>
      <c r="EO313" s="113">
        <v>0</v>
      </c>
      <c r="EP313" s="113">
        <v>0</v>
      </c>
      <c r="EQ313" s="113">
        <v>0</v>
      </c>
      <c r="ER313" s="113">
        <v>0</v>
      </c>
      <c r="ES313" s="30">
        <v>49</v>
      </c>
      <c r="ET313" s="30">
        <v>0</v>
      </c>
      <c r="EU313" s="30">
        <v>0</v>
      </c>
      <c r="EV313" s="30">
        <v>0</v>
      </c>
      <c r="EW313" s="113">
        <v>0</v>
      </c>
      <c r="EX313" s="113">
        <v>0</v>
      </c>
      <c r="EY313" s="30">
        <v>2</v>
      </c>
      <c r="EZ313" s="30">
        <v>0</v>
      </c>
      <c r="FA313" s="30">
        <v>0</v>
      </c>
      <c r="FB313" s="30">
        <v>0</v>
      </c>
      <c r="FC313" s="30">
        <v>0</v>
      </c>
      <c r="FD313" s="30">
        <v>0</v>
      </c>
      <c r="FE313" s="30">
        <v>15</v>
      </c>
      <c r="FF313" s="30">
        <v>0</v>
      </c>
      <c r="FG313" s="30">
        <v>0</v>
      </c>
      <c r="FH313" s="30">
        <v>0</v>
      </c>
      <c r="FI313" s="113">
        <v>0</v>
      </c>
      <c r="FJ313" s="113">
        <v>0</v>
      </c>
      <c r="FK313" s="30">
        <v>1</v>
      </c>
      <c r="FL313" s="113">
        <v>0</v>
      </c>
      <c r="FM313" s="113">
        <v>0</v>
      </c>
      <c r="FN313" s="30">
        <v>5483</v>
      </c>
      <c r="FO313" s="113">
        <v>0</v>
      </c>
      <c r="FP313" s="113">
        <v>0</v>
      </c>
      <c r="FQ313" s="30">
        <v>621</v>
      </c>
      <c r="FR313" s="113">
        <v>0</v>
      </c>
      <c r="FS313" s="113">
        <v>0</v>
      </c>
      <c r="FT313" s="113">
        <v>0</v>
      </c>
      <c r="FU313" s="113">
        <v>0</v>
      </c>
      <c r="FV313" s="113">
        <v>0</v>
      </c>
      <c r="FW313" s="30">
        <v>59</v>
      </c>
      <c r="FX313" s="32">
        <v>0</v>
      </c>
      <c r="FY313" s="30">
        <v>0</v>
      </c>
      <c r="FZ313" s="30">
        <v>0</v>
      </c>
    </row>
    <row r="314" spans="1:182" x14ac:dyDescent="0.2">
      <c r="A314" s="28">
        <v>41122</v>
      </c>
      <c r="B314" s="28"/>
      <c r="C314" s="31">
        <v>223510.96000000002</v>
      </c>
      <c r="D314" s="31">
        <v>247547.07</v>
      </c>
      <c r="E314" s="29">
        <f t="shared" si="8"/>
        <v>471058.03</v>
      </c>
      <c r="F314" s="40">
        <v>5227082.2699999996</v>
      </c>
      <c r="G314" s="40">
        <v>496963.31000000006</v>
      </c>
      <c r="H314" s="30">
        <f t="shared" si="9"/>
        <v>5724045.5800000001</v>
      </c>
      <c r="I314" s="42" t="s">
        <v>75</v>
      </c>
      <c r="J314" s="42" t="s">
        <v>75</v>
      </c>
      <c r="K314" s="42">
        <v>6922508.8200000003</v>
      </c>
      <c r="L314" s="31" t="s">
        <v>75</v>
      </c>
      <c r="M314" s="31" t="s">
        <v>75</v>
      </c>
      <c r="N314" s="31">
        <v>25200609.120000001</v>
      </c>
      <c r="O314" s="31" t="s">
        <v>75</v>
      </c>
      <c r="P314" s="31" t="s">
        <v>75</v>
      </c>
      <c r="Q314" s="31">
        <v>18105543</v>
      </c>
      <c r="R314" s="31" t="s">
        <v>75</v>
      </c>
      <c r="S314" s="31" t="s">
        <v>75</v>
      </c>
      <c r="T314" s="31">
        <v>137599.34</v>
      </c>
      <c r="U314" s="31">
        <v>5474.4</v>
      </c>
      <c r="V314" s="31">
        <v>2129.37</v>
      </c>
      <c r="W314" s="31">
        <f t="shared" si="11"/>
        <v>7603.7699999999995</v>
      </c>
      <c r="X314" s="31">
        <v>66853.26999999999</v>
      </c>
      <c r="Y314" s="31">
        <v>1706</v>
      </c>
      <c r="Z314" s="30">
        <f t="shared" si="12"/>
        <v>68559.26999999999</v>
      </c>
      <c r="AA314" s="31">
        <v>134634.45000000001</v>
      </c>
      <c r="AB314" s="31">
        <v>16274.53</v>
      </c>
      <c r="AC314" s="30">
        <f t="shared" si="13"/>
        <v>150908.98000000001</v>
      </c>
      <c r="AD314" s="31">
        <v>7073.4000000000005</v>
      </c>
      <c r="AE314" s="31">
        <v>11395.67</v>
      </c>
      <c r="AF314" s="30">
        <f t="shared" si="14"/>
        <v>18469.07</v>
      </c>
      <c r="AG314" s="42">
        <v>36212.619999999995</v>
      </c>
      <c r="AH314" s="42">
        <v>46292.439999999995</v>
      </c>
      <c r="AI314" s="32">
        <f t="shared" si="15"/>
        <v>82505.06</v>
      </c>
      <c r="AJ314" s="31" t="s">
        <v>75</v>
      </c>
      <c r="AK314" s="31" t="s">
        <v>75</v>
      </c>
      <c r="AL314" s="31">
        <v>36740</v>
      </c>
      <c r="AM314" s="31"/>
      <c r="AN314" s="31"/>
      <c r="AO314" s="31"/>
      <c r="AP314" s="31"/>
      <c r="AQ314" s="31"/>
      <c r="AR314" s="31"/>
      <c r="AS314" s="31" t="s">
        <v>75</v>
      </c>
      <c r="AT314" s="31" t="s">
        <v>75</v>
      </c>
      <c r="AU314" s="35">
        <v>1533874.22</v>
      </c>
      <c r="AV314" s="31" t="s">
        <v>75</v>
      </c>
      <c r="AW314" s="31" t="s">
        <v>75</v>
      </c>
      <c r="AX314" s="36">
        <v>46899.37</v>
      </c>
      <c r="AY314" s="30">
        <v>7402383.5999999996</v>
      </c>
      <c r="AZ314" s="32">
        <v>1792934.5</v>
      </c>
      <c r="BA314" s="29">
        <f t="shared" si="10"/>
        <v>9195318.0999999996</v>
      </c>
      <c r="BB314" s="31" t="s">
        <v>75</v>
      </c>
      <c r="BC314" s="31" t="s">
        <v>75</v>
      </c>
      <c r="BD314" s="31">
        <v>1537221.0222222223</v>
      </c>
      <c r="BE314" s="113">
        <v>0</v>
      </c>
      <c r="BF314" s="113">
        <v>0</v>
      </c>
      <c r="BG314" s="113">
        <v>122</v>
      </c>
      <c r="BH314" s="113">
        <v>0</v>
      </c>
      <c r="BI314" s="113">
        <v>0</v>
      </c>
      <c r="BJ314" s="113">
        <v>0</v>
      </c>
      <c r="BK314" s="113">
        <v>0</v>
      </c>
      <c r="BL314" s="113">
        <v>0</v>
      </c>
      <c r="BM314" s="113">
        <v>156</v>
      </c>
      <c r="BN314" s="113">
        <v>0</v>
      </c>
      <c r="BO314" s="113">
        <v>0</v>
      </c>
      <c r="BP314" s="113">
        <v>0</v>
      </c>
      <c r="BQ314" s="113">
        <v>0</v>
      </c>
      <c r="BR314" s="113">
        <v>0</v>
      </c>
      <c r="BS314" s="113">
        <v>142</v>
      </c>
      <c r="BT314" s="113">
        <v>0</v>
      </c>
      <c r="BU314" s="113">
        <v>0</v>
      </c>
      <c r="BV314" s="113">
        <v>0</v>
      </c>
      <c r="BW314" s="113"/>
      <c r="BX314" s="113"/>
      <c r="BY314" s="113"/>
      <c r="BZ314" s="113">
        <v>0</v>
      </c>
      <c r="CA314" s="113">
        <v>0</v>
      </c>
      <c r="CB314" s="113">
        <v>375</v>
      </c>
      <c r="CC314" s="113"/>
      <c r="CD314" s="113"/>
      <c r="CE314" s="113"/>
      <c r="CF314" s="113">
        <v>0</v>
      </c>
      <c r="CG314" s="113">
        <v>0</v>
      </c>
      <c r="CH314" s="30">
        <v>15</v>
      </c>
      <c r="CI314" s="113">
        <v>0</v>
      </c>
      <c r="CJ314" s="113">
        <v>0</v>
      </c>
      <c r="CK314" s="30">
        <v>37</v>
      </c>
      <c r="CL314" s="30">
        <v>0</v>
      </c>
      <c r="CM314" s="30">
        <v>0</v>
      </c>
      <c r="CN314" s="30">
        <v>0</v>
      </c>
      <c r="CO314" s="113">
        <v>0</v>
      </c>
      <c r="CP314" s="113">
        <v>0</v>
      </c>
      <c r="CQ314" s="113">
        <v>23</v>
      </c>
      <c r="CR314" s="113">
        <v>0</v>
      </c>
      <c r="CS314" s="113">
        <v>0</v>
      </c>
      <c r="CT314" s="113">
        <v>0</v>
      </c>
      <c r="CU314" s="113">
        <v>0</v>
      </c>
      <c r="CV314" s="113">
        <v>0</v>
      </c>
      <c r="CW314" s="113">
        <v>148</v>
      </c>
      <c r="CX314" s="113">
        <v>0</v>
      </c>
      <c r="CY314" s="113">
        <v>0</v>
      </c>
      <c r="CZ314" s="113">
        <v>0</v>
      </c>
      <c r="DA314" s="113">
        <v>0</v>
      </c>
      <c r="DB314" s="113">
        <v>0</v>
      </c>
      <c r="DC314" s="113">
        <v>1</v>
      </c>
      <c r="DD314" s="113">
        <v>0</v>
      </c>
      <c r="DE314" s="113">
        <v>0</v>
      </c>
      <c r="DF314" s="113">
        <v>0</v>
      </c>
      <c r="DG314" s="113">
        <v>0</v>
      </c>
      <c r="DH314" s="113">
        <v>0</v>
      </c>
      <c r="DI314" s="113">
        <v>0</v>
      </c>
      <c r="DJ314" s="113">
        <v>0</v>
      </c>
      <c r="DK314" s="113">
        <v>0</v>
      </c>
      <c r="DL314" s="113">
        <v>0</v>
      </c>
      <c r="DM314" s="113">
        <v>0</v>
      </c>
      <c r="DN314" s="113">
        <v>0</v>
      </c>
      <c r="DO314" s="113">
        <v>0</v>
      </c>
      <c r="DP314" s="113">
        <v>0</v>
      </c>
      <c r="DQ314" s="113">
        <v>0</v>
      </c>
      <c r="DR314" s="113">
        <v>0</v>
      </c>
      <c r="DS314" s="113">
        <v>0</v>
      </c>
      <c r="DT314" s="113">
        <v>0</v>
      </c>
      <c r="DU314" s="113">
        <v>0</v>
      </c>
      <c r="DV314" s="113">
        <v>0</v>
      </c>
      <c r="DW314" s="113">
        <v>0</v>
      </c>
      <c r="DX314" s="113">
        <v>0</v>
      </c>
      <c r="DY314" s="113">
        <v>0</v>
      </c>
      <c r="DZ314" s="113">
        <v>0</v>
      </c>
      <c r="EA314" s="113">
        <v>930</v>
      </c>
      <c r="EB314" s="113">
        <v>0</v>
      </c>
      <c r="EC314" s="113">
        <v>0</v>
      </c>
      <c r="ED314" s="113">
        <v>0</v>
      </c>
      <c r="EE314" s="113">
        <v>0</v>
      </c>
      <c r="EF314" s="113">
        <v>0</v>
      </c>
      <c r="EG314" s="113">
        <v>1011</v>
      </c>
      <c r="EH314" s="113">
        <v>0</v>
      </c>
      <c r="EI314" s="113">
        <v>0</v>
      </c>
      <c r="EJ314" s="113">
        <v>0</v>
      </c>
      <c r="EK314" s="113">
        <v>0</v>
      </c>
      <c r="EL314" s="113">
        <v>0</v>
      </c>
      <c r="EM314" s="113">
        <v>951</v>
      </c>
      <c r="EN314" s="113">
        <v>0</v>
      </c>
      <c r="EO314" s="113">
        <v>0</v>
      </c>
      <c r="EP314" s="113">
        <v>1</v>
      </c>
      <c r="EQ314" s="113">
        <v>0</v>
      </c>
      <c r="ER314" s="113">
        <v>0</v>
      </c>
      <c r="ES314" s="113">
        <v>142</v>
      </c>
      <c r="ET314" s="113">
        <v>0</v>
      </c>
      <c r="EU314" s="113">
        <v>0</v>
      </c>
      <c r="EV314" s="113">
        <v>1</v>
      </c>
      <c r="EW314" s="113">
        <v>0</v>
      </c>
      <c r="EX314" s="113">
        <v>0</v>
      </c>
      <c r="EY314" s="113">
        <v>7</v>
      </c>
      <c r="EZ314" s="113">
        <v>0</v>
      </c>
      <c r="FA314" s="113">
        <v>0</v>
      </c>
      <c r="FB314" s="113">
        <v>0</v>
      </c>
      <c r="FC314" s="113">
        <v>0</v>
      </c>
      <c r="FD314" s="113">
        <v>0</v>
      </c>
      <c r="FE314" s="113">
        <v>12</v>
      </c>
      <c r="FF314" s="113">
        <v>0</v>
      </c>
      <c r="FG314" s="113">
        <v>0</v>
      </c>
      <c r="FH314" s="113">
        <v>0</v>
      </c>
      <c r="FI314" s="113">
        <v>0</v>
      </c>
      <c r="FJ314" s="113">
        <v>0</v>
      </c>
      <c r="FK314" s="30">
        <v>1</v>
      </c>
      <c r="FL314" s="113">
        <v>0</v>
      </c>
      <c r="FM314" s="113">
        <v>0</v>
      </c>
      <c r="FN314" s="113">
        <v>5377</v>
      </c>
      <c r="FO314" s="113">
        <v>0</v>
      </c>
      <c r="FP314" s="113">
        <v>0</v>
      </c>
      <c r="FQ314" s="113">
        <v>597</v>
      </c>
      <c r="FR314" s="113">
        <v>0</v>
      </c>
      <c r="FS314" s="113">
        <v>0</v>
      </c>
      <c r="FT314" s="113">
        <v>0</v>
      </c>
      <c r="FU314" s="113">
        <v>0</v>
      </c>
      <c r="FV314" s="113">
        <v>0</v>
      </c>
      <c r="FW314" s="113">
        <v>48</v>
      </c>
      <c r="FX314" s="32">
        <v>0</v>
      </c>
      <c r="FY314" s="30">
        <v>0</v>
      </c>
      <c r="FZ314" s="30">
        <v>2</v>
      </c>
    </row>
    <row r="315" spans="1:182" x14ac:dyDescent="0.2">
      <c r="A315" s="28">
        <v>41153</v>
      </c>
      <c r="B315" s="28"/>
      <c r="C315" s="31">
        <v>170262.62</v>
      </c>
      <c r="D315" s="31">
        <v>230504.36</v>
      </c>
      <c r="E315" s="29">
        <f t="shared" si="8"/>
        <v>400766.98</v>
      </c>
      <c r="F315" s="40">
        <v>6272514.0199999996</v>
      </c>
      <c r="G315" s="40">
        <v>445259.17</v>
      </c>
      <c r="H315" s="30">
        <f t="shared" si="9"/>
        <v>6717773.1899999995</v>
      </c>
      <c r="I315" s="42" t="s">
        <v>75</v>
      </c>
      <c r="J315" s="42" t="s">
        <v>75</v>
      </c>
      <c r="K315" s="42">
        <v>7484491.7700000005</v>
      </c>
      <c r="L315" s="31" t="s">
        <v>75</v>
      </c>
      <c r="M315" s="31" t="s">
        <v>75</v>
      </c>
      <c r="N315" s="31">
        <v>21793403.629999995</v>
      </c>
      <c r="O315" s="31" t="s">
        <v>75</v>
      </c>
      <c r="P315" s="31" t="s">
        <v>75</v>
      </c>
      <c r="Q315" s="31">
        <v>18114471</v>
      </c>
      <c r="R315" s="31" t="s">
        <v>75</v>
      </c>
      <c r="S315" s="31" t="s">
        <v>75</v>
      </c>
      <c r="T315" s="31">
        <v>126130.5</v>
      </c>
      <c r="U315" s="31">
        <v>5204.63</v>
      </c>
      <c r="V315" s="31">
        <v>1799.25</v>
      </c>
      <c r="W315" s="31">
        <f t="shared" si="11"/>
        <v>7003.88</v>
      </c>
      <c r="X315" s="31">
        <v>57469.71</v>
      </c>
      <c r="Y315" s="31">
        <v>8974.15</v>
      </c>
      <c r="Z315" s="30">
        <f t="shared" si="12"/>
        <v>66443.86</v>
      </c>
      <c r="AA315" s="31">
        <v>108861.99999999999</v>
      </c>
      <c r="AB315" s="31">
        <v>13879.279999999999</v>
      </c>
      <c r="AC315" s="30">
        <f t="shared" si="13"/>
        <v>122741.27999999998</v>
      </c>
      <c r="AD315" s="31">
        <v>5916.58</v>
      </c>
      <c r="AE315" s="31">
        <v>9051.26</v>
      </c>
      <c r="AF315" s="30">
        <f t="shared" si="14"/>
        <v>14967.84</v>
      </c>
      <c r="AG315" s="42">
        <v>35181.800000000003</v>
      </c>
      <c r="AH315" s="42">
        <v>45735.72</v>
      </c>
      <c r="AI315" s="32">
        <f t="shared" si="15"/>
        <v>80917.52</v>
      </c>
      <c r="AJ315" s="31" t="s">
        <v>75</v>
      </c>
      <c r="AK315" s="31" t="s">
        <v>75</v>
      </c>
      <c r="AL315" s="31">
        <v>41556.25</v>
      </c>
      <c r="AM315" s="31"/>
      <c r="AN315" s="31"/>
      <c r="AO315" s="31"/>
      <c r="AP315" s="31"/>
      <c r="AQ315" s="31"/>
      <c r="AR315" s="31"/>
      <c r="AS315" s="31" t="s">
        <v>75</v>
      </c>
      <c r="AT315" s="31" t="s">
        <v>75</v>
      </c>
      <c r="AU315" s="35">
        <v>1589382.86</v>
      </c>
      <c r="AV315" s="31" t="s">
        <v>75</v>
      </c>
      <c r="AW315" s="31" t="s">
        <v>75</v>
      </c>
      <c r="AX315" s="36">
        <v>33187.94</v>
      </c>
      <c r="AY315" s="30">
        <v>7025827.7999999998</v>
      </c>
      <c r="AZ315" s="32">
        <v>946241.7</v>
      </c>
      <c r="BA315" s="29">
        <f t="shared" ref="BA315:BA378" si="16">+AZ315+AY315</f>
        <v>7972069.5</v>
      </c>
      <c r="BB315" s="31" t="s">
        <v>75</v>
      </c>
      <c r="BC315" s="31" t="s">
        <v>75</v>
      </c>
      <c r="BD315" s="31">
        <v>1380595.5777777778</v>
      </c>
      <c r="BE315" s="113">
        <v>0</v>
      </c>
      <c r="BF315" s="113">
        <v>0</v>
      </c>
      <c r="BG315" s="113">
        <v>138</v>
      </c>
      <c r="BH315" s="113">
        <v>0</v>
      </c>
      <c r="BI315" s="113">
        <v>0</v>
      </c>
      <c r="BJ315" s="113">
        <v>0</v>
      </c>
      <c r="BK315" s="113">
        <v>0</v>
      </c>
      <c r="BL315" s="113">
        <v>0</v>
      </c>
      <c r="BM315" s="113">
        <v>481</v>
      </c>
      <c r="BN315" s="113">
        <v>0</v>
      </c>
      <c r="BO315" s="113">
        <v>0</v>
      </c>
      <c r="BP315" s="113">
        <v>0</v>
      </c>
      <c r="BQ315" s="113">
        <v>0</v>
      </c>
      <c r="BR315" s="113">
        <v>0</v>
      </c>
      <c r="BS315" s="113">
        <v>469</v>
      </c>
      <c r="BT315" s="113">
        <v>0</v>
      </c>
      <c r="BU315" s="113">
        <v>0</v>
      </c>
      <c r="BV315" s="113">
        <v>0</v>
      </c>
      <c r="BW315" s="113"/>
      <c r="BX315" s="113"/>
      <c r="BY315" s="113"/>
      <c r="BZ315" s="113">
        <v>0</v>
      </c>
      <c r="CA315" s="113">
        <v>0</v>
      </c>
      <c r="CB315" s="113">
        <v>607</v>
      </c>
      <c r="CC315" s="113"/>
      <c r="CD315" s="113"/>
      <c r="CE315" s="113"/>
      <c r="CF315" s="113">
        <v>0</v>
      </c>
      <c r="CG315" s="113">
        <v>0</v>
      </c>
      <c r="CH315" s="30">
        <v>16</v>
      </c>
      <c r="CI315" s="113">
        <v>0</v>
      </c>
      <c r="CJ315" s="113">
        <v>0</v>
      </c>
      <c r="CK315" s="30">
        <v>35</v>
      </c>
      <c r="CL315" s="30">
        <v>0</v>
      </c>
      <c r="CM315" s="30">
        <v>0</v>
      </c>
      <c r="CN315" s="30">
        <v>0</v>
      </c>
      <c r="CO315" s="113">
        <v>0</v>
      </c>
      <c r="CP315" s="113">
        <v>0</v>
      </c>
      <c r="CQ315" s="113">
        <v>12</v>
      </c>
      <c r="CR315" s="113">
        <v>0</v>
      </c>
      <c r="CS315" s="113">
        <v>0</v>
      </c>
      <c r="CT315" s="113">
        <v>0</v>
      </c>
      <c r="CU315" s="113">
        <v>0</v>
      </c>
      <c r="CV315" s="113">
        <v>0</v>
      </c>
      <c r="CW315" s="113">
        <v>353</v>
      </c>
      <c r="CX315" s="113">
        <v>0</v>
      </c>
      <c r="CY315" s="113">
        <v>0</v>
      </c>
      <c r="CZ315" s="113">
        <v>0</v>
      </c>
      <c r="DA315" s="113">
        <v>0</v>
      </c>
      <c r="DB315" s="113">
        <v>0</v>
      </c>
      <c r="DC315" s="113">
        <v>0</v>
      </c>
      <c r="DD315" s="113">
        <v>0</v>
      </c>
      <c r="DE315" s="113">
        <v>0</v>
      </c>
      <c r="DF315" s="113">
        <v>0</v>
      </c>
      <c r="DG315" s="113">
        <v>0</v>
      </c>
      <c r="DH315" s="113">
        <v>0</v>
      </c>
      <c r="DI315" s="113">
        <v>0</v>
      </c>
      <c r="DJ315" s="113">
        <v>0</v>
      </c>
      <c r="DK315" s="113">
        <v>0</v>
      </c>
      <c r="DL315" s="113">
        <v>0</v>
      </c>
      <c r="DM315" s="113">
        <v>0</v>
      </c>
      <c r="DN315" s="113">
        <v>0</v>
      </c>
      <c r="DO315" s="113">
        <v>0</v>
      </c>
      <c r="DP315" s="113">
        <v>0</v>
      </c>
      <c r="DQ315" s="113">
        <v>0</v>
      </c>
      <c r="DR315" s="113">
        <v>0</v>
      </c>
      <c r="DS315" s="113">
        <v>0</v>
      </c>
      <c r="DT315" s="113">
        <v>0</v>
      </c>
      <c r="DU315" s="113">
        <v>0</v>
      </c>
      <c r="DV315" s="113">
        <v>0</v>
      </c>
      <c r="DW315" s="113">
        <v>0</v>
      </c>
      <c r="DX315" s="113">
        <v>0</v>
      </c>
      <c r="DY315" s="113">
        <v>0</v>
      </c>
      <c r="DZ315" s="113">
        <v>0</v>
      </c>
      <c r="EA315" s="113">
        <v>1030</v>
      </c>
      <c r="EB315" s="113">
        <v>0</v>
      </c>
      <c r="EC315" s="113">
        <v>0</v>
      </c>
      <c r="ED315" s="113">
        <v>0</v>
      </c>
      <c r="EE315" s="113">
        <v>0</v>
      </c>
      <c r="EF315" s="113">
        <v>0</v>
      </c>
      <c r="EG315" s="113">
        <v>2012</v>
      </c>
      <c r="EH315" s="113">
        <v>0</v>
      </c>
      <c r="EI315" s="113">
        <v>0</v>
      </c>
      <c r="EJ315" s="113">
        <v>0</v>
      </c>
      <c r="EK315" s="113">
        <v>0</v>
      </c>
      <c r="EL315" s="113">
        <v>0</v>
      </c>
      <c r="EM315" s="113">
        <v>2773</v>
      </c>
      <c r="EN315" s="113">
        <v>0</v>
      </c>
      <c r="EO315" s="113">
        <v>0</v>
      </c>
      <c r="EP315" s="113">
        <v>0</v>
      </c>
      <c r="EQ315" s="113">
        <v>0</v>
      </c>
      <c r="ER315" s="113">
        <v>0</v>
      </c>
      <c r="ES315" s="113">
        <v>229</v>
      </c>
      <c r="ET315" s="113">
        <v>0</v>
      </c>
      <c r="EU315" s="113">
        <v>0</v>
      </c>
      <c r="EV315" s="113">
        <v>2</v>
      </c>
      <c r="EW315" s="113">
        <v>0</v>
      </c>
      <c r="EX315" s="113">
        <v>0</v>
      </c>
      <c r="EY315" s="113">
        <v>17</v>
      </c>
      <c r="EZ315" s="113">
        <v>0</v>
      </c>
      <c r="FA315" s="113">
        <v>0</v>
      </c>
      <c r="FB315" s="113">
        <v>0</v>
      </c>
      <c r="FC315" s="113">
        <v>0</v>
      </c>
      <c r="FD315" s="113">
        <v>0</v>
      </c>
      <c r="FE315" s="113">
        <v>47</v>
      </c>
      <c r="FF315" s="113">
        <v>0</v>
      </c>
      <c r="FG315" s="113">
        <v>0</v>
      </c>
      <c r="FH315" s="113">
        <v>0</v>
      </c>
      <c r="FI315" s="113">
        <v>0</v>
      </c>
      <c r="FJ315" s="113">
        <v>0</v>
      </c>
      <c r="FK315" s="113">
        <v>0</v>
      </c>
      <c r="FL315" s="113">
        <v>0</v>
      </c>
      <c r="FM315" s="113">
        <v>0</v>
      </c>
      <c r="FN315" s="113">
        <v>4886</v>
      </c>
      <c r="FO315" s="113">
        <v>0</v>
      </c>
      <c r="FP315" s="113">
        <v>0</v>
      </c>
      <c r="FQ315" s="113">
        <v>923</v>
      </c>
      <c r="FR315" s="113">
        <v>0</v>
      </c>
      <c r="FS315" s="113">
        <v>0</v>
      </c>
      <c r="FT315" s="113">
        <v>0</v>
      </c>
      <c r="FU315" s="113">
        <v>0</v>
      </c>
      <c r="FV315" s="113">
        <v>0</v>
      </c>
      <c r="FW315" s="113">
        <v>136</v>
      </c>
      <c r="FX315" s="32">
        <v>0</v>
      </c>
      <c r="FY315" s="30">
        <v>0</v>
      </c>
      <c r="FZ315" s="30">
        <v>8</v>
      </c>
    </row>
    <row r="316" spans="1:182" x14ac:dyDescent="0.2">
      <c r="A316" s="28">
        <v>41183</v>
      </c>
      <c r="B316" s="28"/>
      <c r="C316" s="31">
        <v>211855.8</v>
      </c>
      <c r="D316" s="31">
        <v>338898.57000000007</v>
      </c>
      <c r="E316" s="29">
        <f t="shared" si="8"/>
        <v>550754.37000000011</v>
      </c>
      <c r="F316" s="40">
        <v>10152389.949999999</v>
      </c>
      <c r="G316" s="40">
        <v>686265.18</v>
      </c>
      <c r="H316" s="30">
        <f t="shared" si="9"/>
        <v>10838655.129999999</v>
      </c>
      <c r="I316" s="42" t="s">
        <v>75</v>
      </c>
      <c r="J316" s="42" t="s">
        <v>75</v>
      </c>
      <c r="K316" s="42">
        <v>8194209.7599999998</v>
      </c>
      <c r="L316" s="31" t="s">
        <v>75</v>
      </c>
      <c r="M316" s="31" t="s">
        <v>75</v>
      </c>
      <c r="N316" s="31">
        <v>24606245.769999996</v>
      </c>
      <c r="O316" s="31" t="s">
        <v>75</v>
      </c>
      <c r="P316" s="31" t="s">
        <v>75</v>
      </c>
      <c r="Q316" s="31">
        <v>20768456.5</v>
      </c>
      <c r="R316" s="31" t="s">
        <v>75</v>
      </c>
      <c r="S316" s="31" t="s">
        <v>75</v>
      </c>
      <c r="T316" s="31">
        <v>146220.29999999999</v>
      </c>
      <c r="U316" s="31">
        <v>10528.65</v>
      </c>
      <c r="V316" s="31">
        <v>10182.58</v>
      </c>
      <c r="W316" s="31">
        <f t="shared" si="11"/>
        <v>20711.23</v>
      </c>
      <c r="X316" s="31">
        <v>108595.44</v>
      </c>
      <c r="Y316" s="31">
        <v>4822.5</v>
      </c>
      <c r="Z316" s="30">
        <f t="shared" si="12"/>
        <v>113417.94</v>
      </c>
      <c r="AA316" s="31">
        <v>112060.79</v>
      </c>
      <c r="AB316" s="31">
        <v>21901.93</v>
      </c>
      <c r="AC316" s="30">
        <f t="shared" si="13"/>
        <v>133962.72</v>
      </c>
      <c r="AD316" s="31">
        <v>10584.06</v>
      </c>
      <c r="AE316" s="31">
        <v>26465.360000000001</v>
      </c>
      <c r="AF316" s="30">
        <f t="shared" si="14"/>
        <v>37049.42</v>
      </c>
      <c r="AG316" s="42">
        <v>38455.270000000004</v>
      </c>
      <c r="AH316" s="42">
        <v>53573.359999999986</v>
      </c>
      <c r="AI316" s="32">
        <f t="shared" si="15"/>
        <v>92028.62999999999</v>
      </c>
      <c r="AJ316" s="31" t="s">
        <v>75</v>
      </c>
      <c r="AK316" s="31" t="s">
        <v>75</v>
      </c>
      <c r="AL316" s="31">
        <v>49301.25</v>
      </c>
      <c r="AM316" s="31"/>
      <c r="AN316" s="31"/>
      <c r="AO316" s="31"/>
      <c r="AP316" s="31"/>
      <c r="AQ316" s="31"/>
      <c r="AR316" s="31"/>
      <c r="AS316" s="31" t="s">
        <v>75</v>
      </c>
      <c r="AT316" s="31" t="s">
        <v>75</v>
      </c>
      <c r="AU316" s="35">
        <v>1518273.92</v>
      </c>
      <c r="AV316" s="31" t="s">
        <v>75</v>
      </c>
      <c r="AW316" s="31" t="s">
        <v>75</v>
      </c>
      <c r="AX316" s="36">
        <v>45444.92</v>
      </c>
      <c r="AY316" s="30">
        <v>8357771.2000000002</v>
      </c>
      <c r="AZ316" s="32">
        <v>1900451.85</v>
      </c>
      <c r="BA316" s="29">
        <f t="shared" si="16"/>
        <v>10258223.050000001</v>
      </c>
      <c r="BB316" s="31" t="s">
        <v>75</v>
      </c>
      <c r="BC316" s="31" t="s">
        <v>75</v>
      </c>
      <c r="BD316" s="31">
        <v>1669365.5999999999</v>
      </c>
      <c r="BE316" s="113">
        <v>0</v>
      </c>
      <c r="BF316" s="113">
        <v>0</v>
      </c>
      <c r="BG316" s="113">
        <v>164</v>
      </c>
      <c r="BH316" s="113">
        <v>0</v>
      </c>
      <c r="BI316" s="113">
        <v>0</v>
      </c>
      <c r="BJ316" s="113">
        <v>0</v>
      </c>
      <c r="BK316" s="113">
        <v>0</v>
      </c>
      <c r="BL316" s="113">
        <v>0</v>
      </c>
      <c r="BM316" s="113">
        <v>190</v>
      </c>
      <c r="BN316" s="113">
        <v>0</v>
      </c>
      <c r="BO316" s="113">
        <v>0</v>
      </c>
      <c r="BP316" s="113">
        <v>0</v>
      </c>
      <c r="BQ316" s="113">
        <v>0</v>
      </c>
      <c r="BR316" s="113">
        <v>0</v>
      </c>
      <c r="BS316" s="113">
        <v>179</v>
      </c>
      <c r="BT316" s="113">
        <v>0</v>
      </c>
      <c r="BU316" s="113">
        <v>0</v>
      </c>
      <c r="BV316" s="113">
        <v>0</v>
      </c>
      <c r="BW316" s="113"/>
      <c r="BX316" s="113"/>
      <c r="BY316" s="113"/>
      <c r="BZ316" s="113">
        <v>0</v>
      </c>
      <c r="CA316" s="113">
        <v>0</v>
      </c>
      <c r="CB316" s="113">
        <v>181</v>
      </c>
      <c r="CC316" s="113"/>
      <c r="CD316" s="113"/>
      <c r="CE316" s="113"/>
      <c r="CF316" s="113">
        <v>0</v>
      </c>
      <c r="CG316" s="113">
        <v>0</v>
      </c>
      <c r="CH316" s="30">
        <v>3</v>
      </c>
      <c r="CI316" s="113">
        <v>0</v>
      </c>
      <c r="CJ316" s="113">
        <v>0</v>
      </c>
      <c r="CK316" s="30">
        <v>74</v>
      </c>
      <c r="CL316" s="30">
        <v>0</v>
      </c>
      <c r="CM316" s="30">
        <v>0</v>
      </c>
      <c r="CN316" s="30">
        <v>0</v>
      </c>
      <c r="CO316" s="113">
        <v>0</v>
      </c>
      <c r="CP316" s="113">
        <v>0</v>
      </c>
      <c r="CQ316" s="113">
        <v>13</v>
      </c>
      <c r="CR316" s="113">
        <v>0</v>
      </c>
      <c r="CS316" s="113">
        <v>0</v>
      </c>
      <c r="CT316" s="113">
        <v>0</v>
      </c>
      <c r="CU316" s="113">
        <v>0</v>
      </c>
      <c r="CV316" s="113">
        <v>0</v>
      </c>
      <c r="CW316" s="113">
        <v>94</v>
      </c>
      <c r="CX316" s="113">
        <v>0</v>
      </c>
      <c r="CY316" s="113">
        <v>0</v>
      </c>
      <c r="CZ316" s="113">
        <v>0</v>
      </c>
      <c r="DA316" s="113">
        <v>0</v>
      </c>
      <c r="DB316" s="113">
        <v>0</v>
      </c>
      <c r="DC316" s="113">
        <v>2</v>
      </c>
      <c r="DD316" s="113">
        <v>0</v>
      </c>
      <c r="DE316" s="113">
        <v>0</v>
      </c>
      <c r="DF316" s="113">
        <v>0</v>
      </c>
      <c r="DG316" s="113">
        <v>0</v>
      </c>
      <c r="DH316" s="113">
        <v>0</v>
      </c>
      <c r="DI316" s="113">
        <v>11</v>
      </c>
      <c r="DJ316" s="113">
        <v>0</v>
      </c>
      <c r="DK316" s="113">
        <v>0</v>
      </c>
      <c r="DL316" s="113">
        <v>0</v>
      </c>
      <c r="DM316" s="113">
        <v>0</v>
      </c>
      <c r="DN316" s="113">
        <v>0</v>
      </c>
      <c r="DO316" s="113">
        <v>0</v>
      </c>
      <c r="DP316" s="113">
        <v>0</v>
      </c>
      <c r="DQ316" s="113">
        <v>0</v>
      </c>
      <c r="DR316" s="113">
        <v>0</v>
      </c>
      <c r="DS316" s="113">
        <v>0</v>
      </c>
      <c r="DT316" s="113">
        <v>0</v>
      </c>
      <c r="DU316" s="113">
        <v>0</v>
      </c>
      <c r="DV316" s="113">
        <v>0</v>
      </c>
      <c r="DW316" s="113">
        <v>0</v>
      </c>
      <c r="DX316" s="113">
        <v>0</v>
      </c>
      <c r="DY316" s="113">
        <v>0</v>
      </c>
      <c r="DZ316" s="113">
        <v>0</v>
      </c>
      <c r="EA316" s="113">
        <v>569</v>
      </c>
      <c r="EB316" s="113">
        <v>0</v>
      </c>
      <c r="EC316" s="113">
        <v>0</v>
      </c>
      <c r="ED316" s="113">
        <v>0</v>
      </c>
      <c r="EE316" s="113">
        <v>0</v>
      </c>
      <c r="EF316" s="113">
        <v>0</v>
      </c>
      <c r="EG316" s="113">
        <v>382</v>
      </c>
      <c r="EH316" s="113">
        <v>0</v>
      </c>
      <c r="EI316" s="113">
        <v>0</v>
      </c>
      <c r="EJ316" s="113">
        <v>0</v>
      </c>
      <c r="EK316" s="113">
        <v>0</v>
      </c>
      <c r="EL316" s="113">
        <v>0</v>
      </c>
      <c r="EM316" s="113">
        <v>620</v>
      </c>
      <c r="EN316" s="113">
        <v>0</v>
      </c>
      <c r="EO316" s="113">
        <v>0</v>
      </c>
      <c r="EP316" s="113">
        <v>0</v>
      </c>
      <c r="EQ316" s="113">
        <v>0</v>
      </c>
      <c r="ER316" s="113">
        <v>0</v>
      </c>
      <c r="ES316" s="113">
        <v>41</v>
      </c>
      <c r="ET316" s="113">
        <v>0</v>
      </c>
      <c r="EU316" s="113">
        <v>0</v>
      </c>
      <c r="EV316" s="113">
        <v>0</v>
      </c>
      <c r="EW316" s="113">
        <v>0</v>
      </c>
      <c r="EX316" s="113">
        <v>0</v>
      </c>
      <c r="EY316" s="113">
        <v>1</v>
      </c>
      <c r="EZ316" s="113">
        <v>0</v>
      </c>
      <c r="FA316" s="113">
        <v>0</v>
      </c>
      <c r="FB316" s="113">
        <v>0</v>
      </c>
      <c r="FC316" s="113">
        <v>0</v>
      </c>
      <c r="FD316" s="113">
        <v>0</v>
      </c>
      <c r="FE316" s="113">
        <v>3</v>
      </c>
      <c r="FF316" s="113">
        <v>0</v>
      </c>
      <c r="FG316" s="113">
        <v>0</v>
      </c>
      <c r="FH316" s="113">
        <v>0</v>
      </c>
      <c r="FI316" s="113">
        <v>0</v>
      </c>
      <c r="FJ316" s="113">
        <v>0</v>
      </c>
      <c r="FK316" s="30">
        <v>10</v>
      </c>
      <c r="FL316" s="113">
        <v>0</v>
      </c>
      <c r="FM316" s="113">
        <v>0</v>
      </c>
      <c r="FN316" s="113">
        <v>6237</v>
      </c>
      <c r="FO316" s="113">
        <v>0</v>
      </c>
      <c r="FP316" s="113">
        <v>0</v>
      </c>
      <c r="FQ316" s="113">
        <v>615</v>
      </c>
      <c r="FR316" s="113">
        <v>0</v>
      </c>
      <c r="FS316" s="113">
        <v>0</v>
      </c>
      <c r="FT316" s="113">
        <v>0</v>
      </c>
      <c r="FU316" s="113">
        <v>0</v>
      </c>
      <c r="FV316" s="113">
        <v>0</v>
      </c>
      <c r="FW316" s="113">
        <v>202</v>
      </c>
      <c r="FX316" s="32">
        <v>0</v>
      </c>
      <c r="FY316" s="30">
        <v>0</v>
      </c>
      <c r="FZ316" s="30">
        <v>20</v>
      </c>
    </row>
    <row r="317" spans="1:182" x14ac:dyDescent="0.2">
      <c r="A317" s="28">
        <v>41214</v>
      </c>
      <c r="B317" s="28"/>
      <c r="C317" s="31">
        <v>318690.74</v>
      </c>
      <c r="D317" s="31">
        <v>498337.10999999993</v>
      </c>
      <c r="E317" s="29">
        <f t="shared" si="8"/>
        <v>817027.84999999986</v>
      </c>
      <c r="F317" s="40">
        <v>13364435.619999999</v>
      </c>
      <c r="G317" s="40">
        <v>1083773.3200000003</v>
      </c>
      <c r="H317" s="30">
        <f t="shared" si="9"/>
        <v>14448208.939999999</v>
      </c>
      <c r="I317" s="42" t="s">
        <v>75</v>
      </c>
      <c r="J317" s="42" t="s">
        <v>75</v>
      </c>
      <c r="K317" s="42">
        <v>10952972.6</v>
      </c>
      <c r="L317" s="31" t="s">
        <v>75</v>
      </c>
      <c r="M317" s="31" t="s">
        <v>75</v>
      </c>
      <c r="N317" s="31">
        <v>33825111.909999996</v>
      </c>
      <c r="O317" s="31" t="s">
        <v>75</v>
      </c>
      <c r="P317" s="31" t="s">
        <v>75</v>
      </c>
      <c r="Q317" s="31">
        <v>27265236.75</v>
      </c>
      <c r="R317" s="31" t="s">
        <v>75</v>
      </c>
      <c r="S317" s="31" t="s">
        <v>75</v>
      </c>
      <c r="T317" s="31">
        <v>135729.56</v>
      </c>
      <c r="U317" s="31">
        <v>25008.880000000001</v>
      </c>
      <c r="V317" s="31">
        <v>18456.370000000003</v>
      </c>
      <c r="W317" s="31">
        <f t="shared" si="11"/>
        <v>43465.25</v>
      </c>
      <c r="X317" s="31">
        <v>196051.52000000002</v>
      </c>
      <c r="Y317" s="31">
        <v>8934.5</v>
      </c>
      <c r="Z317" s="30">
        <f t="shared" si="12"/>
        <v>204986.02000000002</v>
      </c>
      <c r="AA317" s="31">
        <v>84720.900000000009</v>
      </c>
      <c r="AB317" s="31">
        <v>22132.850000000002</v>
      </c>
      <c r="AC317" s="30">
        <f t="shared" si="13"/>
        <v>106853.75000000001</v>
      </c>
      <c r="AD317" s="31">
        <v>12522.48</v>
      </c>
      <c r="AE317" s="31">
        <v>51759.68</v>
      </c>
      <c r="AF317" s="30">
        <f t="shared" si="14"/>
        <v>64282.16</v>
      </c>
      <c r="AG317" s="42">
        <v>52797.2</v>
      </c>
      <c r="AH317" s="42">
        <v>75322.130000000034</v>
      </c>
      <c r="AI317" s="32">
        <f t="shared" si="15"/>
        <v>128119.33000000003</v>
      </c>
      <c r="AJ317" s="31" t="s">
        <v>75</v>
      </c>
      <c r="AK317" s="31" t="s">
        <v>75</v>
      </c>
      <c r="AL317" s="31">
        <v>55011.25</v>
      </c>
      <c r="AM317" s="31"/>
      <c r="AN317" s="31"/>
      <c r="AO317" s="31"/>
      <c r="AP317" s="31"/>
      <c r="AQ317" s="31"/>
      <c r="AR317" s="31"/>
      <c r="AS317" s="31" t="s">
        <v>75</v>
      </c>
      <c r="AT317" s="31" t="s">
        <v>75</v>
      </c>
      <c r="AU317" s="35">
        <v>1654508.31</v>
      </c>
      <c r="AV317" s="31" t="s">
        <v>75</v>
      </c>
      <c r="AW317" s="31" t="s">
        <v>75</v>
      </c>
      <c r="AX317" s="36">
        <v>46879.98</v>
      </c>
      <c r="AY317" s="30">
        <v>8257705</v>
      </c>
      <c r="AZ317" s="32">
        <v>1193553</v>
      </c>
      <c r="BA317" s="29">
        <f t="shared" si="16"/>
        <v>9451258</v>
      </c>
      <c r="BB317" s="31" t="s">
        <v>75</v>
      </c>
      <c r="BC317" s="31" t="s">
        <v>75</v>
      </c>
      <c r="BD317" s="31">
        <v>1620827.888888889</v>
      </c>
      <c r="BE317" s="113">
        <v>0</v>
      </c>
      <c r="BF317" s="113">
        <v>0</v>
      </c>
      <c r="BG317" s="113">
        <v>221</v>
      </c>
      <c r="BH317" s="113">
        <v>0</v>
      </c>
      <c r="BI317" s="113">
        <v>0</v>
      </c>
      <c r="BJ317" s="113">
        <v>0</v>
      </c>
      <c r="BK317" s="113">
        <v>0</v>
      </c>
      <c r="BL317" s="113">
        <v>0</v>
      </c>
      <c r="BM317" s="113">
        <v>226</v>
      </c>
      <c r="BN317" s="113">
        <v>0</v>
      </c>
      <c r="BO317" s="113">
        <v>0</v>
      </c>
      <c r="BP317" s="113">
        <v>0</v>
      </c>
      <c r="BQ317" s="113">
        <v>0</v>
      </c>
      <c r="BR317" s="113">
        <v>0</v>
      </c>
      <c r="BS317" s="113">
        <v>318</v>
      </c>
      <c r="BT317" s="113">
        <v>0</v>
      </c>
      <c r="BU317" s="113">
        <v>0</v>
      </c>
      <c r="BV317" s="113">
        <v>0</v>
      </c>
      <c r="BW317" s="113"/>
      <c r="BX317" s="113"/>
      <c r="BY317" s="113"/>
      <c r="BZ317" s="113">
        <v>0</v>
      </c>
      <c r="CA317" s="113">
        <v>0</v>
      </c>
      <c r="CB317" s="113">
        <v>302</v>
      </c>
      <c r="CC317" s="113"/>
      <c r="CD317" s="113"/>
      <c r="CE317" s="113"/>
      <c r="CF317" s="113">
        <v>0</v>
      </c>
      <c r="CG317" s="113">
        <v>0</v>
      </c>
      <c r="CH317" s="30">
        <v>9</v>
      </c>
      <c r="CI317" s="113">
        <v>0</v>
      </c>
      <c r="CJ317" s="113">
        <v>0</v>
      </c>
      <c r="CK317" s="30">
        <v>49</v>
      </c>
      <c r="CL317" s="30">
        <v>0</v>
      </c>
      <c r="CM317" s="30">
        <v>0</v>
      </c>
      <c r="CN317" s="30">
        <v>0</v>
      </c>
      <c r="CO317" s="113">
        <v>0</v>
      </c>
      <c r="CP317" s="113">
        <v>0</v>
      </c>
      <c r="CQ317" s="113">
        <v>9</v>
      </c>
      <c r="CR317" s="113">
        <v>0</v>
      </c>
      <c r="CS317" s="113">
        <v>0</v>
      </c>
      <c r="CT317" s="113">
        <v>0</v>
      </c>
      <c r="CU317" s="113">
        <v>0</v>
      </c>
      <c r="CV317" s="113">
        <v>0</v>
      </c>
      <c r="CW317" s="113">
        <v>116</v>
      </c>
      <c r="CX317" s="113">
        <v>0</v>
      </c>
      <c r="CY317" s="113">
        <v>0</v>
      </c>
      <c r="CZ317" s="113">
        <v>0</v>
      </c>
      <c r="DA317" s="113">
        <v>0</v>
      </c>
      <c r="DB317" s="113">
        <v>0</v>
      </c>
      <c r="DC317" s="113">
        <v>2</v>
      </c>
      <c r="DD317" s="113">
        <v>0</v>
      </c>
      <c r="DE317" s="113">
        <v>0</v>
      </c>
      <c r="DF317" s="113">
        <v>0</v>
      </c>
      <c r="DG317" s="113">
        <v>0</v>
      </c>
      <c r="DH317" s="113">
        <v>0</v>
      </c>
      <c r="DI317" s="113">
        <v>3</v>
      </c>
      <c r="DJ317" s="113">
        <v>0</v>
      </c>
      <c r="DK317" s="113">
        <v>0</v>
      </c>
      <c r="DL317" s="113">
        <v>0</v>
      </c>
      <c r="DM317" s="113">
        <v>0</v>
      </c>
      <c r="DN317" s="113">
        <v>0</v>
      </c>
      <c r="DO317" s="113">
        <v>0</v>
      </c>
      <c r="DP317" s="113">
        <v>0</v>
      </c>
      <c r="DQ317" s="113">
        <v>0</v>
      </c>
      <c r="DR317" s="113">
        <v>0</v>
      </c>
      <c r="DS317" s="113">
        <v>0</v>
      </c>
      <c r="DT317" s="113">
        <v>0</v>
      </c>
      <c r="DU317" s="113">
        <v>1</v>
      </c>
      <c r="DV317" s="113">
        <v>0</v>
      </c>
      <c r="DW317" s="113">
        <v>0</v>
      </c>
      <c r="DX317" s="113">
        <v>0</v>
      </c>
      <c r="DY317" s="113">
        <v>0</v>
      </c>
      <c r="DZ317" s="113">
        <v>0</v>
      </c>
      <c r="EA317" s="113">
        <v>775</v>
      </c>
      <c r="EB317" s="113">
        <v>0</v>
      </c>
      <c r="EC317" s="113">
        <v>0</v>
      </c>
      <c r="ED317" s="113">
        <v>0</v>
      </c>
      <c r="EE317" s="113">
        <v>0</v>
      </c>
      <c r="EF317" s="113">
        <v>0</v>
      </c>
      <c r="EG317" s="113">
        <v>700</v>
      </c>
      <c r="EH317" s="113">
        <v>0</v>
      </c>
      <c r="EI317" s="113">
        <v>0</v>
      </c>
      <c r="EJ317" s="113">
        <v>0</v>
      </c>
      <c r="EK317" s="113">
        <v>0</v>
      </c>
      <c r="EL317" s="113">
        <v>0</v>
      </c>
      <c r="EM317" s="113">
        <v>839</v>
      </c>
      <c r="EN317" s="113">
        <v>0</v>
      </c>
      <c r="EO317" s="113">
        <v>0</v>
      </c>
      <c r="EP317" s="113">
        <v>0</v>
      </c>
      <c r="EQ317" s="113">
        <v>0</v>
      </c>
      <c r="ER317" s="113">
        <v>0</v>
      </c>
      <c r="ES317" s="113">
        <v>71</v>
      </c>
      <c r="ET317" s="113">
        <v>0</v>
      </c>
      <c r="EU317" s="113">
        <v>0</v>
      </c>
      <c r="EV317" s="113">
        <v>0</v>
      </c>
      <c r="EW317" s="113">
        <v>0</v>
      </c>
      <c r="EX317" s="113">
        <v>0</v>
      </c>
      <c r="EY317" s="113">
        <v>12</v>
      </c>
      <c r="EZ317" s="113">
        <v>0</v>
      </c>
      <c r="FA317" s="113">
        <v>0</v>
      </c>
      <c r="FB317" s="113">
        <v>0</v>
      </c>
      <c r="FC317" s="113">
        <v>0</v>
      </c>
      <c r="FD317" s="113">
        <v>0</v>
      </c>
      <c r="FE317" s="113">
        <v>11</v>
      </c>
      <c r="FF317" s="113">
        <v>0</v>
      </c>
      <c r="FG317" s="113">
        <v>0</v>
      </c>
      <c r="FH317" s="113">
        <v>0</v>
      </c>
      <c r="FI317" s="113">
        <v>0</v>
      </c>
      <c r="FJ317" s="113">
        <v>0</v>
      </c>
      <c r="FK317" s="30">
        <v>6</v>
      </c>
      <c r="FL317" s="113">
        <v>0</v>
      </c>
      <c r="FM317" s="113">
        <v>0</v>
      </c>
      <c r="FN317" s="113">
        <v>7547</v>
      </c>
      <c r="FO317" s="113">
        <v>0</v>
      </c>
      <c r="FP317" s="113">
        <v>0</v>
      </c>
      <c r="FQ317" s="113">
        <v>1067</v>
      </c>
      <c r="FR317" s="113">
        <v>0</v>
      </c>
      <c r="FS317" s="113">
        <v>0</v>
      </c>
      <c r="FT317" s="113">
        <v>0</v>
      </c>
      <c r="FU317" s="113">
        <v>0</v>
      </c>
      <c r="FV317" s="113">
        <v>0</v>
      </c>
      <c r="FW317" s="113">
        <v>173</v>
      </c>
      <c r="FX317" s="32">
        <v>0</v>
      </c>
      <c r="FY317" s="30">
        <v>0</v>
      </c>
      <c r="FZ317" s="30">
        <v>4</v>
      </c>
    </row>
    <row r="318" spans="1:182" x14ac:dyDescent="0.2">
      <c r="A318" s="28">
        <v>41244</v>
      </c>
      <c r="B318" s="28"/>
      <c r="C318" s="31">
        <v>348099.51</v>
      </c>
      <c r="D318" s="31">
        <v>577828.11</v>
      </c>
      <c r="E318" s="29">
        <f t="shared" si="8"/>
        <v>925927.62</v>
      </c>
      <c r="F318" s="40">
        <v>16939022.890000001</v>
      </c>
      <c r="G318" s="40">
        <v>1512474.7100000002</v>
      </c>
      <c r="H318" s="30">
        <f t="shared" si="9"/>
        <v>18451497.600000001</v>
      </c>
      <c r="I318" s="42" t="s">
        <v>75</v>
      </c>
      <c r="J318" s="42" t="s">
        <v>75</v>
      </c>
      <c r="K318" s="42">
        <v>11432197.590000002</v>
      </c>
      <c r="L318" s="31" t="s">
        <v>75</v>
      </c>
      <c r="M318" s="31" t="s">
        <v>75</v>
      </c>
      <c r="N318" s="31">
        <v>41475941.269999996</v>
      </c>
      <c r="O318" s="31" t="s">
        <v>75</v>
      </c>
      <c r="P318" s="31" t="s">
        <v>75</v>
      </c>
      <c r="Q318" s="31">
        <v>27005542.149999999</v>
      </c>
      <c r="R318" s="31" t="s">
        <v>75</v>
      </c>
      <c r="S318" s="31" t="s">
        <v>75</v>
      </c>
      <c r="T318" s="31">
        <v>199281.83</v>
      </c>
      <c r="U318" s="31">
        <v>40556.28</v>
      </c>
      <c r="V318" s="31">
        <v>29690.12</v>
      </c>
      <c r="W318" s="31">
        <f t="shared" si="11"/>
        <v>70246.399999999994</v>
      </c>
      <c r="X318" s="31">
        <v>128081.16</v>
      </c>
      <c r="Y318" s="31">
        <v>11040.949999999999</v>
      </c>
      <c r="Z318" s="30">
        <f t="shared" si="12"/>
        <v>139122.11000000002</v>
      </c>
      <c r="AA318" s="31">
        <v>116332.98999999999</v>
      </c>
      <c r="AB318" s="31">
        <v>31600.329999999998</v>
      </c>
      <c r="AC318" s="30">
        <f t="shared" si="13"/>
        <v>147933.31999999998</v>
      </c>
      <c r="AD318" s="31">
        <v>15811.380000000001</v>
      </c>
      <c r="AE318" s="31">
        <v>101107.69999999998</v>
      </c>
      <c r="AF318" s="30">
        <f t="shared" si="14"/>
        <v>116919.07999999999</v>
      </c>
      <c r="AG318" s="42">
        <v>59038.42</v>
      </c>
      <c r="AH318" s="42">
        <v>126424.88</v>
      </c>
      <c r="AI318" s="32">
        <f t="shared" si="15"/>
        <v>185463.3</v>
      </c>
      <c r="AJ318" s="31" t="s">
        <v>75</v>
      </c>
      <c r="AK318" s="31" t="s">
        <v>75</v>
      </c>
      <c r="AL318" s="31">
        <v>71308.75</v>
      </c>
      <c r="AM318" s="31"/>
      <c r="AN318" s="31"/>
      <c r="AO318" s="31"/>
      <c r="AP318" s="31"/>
      <c r="AQ318" s="31"/>
      <c r="AR318" s="31"/>
      <c r="AS318" s="31" t="s">
        <v>75</v>
      </c>
      <c r="AT318" s="31" t="s">
        <v>75</v>
      </c>
      <c r="AU318" s="35">
        <v>1505331.51</v>
      </c>
      <c r="AV318" s="31" t="s">
        <v>75</v>
      </c>
      <c r="AW318" s="31" t="s">
        <v>75</v>
      </c>
      <c r="AX318" s="36">
        <v>37520.75</v>
      </c>
      <c r="AY318" s="30">
        <v>9863839.8000000007</v>
      </c>
      <c r="AZ318" s="32">
        <v>2501526.5</v>
      </c>
      <c r="BA318" s="29">
        <f t="shared" si="16"/>
        <v>12365366.300000001</v>
      </c>
      <c r="BB318" s="31" t="s">
        <v>75</v>
      </c>
      <c r="BC318" s="31" t="s">
        <v>75</v>
      </c>
      <c r="BD318" s="31">
        <v>1912103</v>
      </c>
      <c r="BE318" s="113">
        <v>0</v>
      </c>
      <c r="BF318" s="113">
        <v>0</v>
      </c>
      <c r="BG318" s="113">
        <v>146</v>
      </c>
      <c r="BH318" s="113">
        <v>0</v>
      </c>
      <c r="BI318" s="113">
        <v>0</v>
      </c>
      <c r="BJ318" s="113">
        <v>0</v>
      </c>
      <c r="BK318" s="113">
        <v>0</v>
      </c>
      <c r="BL318" s="113">
        <v>0</v>
      </c>
      <c r="BM318" s="113">
        <v>239</v>
      </c>
      <c r="BN318" s="113">
        <v>0</v>
      </c>
      <c r="BO318" s="113">
        <v>0</v>
      </c>
      <c r="BP318" s="113">
        <v>0</v>
      </c>
      <c r="BQ318" s="113">
        <v>0</v>
      </c>
      <c r="BR318" s="113">
        <v>0</v>
      </c>
      <c r="BS318" s="113">
        <v>236</v>
      </c>
      <c r="BT318" s="113">
        <v>0</v>
      </c>
      <c r="BU318" s="113">
        <v>0</v>
      </c>
      <c r="BV318" s="113">
        <v>0</v>
      </c>
      <c r="BW318" s="113"/>
      <c r="BX318" s="113"/>
      <c r="BY318" s="113"/>
      <c r="BZ318" s="113">
        <v>0</v>
      </c>
      <c r="CA318" s="113">
        <v>0</v>
      </c>
      <c r="CB318" s="113">
        <v>276</v>
      </c>
      <c r="CC318" s="113"/>
      <c r="CD318" s="113"/>
      <c r="CE318" s="113"/>
      <c r="CF318" s="113">
        <v>0</v>
      </c>
      <c r="CG318" s="113">
        <v>0</v>
      </c>
      <c r="CH318" s="30">
        <v>3</v>
      </c>
      <c r="CI318" s="113">
        <v>0</v>
      </c>
      <c r="CJ318" s="113">
        <v>0</v>
      </c>
      <c r="CK318" s="30">
        <v>34</v>
      </c>
      <c r="CL318" s="30">
        <v>0</v>
      </c>
      <c r="CM318" s="30">
        <v>0</v>
      </c>
      <c r="CN318" s="30">
        <v>0</v>
      </c>
      <c r="CO318" s="113">
        <v>0</v>
      </c>
      <c r="CP318" s="113">
        <v>0</v>
      </c>
      <c r="CQ318" s="113">
        <v>15</v>
      </c>
      <c r="CR318" s="113">
        <v>0</v>
      </c>
      <c r="CS318" s="113">
        <v>0</v>
      </c>
      <c r="CT318" s="113">
        <v>0</v>
      </c>
      <c r="CU318" s="113">
        <v>0</v>
      </c>
      <c r="CV318" s="113">
        <v>0</v>
      </c>
      <c r="CW318" s="113">
        <v>275</v>
      </c>
      <c r="CX318" s="113">
        <v>0</v>
      </c>
      <c r="CY318" s="113">
        <v>0</v>
      </c>
      <c r="CZ318" s="113">
        <v>0</v>
      </c>
      <c r="DA318" s="113">
        <v>0</v>
      </c>
      <c r="DB318" s="113">
        <v>0</v>
      </c>
      <c r="DC318" s="113">
        <v>1</v>
      </c>
      <c r="DD318" s="113">
        <v>0</v>
      </c>
      <c r="DE318" s="113">
        <v>0</v>
      </c>
      <c r="DF318" s="113">
        <v>0</v>
      </c>
      <c r="DG318" s="113">
        <v>0</v>
      </c>
      <c r="DH318" s="113">
        <v>0</v>
      </c>
      <c r="DI318" s="113">
        <v>1</v>
      </c>
      <c r="DJ318" s="113">
        <v>0</v>
      </c>
      <c r="DK318" s="113">
        <v>0</v>
      </c>
      <c r="DL318" s="113">
        <v>0</v>
      </c>
      <c r="DM318" s="113">
        <v>0</v>
      </c>
      <c r="DN318" s="113">
        <v>0</v>
      </c>
      <c r="DO318" s="113">
        <v>0</v>
      </c>
      <c r="DP318" s="113">
        <v>0</v>
      </c>
      <c r="DQ318" s="113">
        <v>0</v>
      </c>
      <c r="DR318" s="113">
        <v>0</v>
      </c>
      <c r="DS318" s="113">
        <v>0</v>
      </c>
      <c r="DT318" s="113">
        <v>0</v>
      </c>
      <c r="DU318" s="113">
        <v>0</v>
      </c>
      <c r="DV318" s="113">
        <v>0</v>
      </c>
      <c r="DW318" s="113">
        <v>0</v>
      </c>
      <c r="DX318" s="113">
        <v>0</v>
      </c>
      <c r="DY318" s="113">
        <v>0</v>
      </c>
      <c r="DZ318" s="113">
        <v>0</v>
      </c>
      <c r="EA318" s="113">
        <v>694</v>
      </c>
      <c r="EB318" s="113">
        <v>0</v>
      </c>
      <c r="EC318" s="113">
        <v>0</v>
      </c>
      <c r="ED318" s="113">
        <v>0</v>
      </c>
      <c r="EE318" s="113">
        <v>0</v>
      </c>
      <c r="EF318" s="113">
        <v>0</v>
      </c>
      <c r="EG318" s="113">
        <v>1334</v>
      </c>
      <c r="EH318" s="113">
        <v>0</v>
      </c>
      <c r="EI318" s="113">
        <v>0</v>
      </c>
      <c r="EJ318" s="113">
        <v>0</v>
      </c>
      <c r="EK318" s="113">
        <v>0</v>
      </c>
      <c r="EL318" s="113">
        <v>0</v>
      </c>
      <c r="EM318" s="113">
        <v>718</v>
      </c>
      <c r="EN318" s="113">
        <v>0</v>
      </c>
      <c r="EO318" s="113">
        <v>0</v>
      </c>
      <c r="EP318" s="113">
        <v>0</v>
      </c>
      <c r="EQ318" s="113">
        <v>0</v>
      </c>
      <c r="ER318" s="113">
        <v>0</v>
      </c>
      <c r="ES318" s="113">
        <v>85</v>
      </c>
      <c r="ET318" s="113">
        <v>0</v>
      </c>
      <c r="EU318" s="113">
        <v>0</v>
      </c>
      <c r="EV318" s="113">
        <v>0</v>
      </c>
      <c r="EW318" s="113">
        <v>0</v>
      </c>
      <c r="EX318" s="113">
        <v>0</v>
      </c>
      <c r="EY318" s="113">
        <v>10</v>
      </c>
      <c r="EZ318" s="113">
        <v>0</v>
      </c>
      <c r="FA318" s="113">
        <v>0</v>
      </c>
      <c r="FB318" s="113">
        <v>0</v>
      </c>
      <c r="FC318" s="113">
        <v>0</v>
      </c>
      <c r="FD318" s="113">
        <v>0</v>
      </c>
      <c r="FE318" s="113">
        <v>19</v>
      </c>
      <c r="FF318" s="113">
        <v>0</v>
      </c>
      <c r="FG318" s="113">
        <v>0</v>
      </c>
      <c r="FH318" s="113">
        <v>0</v>
      </c>
      <c r="FI318" s="113">
        <v>0</v>
      </c>
      <c r="FJ318" s="113">
        <v>0</v>
      </c>
      <c r="FK318" s="30">
        <v>24</v>
      </c>
      <c r="FL318" s="113">
        <v>0</v>
      </c>
      <c r="FM318" s="113">
        <v>0</v>
      </c>
      <c r="FN318" s="113">
        <v>10106</v>
      </c>
      <c r="FO318" s="113">
        <v>0</v>
      </c>
      <c r="FP318" s="113">
        <v>0</v>
      </c>
      <c r="FQ318" s="113">
        <v>1149</v>
      </c>
      <c r="FR318" s="113">
        <v>0</v>
      </c>
      <c r="FS318" s="113">
        <v>0</v>
      </c>
      <c r="FT318" s="113">
        <v>0</v>
      </c>
      <c r="FU318" s="113">
        <v>0</v>
      </c>
      <c r="FV318" s="113">
        <v>0</v>
      </c>
      <c r="FW318" s="113">
        <v>203</v>
      </c>
      <c r="FX318" s="32">
        <v>0</v>
      </c>
      <c r="FY318" s="30">
        <v>0</v>
      </c>
      <c r="FZ318" s="30">
        <v>5</v>
      </c>
    </row>
    <row r="319" spans="1:182" x14ac:dyDescent="0.2">
      <c r="A319" s="41">
        <v>41275</v>
      </c>
      <c r="B319" s="41"/>
      <c r="C319" s="42">
        <v>116527.7</v>
      </c>
      <c r="D319" s="42">
        <v>219910.95</v>
      </c>
      <c r="E319" s="29">
        <f t="shared" si="8"/>
        <v>336438.65</v>
      </c>
      <c r="F319" s="44">
        <v>9580160.9100000001</v>
      </c>
      <c r="G319" s="44">
        <v>950855.31</v>
      </c>
      <c r="H319" s="30">
        <f t="shared" si="9"/>
        <v>10531016.220000001</v>
      </c>
      <c r="I319" s="42" t="s">
        <v>75</v>
      </c>
      <c r="J319" s="42" t="s">
        <v>75</v>
      </c>
      <c r="K319" s="42">
        <v>12504468.779999999</v>
      </c>
      <c r="L319" s="42" t="s">
        <v>75</v>
      </c>
      <c r="M319" s="42" t="s">
        <v>75</v>
      </c>
      <c r="N319" s="42">
        <v>30552749.170000002</v>
      </c>
      <c r="O319" s="42" t="s">
        <v>75</v>
      </c>
      <c r="P319" s="42" t="s">
        <v>75</v>
      </c>
      <c r="Q319" s="42">
        <v>29904304.5</v>
      </c>
      <c r="R319" s="42" t="s">
        <v>75</v>
      </c>
      <c r="S319" s="42" t="s">
        <v>75</v>
      </c>
      <c r="T319" s="42">
        <v>108918.97</v>
      </c>
      <c r="U319" s="42">
        <v>3503.9300000000003</v>
      </c>
      <c r="V319" s="42">
        <v>7896.68</v>
      </c>
      <c r="W319" s="31">
        <f t="shared" si="11"/>
        <v>11400.61</v>
      </c>
      <c r="X319" s="42">
        <v>59831.199999999997</v>
      </c>
      <c r="Y319" s="42">
        <v>6556.6</v>
      </c>
      <c r="Z319" s="30">
        <f t="shared" si="12"/>
        <v>66387.8</v>
      </c>
      <c r="AA319" s="42">
        <v>102900.51</v>
      </c>
      <c r="AB319" s="42">
        <v>29433.66</v>
      </c>
      <c r="AC319" s="30">
        <f t="shared" si="13"/>
        <v>132334.16999999998</v>
      </c>
      <c r="AD319" s="42">
        <v>12228.55</v>
      </c>
      <c r="AE319" s="42">
        <v>16318.440000000002</v>
      </c>
      <c r="AF319" s="30">
        <f t="shared" si="14"/>
        <v>28546.99</v>
      </c>
      <c r="AG319" s="42">
        <v>44435.249999999993</v>
      </c>
      <c r="AH319" s="42">
        <v>88787.049999999988</v>
      </c>
      <c r="AI319" s="32">
        <f t="shared" si="15"/>
        <v>133222.29999999999</v>
      </c>
      <c r="AJ319" s="42" t="s">
        <v>75</v>
      </c>
      <c r="AK319" s="42" t="s">
        <v>75</v>
      </c>
      <c r="AL319" s="42">
        <v>72756.25</v>
      </c>
      <c r="AM319" s="42"/>
      <c r="AN319" s="42"/>
      <c r="AO319" s="42"/>
      <c r="AP319" s="42"/>
      <c r="AQ319" s="42"/>
      <c r="AR319" s="42"/>
      <c r="AS319" s="42" t="s">
        <v>75</v>
      </c>
      <c r="AT319" s="42" t="s">
        <v>75</v>
      </c>
      <c r="AU319" s="45">
        <v>1553209.86</v>
      </c>
      <c r="AV319" s="42" t="s">
        <v>75</v>
      </c>
      <c r="AW319" s="42" t="s">
        <v>75</v>
      </c>
      <c r="AX319" s="46">
        <v>49514.58</v>
      </c>
      <c r="AY319" s="30">
        <v>9109929.8000000007</v>
      </c>
      <c r="AZ319" s="32">
        <v>1070566.5</v>
      </c>
      <c r="BA319" s="43">
        <f t="shared" si="16"/>
        <v>10180496.300000001</v>
      </c>
      <c r="BB319" s="42" t="s">
        <v>75</v>
      </c>
      <c r="BC319" s="42" t="s">
        <v>75</v>
      </c>
      <c r="BD319" s="42">
        <v>1435096.4</v>
      </c>
      <c r="BE319" s="88">
        <v>0</v>
      </c>
      <c r="BF319" s="88">
        <v>0</v>
      </c>
      <c r="BG319" s="88">
        <v>146</v>
      </c>
      <c r="BH319" s="88">
        <v>0</v>
      </c>
      <c r="BI319" s="88">
        <v>0</v>
      </c>
      <c r="BJ319" s="88">
        <v>0</v>
      </c>
      <c r="BK319" s="88">
        <v>0</v>
      </c>
      <c r="BL319" s="88">
        <v>0</v>
      </c>
      <c r="BM319" s="88">
        <v>177</v>
      </c>
      <c r="BN319" s="88">
        <v>0</v>
      </c>
      <c r="BO319" s="88">
        <v>0</v>
      </c>
      <c r="BP319" s="88">
        <v>0</v>
      </c>
      <c r="BQ319" s="88">
        <v>0</v>
      </c>
      <c r="BR319" s="88">
        <v>0</v>
      </c>
      <c r="BS319" s="88">
        <v>367</v>
      </c>
      <c r="BT319" s="88">
        <v>0</v>
      </c>
      <c r="BU319" s="88">
        <v>0</v>
      </c>
      <c r="BV319" s="88">
        <v>0</v>
      </c>
      <c r="BW319" s="88"/>
      <c r="BX319" s="88"/>
      <c r="BY319" s="88"/>
      <c r="BZ319" s="88">
        <v>0</v>
      </c>
      <c r="CA319" s="88">
        <v>0</v>
      </c>
      <c r="CB319" s="88">
        <v>223</v>
      </c>
      <c r="CC319" s="88"/>
      <c r="CD319" s="88"/>
      <c r="CE319" s="88"/>
      <c r="CF319" s="88">
        <v>0</v>
      </c>
      <c r="CG319" s="88">
        <v>0</v>
      </c>
      <c r="CH319" s="32">
        <v>7</v>
      </c>
      <c r="CI319" s="88">
        <v>0</v>
      </c>
      <c r="CJ319" s="88">
        <v>0</v>
      </c>
      <c r="CK319" s="32">
        <v>38</v>
      </c>
      <c r="CL319" s="32">
        <v>0</v>
      </c>
      <c r="CM319" s="32">
        <v>0</v>
      </c>
      <c r="CN319" s="32">
        <v>0</v>
      </c>
      <c r="CO319" s="88">
        <v>0</v>
      </c>
      <c r="CP319" s="88">
        <v>0</v>
      </c>
      <c r="CQ319" s="88">
        <v>11</v>
      </c>
      <c r="CR319" s="88">
        <v>0</v>
      </c>
      <c r="CS319" s="88">
        <v>0</v>
      </c>
      <c r="CT319" s="88">
        <v>0</v>
      </c>
      <c r="CU319" s="88">
        <v>0</v>
      </c>
      <c r="CV319" s="88">
        <v>0</v>
      </c>
      <c r="CW319" s="88">
        <v>165</v>
      </c>
      <c r="CX319" s="88">
        <v>0</v>
      </c>
      <c r="CY319" s="88">
        <v>0</v>
      </c>
      <c r="CZ319" s="88">
        <v>0</v>
      </c>
      <c r="DA319" s="88">
        <v>0</v>
      </c>
      <c r="DB319" s="88">
        <v>0</v>
      </c>
      <c r="DC319" s="88">
        <v>0</v>
      </c>
      <c r="DD319" s="88">
        <v>0</v>
      </c>
      <c r="DE319" s="88">
        <v>0</v>
      </c>
      <c r="DF319" s="88">
        <v>0</v>
      </c>
      <c r="DG319" s="88">
        <v>0</v>
      </c>
      <c r="DH319" s="88">
        <v>0</v>
      </c>
      <c r="DI319" s="88">
        <v>2</v>
      </c>
      <c r="DJ319" s="88">
        <v>0</v>
      </c>
      <c r="DK319" s="88">
        <v>0</v>
      </c>
      <c r="DL319" s="88">
        <v>0</v>
      </c>
      <c r="DM319" s="88">
        <v>0</v>
      </c>
      <c r="DN319" s="88">
        <v>0</v>
      </c>
      <c r="DO319" s="88">
        <v>0</v>
      </c>
      <c r="DP319" s="88">
        <v>0</v>
      </c>
      <c r="DQ319" s="88">
        <v>0</v>
      </c>
      <c r="DR319" s="113">
        <v>0</v>
      </c>
      <c r="DS319" s="88">
        <v>0</v>
      </c>
      <c r="DT319" s="88">
        <v>0</v>
      </c>
      <c r="DU319" s="88">
        <v>0</v>
      </c>
      <c r="DV319" s="88">
        <v>0</v>
      </c>
      <c r="DW319" s="88">
        <v>0</v>
      </c>
      <c r="DX319" s="88">
        <v>0</v>
      </c>
      <c r="DY319" s="88">
        <v>0</v>
      </c>
      <c r="DZ319" s="88">
        <v>0</v>
      </c>
      <c r="EA319" s="88">
        <v>1257</v>
      </c>
      <c r="EB319" s="88">
        <v>0</v>
      </c>
      <c r="EC319" s="88">
        <v>0</v>
      </c>
      <c r="ED319" s="88">
        <v>0</v>
      </c>
      <c r="EE319" s="88">
        <v>0</v>
      </c>
      <c r="EF319" s="88">
        <v>0</v>
      </c>
      <c r="EG319" s="88">
        <v>817</v>
      </c>
      <c r="EH319" s="88">
        <v>0</v>
      </c>
      <c r="EI319" s="88">
        <v>0</v>
      </c>
      <c r="EJ319" s="88">
        <v>0</v>
      </c>
      <c r="EK319" s="88">
        <v>0</v>
      </c>
      <c r="EL319" s="88">
        <v>0</v>
      </c>
      <c r="EM319" s="88">
        <v>329</v>
      </c>
      <c r="EN319" s="88">
        <v>0</v>
      </c>
      <c r="EO319" s="88">
        <v>0</v>
      </c>
      <c r="EP319" s="88">
        <v>1</v>
      </c>
      <c r="EQ319" s="88">
        <v>0</v>
      </c>
      <c r="ER319" s="88">
        <v>0</v>
      </c>
      <c r="ES319" s="88">
        <v>59</v>
      </c>
      <c r="ET319" s="88">
        <v>0</v>
      </c>
      <c r="EU319" s="88">
        <v>0</v>
      </c>
      <c r="EV319" s="88">
        <v>0</v>
      </c>
      <c r="EW319" s="88">
        <v>0</v>
      </c>
      <c r="EX319" s="88">
        <v>0</v>
      </c>
      <c r="EY319" s="88">
        <v>3</v>
      </c>
      <c r="EZ319" s="88">
        <v>0</v>
      </c>
      <c r="FA319" s="88">
        <v>0</v>
      </c>
      <c r="FB319" s="88">
        <v>0</v>
      </c>
      <c r="FC319" s="88">
        <v>0</v>
      </c>
      <c r="FD319" s="88">
        <v>0</v>
      </c>
      <c r="FE319" s="88">
        <v>17</v>
      </c>
      <c r="FF319" s="88">
        <v>0</v>
      </c>
      <c r="FG319" s="88">
        <v>0</v>
      </c>
      <c r="FH319" s="88">
        <v>0</v>
      </c>
      <c r="FI319" s="88">
        <v>0</v>
      </c>
      <c r="FJ319" s="88">
        <v>0</v>
      </c>
      <c r="FK319" s="32">
        <v>5</v>
      </c>
      <c r="FL319" s="88">
        <v>0</v>
      </c>
      <c r="FM319" s="88">
        <v>0</v>
      </c>
      <c r="FN319" s="88">
        <v>8941</v>
      </c>
      <c r="FO319" s="88">
        <v>0</v>
      </c>
      <c r="FP319" s="88">
        <v>0</v>
      </c>
      <c r="FQ319" s="88">
        <v>1129</v>
      </c>
      <c r="FR319" s="88">
        <v>0</v>
      </c>
      <c r="FS319" s="88">
        <v>0</v>
      </c>
      <c r="FT319" s="88">
        <v>0</v>
      </c>
      <c r="FU319" s="88">
        <v>0</v>
      </c>
      <c r="FV319" s="88">
        <v>0</v>
      </c>
      <c r="FW319" s="88">
        <v>236</v>
      </c>
      <c r="FX319" s="32">
        <v>0</v>
      </c>
      <c r="FY319" s="30">
        <v>0</v>
      </c>
      <c r="FZ319" s="30">
        <v>1</v>
      </c>
    </row>
    <row r="320" spans="1:182" x14ac:dyDescent="0.2">
      <c r="A320" s="28">
        <v>41306</v>
      </c>
      <c r="B320" s="28"/>
      <c r="C320" s="31">
        <v>174561.22</v>
      </c>
      <c r="D320" s="31">
        <v>206921.22</v>
      </c>
      <c r="E320" s="29">
        <f t="shared" si="8"/>
        <v>381482.44</v>
      </c>
      <c r="F320" s="40">
        <v>9004269.5999999996</v>
      </c>
      <c r="G320" s="40">
        <v>617349.57999999996</v>
      </c>
      <c r="H320" s="30">
        <f t="shared" si="9"/>
        <v>9621619.1799999997</v>
      </c>
      <c r="I320" s="42" t="s">
        <v>75</v>
      </c>
      <c r="J320" s="42" t="s">
        <v>75</v>
      </c>
      <c r="K320" s="42">
        <v>11137267.51</v>
      </c>
      <c r="L320" s="31" t="s">
        <v>75</v>
      </c>
      <c r="M320" s="31" t="s">
        <v>75</v>
      </c>
      <c r="N320" s="31">
        <v>26320801.170000002</v>
      </c>
      <c r="O320" s="31" t="s">
        <v>75</v>
      </c>
      <c r="P320" s="31" t="s">
        <v>75</v>
      </c>
      <c r="Q320" s="31">
        <v>28028831.75</v>
      </c>
      <c r="R320" s="31" t="s">
        <v>75</v>
      </c>
      <c r="S320" s="31" t="s">
        <v>75</v>
      </c>
      <c r="T320" s="31">
        <v>120185.08</v>
      </c>
      <c r="U320" s="31">
        <v>1838.0900000000001</v>
      </c>
      <c r="V320" s="31">
        <v>2127.73</v>
      </c>
      <c r="W320" s="31">
        <f t="shared" si="11"/>
        <v>3965.82</v>
      </c>
      <c r="X320" s="31">
        <v>34111.410000000003</v>
      </c>
      <c r="Y320" s="31">
        <v>6087.35</v>
      </c>
      <c r="Z320" s="30">
        <f t="shared" si="12"/>
        <v>40198.76</v>
      </c>
      <c r="AA320" s="31">
        <v>94803.22</v>
      </c>
      <c r="AB320" s="31">
        <v>12942.29</v>
      </c>
      <c r="AC320" s="30">
        <f t="shared" si="13"/>
        <v>107745.51000000001</v>
      </c>
      <c r="AD320" s="31">
        <v>4180.68</v>
      </c>
      <c r="AE320" s="31">
        <v>8924.7800000000007</v>
      </c>
      <c r="AF320" s="30">
        <f t="shared" si="14"/>
        <v>13105.460000000001</v>
      </c>
      <c r="AG320" s="42">
        <v>26821.01</v>
      </c>
      <c r="AH320" s="42">
        <v>55293.72</v>
      </c>
      <c r="AI320" s="32">
        <f t="shared" si="15"/>
        <v>82114.73</v>
      </c>
      <c r="AJ320" s="31" t="s">
        <v>75</v>
      </c>
      <c r="AK320" s="31" t="s">
        <v>75</v>
      </c>
      <c r="AL320" s="31">
        <v>49706.25</v>
      </c>
      <c r="AM320" s="31"/>
      <c r="AN320" s="31"/>
      <c r="AO320" s="31"/>
      <c r="AP320" s="31"/>
      <c r="AQ320" s="31"/>
      <c r="AR320" s="31"/>
      <c r="AS320" s="31" t="s">
        <v>75</v>
      </c>
      <c r="AT320" s="31" t="s">
        <v>75</v>
      </c>
      <c r="AU320" s="35">
        <v>1280777.31</v>
      </c>
      <c r="AV320" s="31" t="s">
        <v>75</v>
      </c>
      <c r="AW320" s="31" t="s">
        <v>75</v>
      </c>
      <c r="AX320" s="36">
        <v>44342.77</v>
      </c>
      <c r="AY320" s="30">
        <v>8026322.5999999996</v>
      </c>
      <c r="AZ320" s="32">
        <v>1446830.25</v>
      </c>
      <c r="BA320" s="29">
        <f t="shared" si="16"/>
        <v>9473152.8499999996</v>
      </c>
      <c r="BB320" s="31" t="s">
        <v>75</v>
      </c>
      <c r="BC320" s="31" t="s">
        <v>75</v>
      </c>
      <c r="BD320" s="31">
        <v>1305294.6444444444</v>
      </c>
      <c r="BE320" s="113">
        <v>0</v>
      </c>
      <c r="BF320" s="113">
        <v>0</v>
      </c>
      <c r="BG320" s="113">
        <v>93</v>
      </c>
      <c r="BH320" s="113">
        <v>0</v>
      </c>
      <c r="BI320" s="113">
        <v>0</v>
      </c>
      <c r="BJ320" s="113">
        <v>0</v>
      </c>
      <c r="BK320" s="113">
        <v>0</v>
      </c>
      <c r="BL320" s="113">
        <v>0</v>
      </c>
      <c r="BM320" s="113">
        <v>179</v>
      </c>
      <c r="BN320" s="113">
        <v>0</v>
      </c>
      <c r="BO320" s="113">
        <v>0</v>
      </c>
      <c r="BP320" s="113">
        <v>0</v>
      </c>
      <c r="BQ320" s="113">
        <v>0</v>
      </c>
      <c r="BR320" s="113">
        <v>0</v>
      </c>
      <c r="BS320" s="113">
        <v>216</v>
      </c>
      <c r="BT320" s="113">
        <v>0</v>
      </c>
      <c r="BU320" s="113">
        <v>0</v>
      </c>
      <c r="BV320" s="113">
        <v>0</v>
      </c>
      <c r="BW320" s="113"/>
      <c r="BX320" s="113"/>
      <c r="BY320" s="113"/>
      <c r="BZ320" s="113">
        <v>0</v>
      </c>
      <c r="CA320" s="113">
        <v>0</v>
      </c>
      <c r="CB320" s="113">
        <v>188</v>
      </c>
      <c r="CC320" s="113"/>
      <c r="CD320" s="113"/>
      <c r="CE320" s="113"/>
      <c r="CF320" s="113">
        <v>0</v>
      </c>
      <c r="CG320" s="113">
        <v>0</v>
      </c>
      <c r="CH320" s="30">
        <v>4</v>
      </c>
      <c r="CI320" s="113">
        <v>0</v>
      </c>
      <c r="CJ320" s="113">
        <v>0</v>
      </c>
      <c r="CK320" s="30">
        <v>54</v>
      </c>
      <c r="CL320" s="30">
        <v>0</v>
      </c>
      <c r="CM320" s="30">
        <v>0</v>
      </c>
      <c r="CN320" s="30">
        <v>0</v>
      </c>
      <c r="CO320" s="113">
        <v>0</v>
      </c>
      <c r="CP320" s="113">
        <v>0</v>
      </c>
      <c r="CQ320" s="113">
        <v>15</v>
      </c>
      <c r="CR320" s="113">
        <v>0</v>
      </c>
      <c r="CS320" s="113">
        <v>0</v>
      </c>
      <c r="CT320" s="113">
        <v>0</v>
      </c>
      <c r="CU320" s="113">
        <v>0</v>
      </c>
      <c r="CV320" s="113">
        <v>0</v>
      </c>
      <c r="CW320" s="113">
        <v>143</v>
      </c>
      <c r="CX320" s="113">
        <v>0</v>
      </c>
      <c r="CY320" s="113">
        <v>0</v>
      </c>
      <c r="CZ320" s="113">
        <v>0</v>
      </c>
      <c r="DA320" s="113">
        <v>0</v>
      </c>
      <c r="DB320" s="113">
        <v>0</v>
      </c>
      <c r="DC320" s="113">
        <v>0</v>
      </c>
      <c r="DD320" s="113">
        <v>0</v>
      </c>
      <c r="DE320" s="113">
        <v>0</v>
      </c>
      <c r="DF320" s="113">
        <v>0</v>
      </c>
      <c r="DG320" s="113">
        <v>0</v>
      </c>
      <c r="DH320" s="113">
        <v>0</v>
      </c>
      <c r="DI320" s="113">
        <v>2</v>
      </c>
      <c r="DJ320" s="113">
        <v>0</v>
      </c>
      <c r="DK320" s="113">
        <v>0</v>
      </c>
      <c r="DL320" s="113">
        <v>0</v>
      </c>
      <c r="DM320" s="113">
        <v>0</v>
      </c>
      <c r="DN320" s="113">
        <v>0</v>
      </c>
      <c r="DO320" s="113">
        <v>0</v>
      </c>
      <c r="DP320" s="113">
        <v>0</v>
      </c>
      <c r="DQ320" s="113">
        <v>0</v>
      </c>
      <c r="DR320" s="113">
        <v>0</v>
      </c>
      <c r="DS320" s="113">
        <v>0</v>
      </c>
      <c r="DT320" s="113">
        <v>0</v>
      </c>
      <c r="DU320" s="113">
        <v>2</v>
      </c>
      <c r="DV320" s="113">
        <v>0</v>
      </c>
      <c r="DW320" s="113">
        <v>0</v>
      </c>
      <c r="DX320" s="113">
        <v>0</v>
      </c>
      <c r="DY320" s="113">
        <v>0</v>
      </c>
      <c r="DZ320" s="113">
        <v>0</v>
      </c>
      <c r="EA320" s="113">
        <v>852</v>
      </c>
      <c r="EB320" s="113">
        <v>0</v>
      </c>
      <c r="EC320" s="113">
        <v>0</v>
      </c>
      <c r="ED320" s="113">
        <v>0</v>
      </c>
      <c r="EE320" s="113">
        <v>0</v>
      </c>
      <c r="EF320" s="113">
        <v>0</v>
      </c>
      <c r="EG320" s="113">
        <v>880</v>
      </c>
      <c r="EH320" s="113">
        <v>0</v>
      </c>
      <c r="EI320" s="113">
        <v>0</v>
      </c>
      <c r="EJ320" s="113">
        <v>0</v>
      </c>
      <c r="EK320" s="113">
        <v>0</v>
      </c>
      <c r="EL320" s="113">
        <v>0</v>
      </c>
      <c r="EM320" s="113">
        <v>550</v>
      </c>
      <c r="EN320" s="113">
        <v>0</v>
      </c>
      <c r="EO320" s="113">
        <v>0</v>
      </c>
      <c r="EP320" s="113">
        <v>0</v>
      </c>
      <c r="EQ320" s="113">
        <v>0</v>
      </c>
      <c r="ER320" s="113">
        <v>0</v>
      </c>
      <c r="ES320" s="113">
        <v>54</v>
      </c>
      <c r="ET320" s="113">
        <v>0</v>
      </c>
      <c r="EU320" s="113">
        <v>0</v>
      </c>
      <c r="EV320" s="113">
        <v>0</v>
      </c>
      <c r="EW320" s="113">
        <v>0</v>
      </c>
      <c r="EX320" s="113">
        <v>0</v>
      </c>
      <c r="EY320" s="113">
        <v>5</v>
      </c>
      <c r="EZ320" s="113">
        <v>0</v>
      </c>
      <c r="FA320" s="113">
        <v>0</v>
      </c>
      <c r="FB320" s="113">
        <v>0</v>
      </c>
      <c r="FC320" s="113">
        <v>0</v>
      </c>
      <c r="FD320" s="113">
        <v>0</v>
      </c>
      <c r="FE320" s="113">
        <v>10</v>
      </c>
      <c r="FF320" s="113">
        <v>0</v>
      </c>
      <c r="FG320" s="113">
        <v>0</v>
      </c>
      <c r="FH320" s="113">
        <v>0</v>
      </c>
      <c r="FI320" s="113">
        <v>0</v>
      </c>
      <c r="FJ320" s="113">
        <v>0</v>
      </c>
      <c r="FK320" s="30">
        <v>5</v>
      </c>
      <c r="FL320" s="113">
        <v>0</v>
      </c>
      <c r="FM320" s="113">
        <v>0</v>
      </c>
      <c r="FN320" s="113">
        <v>7277.01</v>
      </c>
      <c r="FO320" s="113">
        <v>0</v>
      </c>
      <c r="FP320" s="113">
        <v>0</v>
      </c>
      <c r="FQ320" s="113">
        <v>864</v>
      </c>
      <c r="FR320" s="113">
        <v>0</v>
      </c>
      <c r="FS320" s="113">
        <v>0</v>
      </c>
      <c r="FT320" s="113">
        <v>0</v>
      </c>
      <c r="FU320" s="113">
        <v>0</v>
      </c>
      <c r="FV320" s="113">
        <v>0</v>
      </c>
      <c r="FW320" s="113">
        <v>134</v>
      </c>
      <c r="FX320" s="32">
        <v>0</v>
      </c>
      <c r="FY320" s="30">
        <v>0</v>
      </c>
      <c r="FZ320" s="30">
        <v>5</v>
      </c>
    </row>
    <row r="321" spans="1:182" x14ac:dyDescent="0.2">
      <c r="A321" s="28">
        <v>41334</v>
      </c>
      <c r="B321" s="28"/>
      <c r="C321" s="31">
        <v>176707.91</v>
      </c>
      <c r="D321" s="31">
        <v>219399.08000000002</v>
      </c>
      <c r="E321" s="29">
        <f t="shared" si="8"/>
        <v>396106.99</v>
      </c>
      <c r="F321" s="40">
        <v>6218738.3100000005</v>
      </c>
      <c r="G321" s="40">
        <v>567121.27</v>
      </c>
      <c r="H321" s="30">
        <f t="shared" si="9"/>
        <v>6785859.5800000001</v>
      </c>
      <c r="I321" s="42" t="s">
        <v>75</v>
      </c>
      <c r="J321" s="42" t="s">
        <v>75</v>
      </c>
      <c r="K321" s="42">
        <v>8740024.0600000005</v>
      </c>
      <c r="L321" s="31" t="s">
        <v>75</v>
      </c>
      <c r="M321" s="31" t="s">
        <v>75</v>
      </c>
      <c r="N321" s="31">
        <v>26777270.370000001</v>
      </c>
      <c r="O321" s="31" t="s">
        <v>75</v>
      </c>
      <c r="P321" s="31" t="s">
        <v>75</v>
      </c>
      <c r="Q321" s="31">
        <v>24882753.5</v>
      </c>
      <c r="R321" s="31" t="s">
        <v>75</v>
      </c>
      <c r="S321" s="31" t="s">
        <v>75</v>
      </c>
      <c r="T321" s="31">
        <v>113736.8</v>
      </c>
      <c r="U321" s="31">
        <v>2688.93</v>
      </c>
      <c r="V321" s="31">
        <v>3038.5299999999997</v>
      </c>
      <c r="W321" s="31">
        <f t="shared" si="11"/>
        <v>5727.4599999999991</v>
      </c>
      <c r="X321" s="31">
        <v>43957.340000000004</v>
      </c>
      <c r="Y321" s="31">
        <v>5725.7999999999993</v>
      </c>
      <c r="Z321" s="30">
        <f t="shared" si="12"/>
        <v>49683.14</v>
      </c>
      <c r="AA321" s="31">
        <v>189494.49</v>
      </c>
      <c r="AB321" s="31">
        <v>17334.280000000002</v>
      </c>
      <c r="AC321" s="30">
        <f t="shared" si="13"/>
        <v>206828.77</v>
      </c>
      <c r="AD321" s="31">
        <v>7745.87</v>
      </c>
      <c r="AE321" s="31">
        <v>6621.91</v>
      </c>
      <c r="AF321" s="30">
        <f t="shared" si="14"/>
        <v>14367.779999999999</v>
      </c>
      <c r="AG321" s="42">
        <v>24276.970000000005</v>
      </c>
      <c r="AH321" s="42">
        <v>35289.220000000008</v>
      </c>
      <c r="AI321" s="32">
        <f t="shared" si="15"/>
        <v>59566.190000000017</v>
      </c>
      <c r="AJ321" s="31" t="s">
        <v>75</v>
      </c>
      <c r="AK321" s="31" t="s">
        <v>75</v>
      </c>
      <c r="AL321" s="31">
        <v>45341.25</v>
      </c>
      <c r="AM321" s="31"/>
      <c r="AN321" s="31"/>
      <c r="AO321" s="31"/>
      <c r="AP321" s="31"/>
      <c r="AQ321" s="31"/>
      <c r="AR321" s="31"/>
      <c r="AS321" s="31" t="s">
        <v>75</v>
      </c>
      <c r="AT321" s="31" t="s">
        <v>75</v>
      </c>
      <c r="AU321" s="35">
        <v>1671507.02</v>
      </c>
      <c r="AV321" s="31" t="s">
        <v>75</v>
      </c>
      <c r="AW321" s="31" t="s">
        <v>75</v>
      </c>
      <c r="AX321" s="36">
        <v>42352.46</v>
      </c>
      <c r="AY321" s="30">
        <v>7969791</v>
      </c>
      <c r="AZ321" s="32">
        <v>2026376.5</v>
      </c>
      <c r="BA321" s="29">
        <f t="shared" si="16"/>
        <v>9996167.5</v>
      </c>
      <c r="BB321" s="31" t="s">
        <v>75</v>
      </c>
      <c r="BC321" s="31" t="s">
        <v>75</v>
      </c>
      <c r="BD321" s="31">
        <v>1508632.7777777778</v>
      </c>
      <c r="BE321" s="113">
        <v>0</v>
      </c>
      <c r="BF321" s="113">
        <v>0</v>
      </c>
      <c r="BG321" s="113">
        <v>151</v>
      </c>
      <c r="BH321" s="113">
        <v>0</v>
      </c>
      <c r="BI321" s="113">
        <v>0</v>
      </c>
      <c r="BJ321" s="113">
        <v>0</v>
      </c>
      <c r="BK321" s="113">
        <v>0</v>
      </c>
      <c r="BL321" s="113">
        <v>0</v>
      </c>
      <c r="BM321" s="113">
        <v>254</v>
      </c>
      <c r="BN321" s="113">
        <v>0</v>
      </c>
      <c r="BO321" s="113">
        <v>0</v>
      </c>
      <c r="BP321" s="113">
        <v>0</v>
      </c>
      <c r="BQ321" s="113">
        <v>0</v>
      </c>
      <c r="BR321" s="113">
        <v>0</v>
      </c>
      <c r="BS321" s="113">
        <v>262</v>
      </c>
      <c r="BT321" s="113">
        <v>0</v>
      </c>
      <c r="BU321" s="113">
        <v>0</v>
      </c>
      <c r="BV321" s="113">
        <v>0</v>
      </c>
      <c r="BW321" s="113"/>
      <c r="BX321" s="113"/>
      <c r="BY321" s="113"/>
      <c r="BZ321" s="113">
        <v>0</v>
      </c>
      <c r="CA321" s="113">
        <v>0</v>
      </c>
      <c r="CB321" s="113">
        <v>229</v>
      </c>
      <c r="CC321" s="113"/>
      <c r="CD321" s="113"/>
      <c r="CE321" s="113"/>
      <c r="CF321" s="113">
        <v>0</v>
      </c>
      <c r="CG321" s="113">
        <v>0</v>
      </c>
      <c r="CH321" s="30">
        <v>11</v>
      </c>
      <c r="CI321" s="113">
        <v>0</v>
      </c>
      <c r="CJ321" s="113">
        <v>0</v>
      </c>
      <c r="CK321" s="30">
        <v>36</v>
      </c>
      <c r="CL321" s="30">
        <v>0</v>
      </c>
      <c r="CM321" s="30">
        <v>0</v>
      </c>
      <c r="CN321" s="30">
        <v>0</v>
      </c>
      <c r="CO321" s="113">
        <v>0</v>
      </c>
      <c r="CP321" s="113">
        <v>0</v>
      </c>
      <c r="CQ321" s="113">
        <v>6</v>
      </c>
      <c r="CR321" s="113">
        <v>0</v>
      </c>
      <c r="CS321" s="113">
        <v>0</v>
      </c>
      <c r="CT321" s="113">
        <v>0</v>
      </c>
      <c r="CU321" s="113">
        <v>0</v>
      </c>
      <c r="CV321" s="113">
        <v>0</v>
      </c>
      <c r="CW321" s="113">
        <v>170</v>
      </c>
      <c r="CX321" s="113">
        <v>0</v>
      </c>
      <c r="CY321" s="113">
        <v>0</v>
      </c>
      <c r="CZ321" s="113">
        <v>0</v>
      </c>
      <c r="DA321" s="113">
        <v>0</v>
      </c>
      <c r="DB321" s="113">
        <v>0</v>
      </c>
      <c r="DC321" s="113">
        <v>0</v>
      </c>
      <c r="DD321" s="113">
        <v>0</v>
      </c>
      <c r="DE321" s="113">
        <v>0</v>
      </c>
      <c r="DF321" s="113">
        <v>0</v>
      </c>
      <c r="DG321" s="113">
        <v>0</v>
      </c>
      <c r="DH321" s="113">
        <v>0</v>
      </c>
      <c r="DI321" s="113">
        <v>0</v>
      </c>
      <c r="DJ321" s="113">
        <v>0</v>
      </c>
      <c r="DK321" s="113">
        <v>0</v>
      </c>
      <c r="DL321" s="113">
        <v>0</v>
      </c>
      <c r="DM321" s="113">
        <v>0</v>
      </c>
      <c r="DN321" s="113">
        <v>0</v>
      </c>
      <c r="DO321" s="113">
        <v>0</v>
      </c>
      <c r="DP321" s="113">
        <v>0</v>
      </c>
      <c r="DQ321" s="113">
        <v>0</v>
      </c>
      <c r="DR321" s="113">
        <v>0</v>
      </c>
      <c r="DS321" s="113">
        <v>0</v>
      </c>
      <c r="DT321" s="113">
        <v>0</v>
      </c>
      <c r="DU321" s="113">
        <v>0</v>
      </c>
      <c r="DV321" s="113">
        <v>0</v>
      </c>
      <c r="DW321" s="113">
        <v>0</v>
      </c>
      <c r="DX321" s="113">
        <v>0</v>
      </c>
      <c r="DY321" s="113">
        <v>0</v>
      </c>
      <c r="DZ321" s="113">
        <v>0</v>
      </c>
      <c r="EA321" s="113">
        <v>583</v>
      </c>
      <c r="EB321" s="113">
        <v>0</v>
      </c>
      <c r="EC321" s="113">
        <v>0</v>
      </c>
      <c r="ED321" s="113">
        <v>0</v>
      </c>
      <c r="EE321" s="113">
        <v>0</v>
      </c>
      <c r="EF321" s="113">
        <v>0</v>
      </c>
      <c r="EG321" s="113">
        <v>1209</v>
      </c>
      <c r="EH321" s="113">
        <v>0</v>
      </c>
      <c r="EI321" s="113">
        <v>0</v>
      </c>
      <c r="EJ321" s="113">
        <v>0</v>
      </c>
      <c r="EK321" s="113">
        <v>0</v>
      </c>
      <c r="EL321" s="113">
        <v>0</v>
      </c>
      <c r="EM321" s="113">
        <v>748</v>
      </c>
      <c r="EN321" s="113">
        <v>0</v>
      </c>
      <c r="EO321" s="113">
        <v>0</v>
      </c>
      <c r="EP321" s="113">
        <v>0</v>
      </c>
      <c r="EQ321" s="113">
        <v>0</v>
      </c>
      <c r="ER321" s="113">
        <v>0</v>
      </c>
      <c r="ES321" s="113">
        <v>51</v>
      </c>
      <c r="ET321" s="113">
        <v>0</v>
      </c>
      <c r="EU321" s="113">
        <v>0</v>
      </c>
      <c r="EV321" s="113">
        <v>1</v>
      </c>
      <c r="EW321" s="113">
        <v>0</v>
      </c>
      <c r="EX321" s="113">
        <v>0</v>
      </c>
      <c r="EY321" s="113">
        <v>10</v>
      </c>
      <c r="EZ321" s="113">
        <v>0</v>
      </c>
      <c r="FA321" s="113">
        <v>0</v>
      </c>
      <c r="FB321" s="113">
        <v>0</v>
      </c>
      <c r="FC321" s="113">
        <v>0</v>
      </c>
      <c r="FD321" s="113">
        <v>0</v>
      </c>
      <c r="FE321" s="115">
        <v>1</v>
      </c>
      <c r="FF321" s="113">
        <v>0</v>
      </c>
      <c r="FG321" s="113">
        <v>0</v>
      </c>
      <c r="FH321" s="113">
        <v>1</v>
      </c>
      <c r="FI321" s="113">
        <v>0</v>
      </c>
      <c r="FJ321" s="113">
        <v>0</v>
      </c>
      <c r="FK321" s="30">
        <v>2</v>
      </c>
      <c r="FL321" s="113">
        <v>0</v>
      </c>
      <c r="FM321" s="113">
        <v>0</v>
      </c>
      <c r="FN321" s="113">
        <v>8108</v>
      </c>
      <c r="FO321" s="113">
        <v>0</v>
      </c>
      <c r="FP321" s="113">
        <v>0</v>
      </c>
      <c r="FQ321" s="113">
        <v>909</v>
      </c>
      <c r="FR321" s="113">
        <v>0</v>
      </c>
      <c r="FS321" s="113">
        <v>0</v>
      </c>
      <c r="FT321" s="113">
        <v>0</v>
      </c>
      <c r="FU321" s="113">
        <v>0</v>
      </c>
      <c r="FV321" s="113">
        <v>0</v>
      </c>
      <c r="FW321" s="113">
        <v>110</v>
      </c>
      <c r="FX321" s="32">
        <v>0</v>
      </c>
      <c r="FY321" s="30">
        <v>0</v>
      </c>
      <c r="FZ321" s="30">
        <v>1</v>
      </c>
    </row>
    <row r="322" spans="1:182" x14ac:dyDescent="0.2">
      <c r="A322" s="28">
        <v>41365</v>
      </c>
      <c r="B322" s="28"/>
      <c r="C322" s="31">
        <v>229841.88</v>
      </c>
      <c r="D322" s="31">
        <v>284577.54000000004</v>
      </c>
      <c r="E322" s="29">
        <f t="shared" si="8"/>
        <v>514419.42000000004</v>
      </c>
      <c r="F322" s="40">
        <v>5227868.1500000004</v>
      </c>
      <c r="G322" s="40">
        <v>530068.28999999992</v>
      </c>
      <c r="H322" s="30">
        <f t="shared" si="9"/>
        <v>5757936.4400000004</v>
      </c>
      <c r="I322" s="42" t="s">
        <v>75</v>
      </c>
      <c r="J322" s="42" t="s">
        <v>75</v>
      </c>
      <c r="K322" s="42">
        <v>12469967.209999997</v>
      </c>
      <c r="L322" s="31" t="s">
        <v>75</v>
      </c>
      <c r="M322" s="31" t="s">
        <v>75</v>
      </c>
      <c r="N322" s="31">
        <v>28068581.729999997</v>
      </c>
      <c r="O322" s="31" t="s">
        <v>75</v>
      </c>
      <c r="P322" s="31" t="s">
        <v>75</v>
      </c>
      <c r="Q322" s="31">
        <v>22054846.25</v>
      </c>
      <c r="R322" s="31" t="s">
        <v>75</v>
      </c>
      <c r="S322" s="31" t="s">
        <v>75</v>
      </c>
      <c r="T322" s="31">
        <v>136329.47999999998</v>
      </c>
      <c r="U322" s="31">
        <v>2428.3100000000004</v>
      </c>
      <c r="V322" s="31">
        <v>2530.59</v>
      </c>
      <c r="W322" s="31">
        <f t="shared" si="11"/>
        <v>4958.9000000000005</v>
      </c>
      <c r="X322" s="31">
        <v>71075.009999999995</v>
      </c>
      <c r="Y322" s="31">
        <v>6128.4500000000007</v>
      </c>
      <c r="Z322" s="30">
        <f t="shared" si="12"/>
        <v>77203.459999999992</v>
      </c>
      <c r="AA322" s="31">
        <v>181636.81000000003</v>
      </c>
      <c r="AB322" s="31">
        <v>15216.26</v>
      </c>
      <c r="AC322" s="30">
        <f t="shared" si="13"/>
        <v>196853.07000000004</v>
      </c>
      <c r="AD322" s="31">
        <v>3550.3900000000003</v>
      </c>
      <c r="AE322" s="31">
        <v>8240.09</v>
      </c>
      <c r="AF322" s="30">
        <f t="shared" si="14"/>
        <v>11790.48</v>
      </c>
      <c r="AG322" s="42">
        <v>37755.789999999994</v>
      </c>
      <c r="AH322" s="42">
        <v>43758.790000000015</v>
      </c>
      <c r="AI322" s="32">
        <f t="shared" si="15"/>
        <v>81514.580000000016</v>
      </c>
      <c r="AJ322" s="31" t="s">
        <v>75</v>
      </c>
      <c r="AK322" s="31" t="s">
        <v>75</v>
      </c>
      <c r="AL322" s="31">
        <v>45640</v>
      </c>
      <c r="AM322" s="31"/>
      <c r="AN322" s="31"/>
      <c r="AO322" s="31"/>
      <c r="AP322" s="31"/>
      <c r="AQ322" s="31"/>
      <c r="AR322" s="31"/>
      <c r="AS322" s="31" t="s">
        <v>75</v>
      </c>
      <c r="AT322" s="31" t="s">
        <v>75</v>
      </c>
      <c r="AU322" s="35">
        <v>1796969.79</v>
      </c>
      <c r="AV322" s="31" t="s">
        <v>75</v>
      </c>
      <c r="AW322" s="31" t="s">
        <v>75</v>
      </c>
      <c r="AX322" s="36">
        <v>47989.94</v>
      </c>
      <c r="AY322" s="30">
        <v>8456865.8000000007</v>
      </c>
      <c r="AZ322" s="32">
        <v>2123329.9500000002</v>
      </c>
      <c r="BA322" s="29">
        <f t="shared" si="16"/>
        <v>10580195.75</v>
      </c>
      <c r="BB322" s="31" t="s">
        <v>75</v>
      </c>
      <c r="BC322" s="31" t="s">
        <v>75</v>
      </c>
      <c r="BD322" s="31">
        <v>1483797.1111111112</v>
      </c>
      <c r="BE322" s="113">
        <v>0</v>
      </c>
      <c r="BF322" s="113">
        <v>0</v>
      </c>
      <c r="BG322" s="113">
        <v>185</v>
      </c>
      <c r="BH322" s="113">
        <v>0</v>
      </c>
      <c r="BI322" s="113">
        <v>0</v>
      </c>
      <c r="BJ322" s="113">
        <v>0</v>
      </c>
      <c r="BK322" s="113">
        <v>0</v>
      </c>
      <c r="BL322" s="113">
        <v>0</v>
      </c>
      <c r="BM322" s="113">
        <v>277</v>
      </c>
      <c r="BN322" s="113">
        <v>0</v>
      </c>
      <c r="BO322" s="113">
        <v>0</v>
      </c>
      <c r="BP322" s="113">
        <v>0</v>
      </c>
      <c r="BQ322" s="113">
        <v>0</v>
      </c>
      <c r="BR322" s="113">
        <v>0</v>
      </c>
      <c r="BS322" s="113">
        <v>236</v>
      </c>
      <c r="BT322" s="113">
        <v>0</v>
      </c>
      <c r="BU322" s="113">
        <v>0</v>
      </c>
      <c r="BV322" s="113">
        <v>0</v>
      </c>
      <c r="BW322" s="113"/>
      <c r="BX322" s="113"/>
      <c r="BY322" s="113"/>
      <c r="BZ322" s="113">
        <v>0</v>
      </c>
      <c r="CA322" s="113">
        <v>0</v>
      </c>
      <c r="CB322" s="113">
        <v>291</v>
      </c>
      <c r="CC322" s="113"/>
      <c r="CD322" s="113"/>
      <c r="CE322" s="113"/>
      <c r="CF322" s="113">
        <v>0</v>
      </c>
      <c r="CG322" s="113">
        <v>0</v>
      </c>
      <c r="CH322" s="30">
        <v>4</v>
      </c>
      <c r="CI322" s="113">
        <v>0</v>
      </c>
      <c r="CJ322" s="113">
        <v>0</v>
      </c>
      <c r="CK322" s="30">
        <v>28</v>
      </c>
      <c r="CL322" s="30">
        <v>0</v>
      </c>
      <c r="CM322" s="30">
        <v>0</v>
      </c>
      <c r="CN322" s="30">
        <v>0</v>
      </c>
      <c r="CO322" s="113">
        <v>0</v>
      </c>
      <c r="CP322" s="113">
        <v>0</v>
      </c>
      <c r="CQ322" s="113">
        <v>13</v>
      </c>
      <c r="CR322" s="113">
        <v>0</v>
      </c>
      <c r="CS322" s="113">
        <v>0</v>
      </c>
      <c r="CT322" s="113">
        <v>0</v>
      </c>
      <c r="CU322" s="113">
        <v>0</v>
      </c>
      <c r="CV322" s="113">
        <v>0</v>
      </c>
      <c r="CW322" s="113">
        <v>167</v>
      </c>
      <c r="CX322" s="113">
        <v>0</v>
      </c>
      <c r="CY322" s="113">
        <v>0</v>
      </c>
      <c r="CZ322" s="113">
        <v>0</v>
      </c>
      <c r="DA322" s="113">
        <v>0</v>
      </c>
      <c r="DB322" s="113">
        <v>0</v>
      </c>
      <c r="DC322" s="113">
        <v>4</v>
      </c>
      <c r="DD322" s="113">
        <v>0</v>
      </c>
      <c r="DE322" s="113">
        <v>0</v>
      </c>
      <c r="DF322" s="113">
        <v>0</v>
      </c>
      <c r="DG322" s="113">
        <v>0</v>
      </c>
      <c r="DH322" s="113">
        <v>0</v>
      </c>
      <c r="DI322" s="113">
        <v>3</v>
      </c>
      <c r="DJ322" s="113">
        <v>0</v>
      </c>
      <c r="DK322" s="113">
        <v>0</v>
      </c>
      <c r="DL322" s="113">
        <v>0</v>
      </c>
      <c r="DM322" s="113">
        <v>0</v>
      </c>
      <c r="DN322" s="113">
        <v>0</v>
      </c>
      <c r="DO322" s="113">
        <v>0</v>
      </c>
      <c r="DP322" s="113">
        <v>0</v>
      </c>
      <c r="DQ322" s="113">
        <v>0</v>
      </c>
      <c r="DR322" s="113">
        <v>0</v>
      </c>
      <c r="DS322" s="113">
        <v>0</v>
      </c>
      <c r="DT322" s="113">
        <v>0</v>
      </c>
      <c r="DU322" s="113">
        <v>0</v>
      </c>
      <c r="DV322" s="113">
        <v>0</v>
      </c>
      <c r="DW322" s="113">
        <v>0</v>
      </c>
      <c r="DX322" s="113">
        <v>0</v>
      </c>
      <c r="DY322" s="113">
        <v>0</v>
      </c>
      <c r="DZ322" s="113">
        <v>0</v>
      </c>
      <c r="EA322" s="113">
        <v>730</v>
      </c>
      <c r="EB322" s="113">
        <v>0</v>
      </c>
      <c r="EC322" s="113">
        <v>0</v>
      </c>
      <c r="ED322" s="113">
        <v>0</v>
      </c>
      <c r="EE322" s="113">
        <v>0</v>
      </c>
      <c r="EF322" s="113">
        <v>0</v>
      </c>
      <c r="EG322" s="88">
        <v>901</v>
      </c>
      <c r="EH322" s="113">
        <v>0</v>
      </c>
      <c r="EI322" s="113">
        <v>0</v>
      </c>
      <c r="EJ322" s="113">
        <v>0</v>
      </c>
      <c r="EK322" s="113">
        <v>0</v>
      </c>
      <c r="EL322" s="113">
        <v>0</v>
      </c>
      <c r="EM322" s="113">
        <v>812</v>
      </c>
      <c r="EN322" s="113">
        <v>0</v>
      </c>
      <c r="EO322" s="113">
        <v>0</v>
      </c>
      <c r="EP322" s="113">
        <v>0</v>
      </c>
      <c r="EQ322" s="113">
        <v>0</v>
      </c>
      <c r="ER322" s="113">
        <v>0</v>
      </c>
      <c r="ES322" s="113">
        <v>74</v>
      </c>
      <c r="ET322" s="113">
        <v>0</v>
      </c>
      <c r="EU322" s="113">
        <v>0</v>
      </c>
      <c r="EV322" s="113">
        <v>1</v>
      </c>
      <c r="EW322" s="113">
        <v>0</v>
      </c>
      <c r="EX322" s="113">
        <v>0</v>
      </c>
      <c r="EY322" s="113">
        <v>8</v>
      </c>
      <c r="EZ322" s="113">
        <v>0</v>
      </c>
      <c r="FA322" s="113">
        <v>0</v>
      </c>
      <c r="FB322" s="113">
        <v>0</v>
      </c>
      <c r="FC322" s="113">
        <v>0</v>
      </c>
      <c r="FD322" s="113">
        <v>0</v>
      </c>
      <c r="FE322" s="113">
        <v>17</v>
      </c>
      <c r="FF322" s="113">
        <v>0</v>
      </c>
      <c r="FG322" s="113">
        <v>0</v>
      </c>
      <c r="FH322" s="113">
        <v>0</v>
      </c>
      <c r="FI322" s="113">
        <v>0</v>
      </c>
      <c r="FJ322" s="113">
        <v>0</v>
      </c>
      <c r="FK322" s="30">
        <v>32</v>
      </c>
      <c r="FL322" s="113">
        <v>0</v>
      </c>
      <c r="FM322" s="113">
        <v>0</v>
      </c>
      <c r="FN322" s="113">
        <v>6597</v>
      </c>
      <c r="FO322" s="113">
        <v>0</v>
      </c>
      <c r="FP322" s="113">
        <v>0</v>
      </c>
      <c r="FQ322" s="113">
        <v>1098</v>
      </c>
      <c r="FR322" s="113">
        <v>0</v>
      </c>
      <c r="FS322" s="113">
        <v>0</v>
      </c>
      <c r="FT322" s="113">
        <v>0</v>
      </c>
      <c r="FU322" s="113">
        <v>0</v>
      </c>
      <c r="FV322" s="113">
        <v>0</v>
      </c>
      <c r="FW322" s="113">
        <v>167</v>
      </c>
      <c r="FX322" s="32">
        <v>0</v>
      </c>
      <c r="FY322" s="30">
        <v>0</v>
      </c>
      <c r="FZ322" s="30">
        <v>1</v>
      </c>
    </row>
    <row r="323" spans="1:182" x14ac:dyDescent="0.2">
      <c r="A323" s="28">
        <v>41395</v>
      </c>
      <c r="B323" s="28"/>
      <c r="C323" s="31">
        <v>324254.97000000003</v>
      </c>
      <c r="D323" s="31">
        <v>298698.03000000003</v>
      </c>
      <c r="E323" s="29">
        <f t="shared" si="8"/>
        <v>622953</v>
      </c>
      <c r="F323" s="40">
        <v>5480822.5300000003</v>
      </c>
      <c r="G323" s="40">
        <v>346126.48000000004</v>
      </c>
      <c r="H323" s="30">
        <f t="shared" si="9"/>
        <v>5826949.0100000007</v>
      </c>
      <c r="I323" s="42" t="s">
        <v>75</v>
      </c>
      <c r="J323" s="42" t="s">
        <v>75</v>
      </c>
      <c r="K323" s="42">
        <v>9204772.0600000005</v>
      </c>
      <c r="L323" s="31" t="s">
        <v>75</v>
      </c>
      <c r="M323" s="31" t="s">
        <v>75</v>
      </c>
      <c r="N323" s="31">
        <v>21924392.399999999</v>
      </c>
      <c r="O323" s="31" t="s">
        <v>75</v>
      </c>
      <c r="P323" s="31" t="s">
        <v>75</v>
      </c>
      <c r="Q323" s="31">
        <v>18275728</v>
      </c>
      <c r="R323" s="31" t="s">
        <v>75</v>
      </c>
      <c r="S323" s="31" t="s">
        <v>75</v>
      </c>
      <c r="T323" s="31">
        <v>140848.52000000002</v>
      </c>
      <c r="U323" s="31">
        <v>2588.37</v>
      </c>
      <c r="V323" s="31">
        <v>2175.8000000000002</v>
      </c>
      <c r="W323" s="31">
        <f t="shared" si="11"/>
        <v>4764.17</v>
      </c>
      <c r="X323" s="31">
        <v>64274.5</v>
      </c>
      <c r="Y323" s="31">
        <v>4888.6000000000004</v>
      </c>
      <c r="Z323" s="30">
        <f t="shared" si="12"/>
        <v>69163.100000000006</v>
      </c>
      <c r="AA323" s="31">
        <v>181962.79</v>
      </c>
      <c r="AB323" s="31">
        <v>18191.250000000004</v>
      </c>
      <c r="AC323" s="30">
        <f t="shared" si="13"/>
        <v>200154.04</v>
      </c>
      <c r="AD323" s="31">
        <v>6763.22</v>
      </c>
      <c r="AE323" s="31">
        <v>8742.57</v>
      </c>
      <c r="AF323" s="30">
        <f t="shared" si="14"/>
        <v>15505.79</v>
      </c>
      <c r="AG323" s="42">
        <v>35161.410000000003</v>
      </c>
      <c r="AH323" s="42">
        <v>43112.810000000005</v>
      </c>
      <c r="AI323" s="32">
        <f t="shared" si="15"/>
        <v>78274.22</v>
      </c>
      <c r="AJ323" s="31" t="s">
        <v>75</v>
      </c>
      <c r="AK323" s="31" t="s">
        <v>75</v>
      </c>
      <c r="AL323" s="31">
        <v>49227.5</v>
      </c>
      <c r="AM323" s="31"/>
      <c r="AN323" s="31"/>
      <c r="AO323" s="31"/>
      <c r="AP323" s="31"/>
      <c r="AQ323" s="31"/>
      <c r="AR323" s="31"/>
      <c r="AS323" s="31" t="s">
        <v>75</v>
      </c>
      <c r="AT323" s="31" t="s">
        <v>75</v>
      </c>
      <c r="AU323" s="35">
        <v>1811955.65</v>
      </c>
      <c r="AV323" s="31" t="s">
        <v>75</v>
      </c>
      <c r="AW323" s="31" t="s">
        <v>75</v>
      </c>
      <c r="AX323" s="36">
        <v>42864.13</v>
      </c>
      <c r="AY323" s="30">
        <v>8046136.9000000004</v>
      </c>
      <c r="AZ323" s="32">
        <v>866376</v>
      </c>
      <c r="BA323" s="29">
        <f t="shared" si="16"/>
        <v>8912512.9000000004</v>
      </c>
      <c r="BB323" s="31" t="s">
        <v>75</v>
      </c>
      <c r="BC323" s="31" t="s">
        <v>75</v>
      </c>
      <c r="BD323" s="31">
        <v>1463895.3555555556</v>
      </c>
      <c r="BE323" s="113">
        <v>0</v>
      </c>
      <c r="BF323" s="113">
        <v>0</v>
      </c>
      <c r="BG323" s="113">
        <v>171</v>
      </c>
      <c r="BH323" s="113">
        <v>0</v>
      </c>
      <c r="BI323" s="113">
        <v>0</v>
      </c>
      <c r="BJ323" s="113">
        <v>0</v>
      </c>
      <c r="BK323" s="113">
        <v>0</v>
      </c>
      <c r="BL323" s="113">
        <v>0</v>
      </c>
      <c r="BM323" s="113">
        <v>304</v>
      </c>
      <c r="BN323" s="113">
        <v>0</v>
      </c>
      <c r="BO323" s="113">
        <v>0</v>
      </c>
      <c r="BP323" s="113">
        <v>0</v>
      </c>
      <c r="BQ323" s="113">
        <v>0</v>
      </c>
      <c r="BR323" s="113">
        <v>0</v>
      </c>
      <c r="BS323" s="113">
        <v>507</v>
      </c>
      <c r="BT323" s="113">
        <v>0</v>
      </c>
      <c r="BU323" s="113">
        <v>0</v>
      </c>
      <c r="BV323" s="113">
        <v>0</v>
      </c>
      <c r="BW323" s="113"/>
      <c r="BX323" s="113"/>
      <c r="BY323" s="113"/>
      <c r="BZ323" s="113">
        <v>0</v>
      </c>
      <c r="CA323" s="113">
        <v>0</v>
      </c>
      <c r="CB323" s="113">
        <v>316</v>
      </c>
      <c r="CC323" s="113"/>
      <c r="CD323" s="113"/>
      <c r="CE323" s="113"/>
      <c r="CF323" s="113">
        <v>0</v>
      </c>
      <c r="CG323" s="113">
        <v>0</v>
      </c>
      <c r="CH323" s="30">
        <v>3</v>
      </c>
      <c r="CI323" s="113">
        <v>0</v>
      </c>
      <c r="CJ323" s="113">
        <v>0</v>
      </c>
      <c r="CK323" s="30">
        <v>36</v>
      </c>
      <c r="CL323" s="30">
        <v>0</v>
      </c>
      <c r="CM323" s="30">
        <v>0</v>
      </c>
      <c r="CN323" s="30">
        <v>0</v>
      </c>
      <c r="CO323" s="113">
        <v>0</v>
      </c>
      <c r="CP323" s="113">
        <v>0</v>
      </c>
      <c r="CQ323" s="113">
        <v>12</v>
      </c>
      <c r="CR323" s="113">
        <v>0</v>
      </c>
      <c r="CS323" s="113">
        <v>0</v>
      </c>
      <c r="CT323" s="113">
        <v>0</v>
      </c>
      <c r="CU323" s="113">
        <v>0</v>
      </c>
      <c r="CV323" s="113">
        <v>0</v>
      </c>
      <c r="CW323" s="113">
        <v>162</v>
      </c>
      <c r="CX323" s="113">
        <v>0</v>
      </c>
      <c r="CY323" s="113">
        <v>0</v>
      </c>
      <c r="CZ323" s="113">
        <v>0</v>
      </c>
      <c r="DA323" s="113">
        <v>0</v>
      </c>
      <c r="DB323" s="113">
        <v>0</v>
      </c>
      <c r="DC323" s="113">
        <v>0</v>
      </c>
      <c r="DD323" s="113">
        <v>0</v>
      </c>
      <c r="DE323" s="113">
        <v>0</v>
      </c>
      <c r="DF323" s="113">
        <v>0</v>
      </c>
      <c r="DG323" s="113">
        <v>0</v>
      </c>
      <c r="DH323" s="113">
        <v>0</v>
      </c>
      <c r="DI323" s="113">
        <v>5</v>
      </c>
      <c r="DJ323" s="113">
        <v>0</v>
      </c>
      <c r="DK323" s="113">
        <v>0</v>
      </c>
      <c r="DL323" s="113">
        <v>0</v>
      </c>
      <c r="DM323" s="113">
        <v>0</v>
      </c>
      <c r="DN323" s="113">
        <v>0</v>
      </c>
      <c r="DO323" s="113">
        <v>0</v>
      </c>
      <c r="DP323" s="113">
        <v>0</v>
      </c>
      <c r="DQ323" s="113">
        <v>0</v>
      </c>
      <c r="DR323" s="113">
        <v>0</v>
      </c>
      <c r="DS323" s="113">
        <v>0</v>
      </c>
      <c r="DT323" s="113">
        <v>0</v>
      </c>
      <c r="DU323" s="113">
        <v>3</v>
      </c>
      <c r="DV323" s="113">
        <v>0</v>
      </c>
      <c r="DW323" s="113">
        <v>0</v>
      </c>
      <c r="DX323" s="113">
        <v>0</v>
      </c>
      <c r="DY323" s="113">
        <v>0</v>
      </c>
      <c r="DZ323" s="113">
        <v>0</v>
      </c>
      <c r="EA323" s="113">
        <v>910</v>
      </c>
      <c r="EB323" s="113">
        <v>0</v>
      </c>
      <c r="EC323" s="113">
        <v>0</v>
      </c>
      <c r="ED323" s="113">
        <v>0</v>
      </c>
      <c r="EE323" s="113">
        <v>0</v>
      </c>
      <c r="EF323" s="113">
        <v>0</v>
      </c>
      <c r="EG323" s="113">
        <v>1104</v>
      </c>
      <c r="EH323" s="113">
        <v>0</v>
      </c>
      <c r="EI323" s="113">
        <v>0</v>
      </c>
      <c r="EJ323" s="113">
        <v>0</v>
      </c>
      <c r="EK323" s="113">
        <v>0</v>
      </c>
      <c r="EL323" s="113">
        <v>0</v>
      </c>
      <c r="EM323" s="113">
        <v>774.1</v>
      </c>
      <c r="EN323" s="113">
        <v>0</v>
      </c>
      <c r="EO323" s="113">
        <v>0</v>
      </c>
      <c r="EP323" s="113">
        <v>0</v>
      </c>
      <c r="EQ323" s="113">
        <v>0</v>
      </c>
      <c r="ER323" s="113">
        <v>0</v>
      </c>
      <c r="ES323" s="113">
        <v>106</v>
      </c>
      <c r="ET323" s="113">
        <v>0</v>
      </c>
      <c r="EU323" s="113">
        <v>0</v>
      </c>
      <c r="EV323" s="113">
        <v>0</v>
      </c>
      <c r="EW323" s="113">
        <v>0</v>
      </c>
      <c r="EX323" s="113">
        <v>0</v>
      </c>
      <c r="EY323" s="113">
        <v>20</v>
      </c>
      <c r="EZ323" s="113">
        <v>0</v>
      </c>
      <c r="FA323" s="113">
        <v>0</v>
      </c>
      <c r="FB323" s="113">
        <v>0</v>
      </c>
      <c r="FC323" s="113">
        <v>0</v>
      </c>
      <c r="FD323" s="113">
        <v>0</v>
      </c>
      <c r="FE323" s="113">
        <v>10</v>
      </c>
      <c r="FF323" s="113">
        <v>0</v>
      </c>
      <c r="FG323" s="113">
        <v>0</v>
      </c>
      <c r="FH323" s="113">
        <v>0</v>
      </c>
      <c r="FI323" s="113">
        <v>0</v>
      </c>
      <c r="FJ323" s="113">
        <v>0</v>
      </c>
      <c r="FK323" s="30">
        <v>3</v>
      </c>
      <c r="FL323" s="113">
        <v>0</v>
      </c>
      <c r="FM323" s="113">
        <v>0</v>
      </c>
      <c r="FN323" s="113">
        <v>6635</v>
      </c>
      <c r="FO323" s="113">
        <v>0</v>
      </c>
      <c r="FP323" s="113">
        <v>0</v>
      </c>
      <c r="FQ323" s="113">
        <v>682</v>
      </c>
      <c r="FR323" s="113">
        <v>0</v>
      </c>
      <c r="FS323" s="113">
        <v>0</v>
      </c>
      <c r="FT323" s="113">
        <v>0</v>
      </c>
      <c r="FU323" s="113">
        <v>0</v>
      </c>
      <c r="FV323" s="113">
        <v>0</v>
      </c>
      <c r="FW323" s="113">
        <v>80</v>
      </c>
      <c r="FX323" s="32">
        <v>0</v>
      </c>
      <c r="FY323" s="30">
        <v>0</v>
      </c>
      <c r="FZ323" s="30">
        <v>1</v>
      </c>
    </row>
    <row r="324" spans="1:182" x14ac:dyDescent="0.2">
      <c r="A324" s="28">
        <v>41426</v>
      </c>
      <c r="B324" s="28"/>
      <c r="C324" s="31">
        <v>261970.83</v>
      </c>
      <c r="D324" s="31">
        <v>333148.16999999993</v>
      </c>
      <c r="E324" s="29">
        <f t="shared" si="8"/>
        <v>595118.99999999988</v>
      </c>
      <c r="F324" s="40">
        <v>5675756.3200000003</v>
      </c>
      <c r="G324" s="40">
        <v>359548.87</v>
      </c>
      <c r="H324" s="30">
        <f t="shared" si="9"/>
        <v>6035305.1900000004</v>
      </c>
      <c r="I324" s="42" t="s">
        <v>75</v>
      </c>
      <c r="J324" s="42" t="s">
        <v>75</v>
      </c>
      <c r="K324" s="42">
        <v>8923551.5800000001</v>
      </c>
      <c r="L324" s="31" t="s">
        <v>75</v>
      </c>
      <c r="M324" s="31" t="s">
        <v>75</v>
      </c>
      <c r="N324" s="31">
        <v>22949175.950000007</v>
      </c>
      <c r="O324" s="31" t="s">
        <v>75</v>
      </c>
      <c r="P324" s="31" t="s">
        <v>75</v>
      </c>
      <c r="Q324" s="31">
        <v>16342624</v>
      </c>
      <c r="R324" s="31" t="s">
        <v>75</v>
      </c>
      <c r="S324" s="31" t="s">
        <v>75</v>
      </c>
      <c r="T324" s="31">
        <v>145941.01999999999</v>
      </c>
      <c r="U324" s="31">
        <v>2284.1999999999998</v>
      </c>
      <c r="V324" s="31">
        <v>1701.8000000000002</v>
      </c>
      <c r="W324" s="31">
        <f t="shared" si="11"/>
        <v>3986</v>
      </c>
      <c r="X324" s="31">
        <v>105038.22</v>
      </c>
      <c r="Y324" s="31">
        <v>4483.7999999999993</v>
      </c>
      <c r="Z324" s="30">
        <f t="shared" si="12"/>
        <v>109522.02</v>
      </c>
      <c r="AA324" s="31">
        <v>189028.93000000002</v>
      </c>
      <c r="AB324" s="31">
        <v>16092.83</v>
      </c>
      <c r="AC324" s="30">
        <f t="shared" si="13"/>
        <v>205121.76</v>
      </c>
      <c r="AD324" s="31">
        <v>4593.5600000000004</v>
      </c>
      <c r="AE324" s="31">
        <v>5903.04</v>
      </c>
      <c r="AF324" s="30">
        <f t="shared" si="14"/>
        <v>10496.6</v>
      </c>
      <c r="AG324" s="42">
        <v>32152.980000000003</v>
      </c>
      <c r="AH324" s="42">
        <v>48251.06</v>
      </c>
      <c r="AI324" s="32">
        <f t="shared" si="15"/>
        <v>80404.040000000008</v>
      </c>
      <c r="AJ324" s="31" t="s">
        <v>75</v>
      </c>
      <c r="AK324" s="31" t="s">
        <v>75</v>
      </c>
      <c r="AL324" s="31">
        <v>49406.25</v>
      </c>
      <c r="AM324" s="31"/>
      <c r="AN324" s="31"/>
      <c r="AO324" s="31"/>
      <c r="AP324" s="31"/>
      <c r="AQ324" s="31"/>
      <c r="AR324" s="31"/>
      <c r="AS324" s="31" t="s">
        <v>75</v>
      </c>
      <c r="AT324" s="31" t="s">
        <v>75</v>
      </c>
      <c r="AU324" s="35">
        <v>1341429.8</v>
      </c>
      <c r="AV324" s="31" t="s">
        <v>75</v>
      </c>
      <c r="AW324" s="31" t="s">
        <v>75</v>
      </c>
      <c r="AX324" s="36">
        <v>40642.54</v>
      </c>
      <c r="AY324" s="30">
        <v>7299339.2000000002</v>
      </c>
      <c r="AZ324" s="32">
        <v>842605.5</v>
      </c>
      <c r="BA324" s="29">
        <f t="shared" si="16"/>
        <v>8141944.7000000002</v>
      </c>
      <c r="BB324" s="31" t="s">
        <v>75</v>
      </c>
      <c r="BC324" s="31" t="s">
        <v>75</v>
      </c>
      <c r="BD324" s="31">
        <v>1351722.2444444443</v>
      </c>
      <c r="BE324" s="113">
        <v>0</v>
      </c>
      <c r="BF324" s="113">
        <v>0</v>
      </c>
      <c r="BG324" s="113">
        <v>137</v>
      </c>
      <c r="BH324" s="113">
        <v>0</v>
      </c>
      <c r="BI324" s="113">
        <v>0</v>
      </c>
      <c r="BJ324" s="113">
        <v>0</v>
      </c>
      <c r="BK324" s="113">
        <v>0</v>
      </c>
      <c r="BL324" s="113">
        <v>0</v>
      </c>
      <c r="BM324" s="113">
        <v>139</v>
      </c>
      <c r="BN324" s="113">
        <v>0</v>
      </c>
      <c r="BO324" s="113">
        <v>0</v>
      </c>
      <c r="BP324" s="113">
        <v>0</v>
      </c>
      <c r="BQ324" s="113">
        <v>0</v>
      </c>
      <c r="BR324" s="113">
        <v>0</v>
      </c>
      <c r="BS324" s="113">
        <v>375</v>
      </c>
      <c r="BT324" s="113">
        <v>0</v>
      </c>
      <c r="BU324" s="113">
        <v>0</v>
      </c>
      <c r="BV324" s="113">
        <v>0</v>
      </c>
      <c r="BW324" s="113"/>
      <c r="BX324" s="113"/>
      <c r="BY324" s="113"/>
      <c r="BZ324" s="113">
        <v>0</v>
      </c>
      <c r="CA324" s="113">
        <v>0</v>
      </c>
      <c r="CB324" s="113">
        <v>293</v>
      </c>
      <c r="CC324" s="113"/>
      <c r="CD324" s="113"/>
      <c r="CE324" s="113"/>
      <c r="CF324" s="113">
        <v>0</v>
      </c>
      <c r="CG324" s="113">
        <v>0</v>
      </c>
      <c r="CH324" s="30">
        <v>6</v>
      </c>
      <c r="CI324" s="113">
        <v>0</v>
      </c>
      <c r="CJ324" s="113">
        <v>0</v>
      </c>
      <c r="CK324" s="30">
        <v>28</v>
      </c>
      <c r="CL324" s="30">
        <v>0</v>
      </c>
      <c r="CM324" s="30">
        <v>0</v>
      </c>
      <c r="CN324" s="30">
        <v>0</v>
      </c>
      <c r="CO324" s="113">
        <v>0</v>
      </c>
      <c r="CP324" s="113">
        <v>0</v>
      </c>
      <c r="CQ324" s="113">
        <v>7</v>
      </c>
      <c r="CR324" s="113">
        <v>0</v>
      </c>
      <c r="CS324" s="113">
        <v>0</v>
      </c>
      <c r="CT324" s="113">
        <v>0</v>
      </c>
      <c r="CU324" s="113">
        <v>0</v>
      </c>
      <c r="CV324" s="113">
        <v>0</v>
      </c>
      <c r="CW324" s="113">
        <v>237</v>
      </c>
      <c r="CX324" s="113">
        <v>0</v>
      </c>
      <c r="CY324" s="113">
        <v>0</v>
      </c>
      <c r="CZ324" s="113">
        <v>0</v>
      </c>
      <c r="DA324" s="113">
        <v>0</v>
      </c>
      <c r="DB324" s="113">
        <v>0</v>
      </c>
      <c r="DC324" s="113">
        <v>1</v>
      </c>
      <c r="DD324" s="113">
        <v>0</v>
      </c>
      <c r="DE324" s="113">
        <v>0</v>
      </c>
      <c r="DF324" s="113">
        <v>0</v>
      </c>
      <c r="DG324" s="113">
        <v>0</v>
      </c>
      <c r="DH324" s="113">
        <v>0</v>
      </c>
      <c r="DI324" s="113">
        <v>7</v>
      </c>
      <c r="DJ324" s="113">
        <v>0</v>
      </c>
      <c r="DK324" s="113">
        <v>0</v>
      </c>
      <c r="DL324" s="113">
        <v>0</v>
      </c>
      <c r="DM324" s="113">
        <v>0</v>
      </c>
      <c r="DN324" s="113">
        <v>0</v>
      </c>
      <c r="DO324" s="113">
        <v>0</v>
      </c>
      <c r="DP324" s="113">
        <v>0</v>
      </c>
      <c r="DQ324" s="113">
        <v>0</v>
      </c>
      <c r="DR324" s="113">
        <v>0</v>
      </c>
      <c r="DS324" s="113">
        <v>0</v>
      </c>
      <c r="DT324" s="113">
        <v>0</v>
      </c>
      <c r="DU324" s="113">
        <v>0</v>
      </c>
      <c r="DV324" s="113">
        <v>0</v>
      </c>
      <c r="DW324" s="113">
        <v>0</v>
      </c>
      <c r="DX324" s="113">
        <v>0</v>
      </c>
      <c r="DY324" s="113">
        <v>0</v>
      </c>
      <c r="DZ324" s="113">
        <v>0</v>
      </c>
      <c r="EA324" s="113">
        <v>865</v>
      </c>
      <c r="EB324" s="113">
        <v>0</v>
      </c>
      <c r="EC324" s="113">
        <v>0</v>
      </c>
      <c r="ED324" s="113">
        <v>0</v>
      </c>
      <c r="EE324" s="113">
        <v>0</v>
      </c>
      <c r="EF324" s="113">
        <v>0</v>
      </c>
      <c r="EG324" s="113">
        <v>1038</v>
      </c>
      <c r="EH324" s="113">
        <v>0</v>
      </c>
      <c r="EI324" s="113">
        <v>0</v>
      </c>
      <c r="EJ324" s="113">
        <v>0</v>
      </c>
      <c r="EK324" s="113">
        <v>0</v>
      </c>
      <c r="EL324" s="113">
        <v>0</v>
      </c>
      <c r="EM324" s="113">
        <v>805</v>
      </c>
      <c r="EN324" s="113">
        <v>0</v>
      </c>
      <c r="EO324" s="113">
        <v>0</v>
      </c>
      <c r="EP324" s="113">
        <v>0</v>
      </c>
      <c r="EQ324" s="113">
        <v>0</v>
      </c>
      <c r="ER324" s="113">
        <v>0</v>
      </c>
      <c r="ES324" s="113">
        <v>46</v>
      </c>
      <c r="ET324" s="113">
        <v>0</v>
      </c>
      <c r="EU324" s="113">
        <v>0</v>
      </c>
      <c r="EV324" s="113">
        <v>0</v>
      </c>
      <c r="EW324" s="113">
        <v>0</v>
      </c>
      <c r="EX324" s="113">
        <v>0</v>
      </c>
      <c r="EY324" s="113">
        <v>11</v>
      </c>
      <c r="EZ324" s="113">
        <v>0</v>
      </c>
      <c r="FA324" s="113">
        <v>0</v>
      </c>
      <c r="FB324" s="113">
        <v>0</v>
      </c>
      <c r="FC324" s="113">
        <v>0</v>
      </c>
      <c r="FD324" s="113">
        <v>0</v>
      </c>
      <c r="FE324" s="113">
        <v>10</v>
      </c>
      <c r="FF324" s="113">
        <v>0</v>
      </c>
      <c r="FG324" s="113">
        <v>0</v>
      </c>
      <c r="FH324" s="113">
        <v>0</v>
      </c>
      <c r="FI324" s="113">
        <v>0</v>
      </c>
      <c r="FJ324" s="113">
        <v>0</v>
      </c>
      <c r="FK324" s="30">
        <v>9</v>
      </c>
      <c r="FL324" s="113">
        <v>0</v>
      </c>
      <c r="FM324" s="113">
        <v>0</v>
      </c>
      <c r="FN324" s="113">
        <v>3259</v>
      </c>
      <c r="FO324" s="113">
        <v>0</v>
      </c>
      <c r="FP324" s="113">
        <v>0</v>
      </c>
      <c r="FQ324" s="113">
        <v>517</v>
      </c>
      <c r="FR324" s="113">
        <v>0</v>
      </c>
      <c r="FS324" s="113">
        <v>0</v>
      </c>
      <c r="FT324" s="113">
        <v>0</v>
      </c>
      <c r="FU324" s="113">
        <v>0</v>
      </c>
      <c r="FV324" s="113">
        <v>0</v>
      </c>
      <c r="FW324" s="113">
        <v>55</v>
      </c>
      <c r="FX324" s="32">
        <v>0</v>
      </c>
      <c r="FY324" s="30">
        <v>0</v>
      </c>
      <c r="FZ324" s="30">
        <v>1</v>
      </c>
    </row>
    <row r="325" spans="1:182" x14ac:dyDescent="0.2">
      <c r="A325" s="28">
        <v>41456</v>
      </c>
      <c r="B325" s="28"/>
      <c r="C325" s="31">
        <v>226258.08999999997</v>
      </c>
      <c r="D325" s="31">
        <v>375194.95000000007</v>
      </c>
      <c r="E325" s="29">
        <f t="shared" si="8"/>
        <v>601453.04</v>
      </c>
      <c r="F325" s="40">
        <v>4870585.0200000005</v>
      </c>
      <c r="G325" s="40">
        <v>384658.16</v>
      </c>
      <c r="H325" s="30">
        <f t="shared" si="9"/>
        <v>5255243.1800000006</v>
      </c>
      <c r="I325" s="42" t="s">
        <v>75</v>
      </c>
      <c r="J325" s="42" t="s">
        <v>75</v>
      </c>
      <c r="K325" s="42">
        <v>8827233.75</v>
      </c>
      <c r="L325" s="31" t="s">
        <v>75</v>
      </c>
      <c r="M325" s="31" t="s">
        <v>75</v>
      </c>
      <c r="N325" s="31">
        <v>24522956.84</v>
      </c>
      <c r="O325" s="31" t="s">
        <v>75</v>
      </c>
      <c r="P325" s="31" t="s">
        <v>75</v>
      </c>
      <c r="Q325" s="31">
        <v>9075725.25</v>
      </c>
      <c r="R325" s="31" t="s">
        <v>75</v>
      </c>
      <c r="S325" s="31" t="s">
        <v>75</v>
      </c>
      <c r="T325" s="31">
        <v>165239.96</v>
      </c>
      <c r="U325" s="31">
        <v>3068.75</v>
      </c>
      <c r="V325" s="31">
        <v>2232.2599999999998</v>
      </c>
      <c r="W325" s="31">
        <f t="shared" si="11"/>
        <v>5301.01</v>
      </c>
      <c r="X325" s="31">
        <v>62179.48</v>
      </c>
      <c r="Y325" s="31">
        <v>7119.4500000000007</v>
      </c>
      <c r="Z325" s="30">
        <f t="shared" si="12"/>
        <v>69298.930000000008</v>
      </c>
      <c r="AA325" s="31">
        <v>216150.89999999997</v>
      </c>
      <c r="AB325" s="31">
        <v>19233.369999999995</v>
      </c>
      <c r="AC325" s="30">
        <f t="shared" si="13"/>
        <v>235384.26999999996</v>
      </c>
      <c r="AD325" s="31">
        <v>7591.4800000000005</v>
      </c>
      <c r="AE325" s="31">
        <v>8504.35</v>
      </c>
      <c r="AF325" s="30">
        <f t="shared" si="14"/>
        <v>16095.830000000002</v>
      </c>
      <c r="AG325" s="42">
        <v>33626.100000000006</v>
      </c>
      <c r="AH325" s="42">
        <v>56208.009999999995</v>
      </c>
      <c r="AI325" s="32">
        <f t="shared" si="15"/>
        <v>89834.11</v>
      </c>
      <c r="AJ325" s="31" t="s">
        <v>75</v>
      </c>
      <c r="AK325" s="31" t="s">
        <v>75</v>
      </c>
      <c r="AL325" s="31">
        <v>51148.75</v>
      </c>
      <c r="AM325" s="31"/>
      <c r="AN325" s="31"/>
      <c r="AO325" s="31"/>
      <c r="AP325" s="31"/>
      <c r="AQ325" s="31"/>
      <c r="AR325" s="31"/>
      <c r="AS325" s="31" t="s">
        <v>75</v>
      </c>
      <c r="AT325" s="31" t="s">
        <v>75</v>
      </c>
      <c r="AU325" s="35">
        <v>1516976.4</v>
      </c>
      <c r="AV325" s="31" t="s">
        <v>75</v>
      </c>
      <c r="AW325" s="31" t="s">
        <v>75</v>
      </c>
      <c r="AX325" s="36">
        <v>37846.92</v>
      </c>
      <c r="AY325" s="30">
        <v>8270785.5</v>
      </c>
      <c r="AZ325" s="32">
        <v>861817.55</v>
      </c>
      <c r="BA325" s="29">
        <f t="shared" si="16"/>
        <v>9132603.0500000007</v>
      </c>
      <c r="BB325" s="31" t="s">
        <v>75</v>
      </c>
      <c r="BC325" s="31" t="s">
        <v>75</v>
      </c>
      <c r="BD325" s="31">
        <v>1484362.9111111111</v>
      </c>
      <c r="BE325" s="113">
        <v>0</v>
      </c>
      <c r="BF325" s="113">
        <v>0</v>
      </c>
      <c r="BG325" s="113">
        <v>179</v>
      </c>
      <c r="BH325" s="113">
        <v>0</v>
      </c>
      <c r="BI325" s="113">
        <v>0</v>
      </c>
      <c r="BJ325" s="113">
        <v>0</v>
      </c>
      <c r="BK325" s="113">
        <v>0</v>
      </c>
      <c r="BL325" s="113">
        <v>0</v>
      </c>
      <c r="BM325" s="113">
        <v>228</v>
      </c>
      <c r="BN325" s="113">
        <v>0</v>
      </c>
      <c r="BO325" s="113">
        <v>0</v>
      </c>
      <c r="BP325" s="113">
        <v>0</v>
      </c>
      <c r="BQ325" s="113">
        <v>0</v>
      </c>
      <c r="BR325" s="113">
        <v>0</v>
      </c>
      <c r="BS325" s="113">
        <v>429</v>
      </c>
      <c r="BT325" s="113">
        <v>0</v>
      </c>
      <c r="BU325" s="113">
        <v>0</v>
      </c>
      <c r="BV325" s="113">
        <v>0</v>
      </c>
      <c r="BW325" s="113"/>
      <c r="BX325" s="113"/>
      <c r="BY325" s="113"/>
      <c r="BZ325" s="113">
        <v>0</v>
      </c>
      <c r="CA325" s="113">
        <v>0</v>
      </c>
      <c r="CB325" s="113">
        <v>264</v>
      </c>
      <c r="CC325" s="113"/>
      <c r="CD325" s="113"/>
      <c r="CE325" s="113"/>
      <c r="CF325" s="113">
        <v>0</v>
      </c>
      <c r="CG325" s="113">
        <v>0</v>
      </c>
      <c r="CH325" s="30">
        <v>9</v>
      </c>
      <c r="CI325" s="113">
        <v>0</v>
      </c>
      <c r="CJ325" s="113">
        <v>0</v>
      </c>
      <c r="CK325" s="30">
        <v>42</v>
      </c>
      <c r="CL325" s="30">
        <v>0</v>
      </c>
      <c r="CM325" s="30">
        <v>0</v>
      </c>
      <c r="CN325" s="30">
        <v>0</v>
      </c>
      <c r="CO325" s="113">
        <v>0</v>
      </c>
      <c r="CP325" s="113">
        <v>0</v>
      </c>
      <c r="CQ325" s="113">
        <v>5</v>
      </c>
      <c r="CR325" s="113">
        <v>0</v>
      </c>
      <c r="CS325" s="113">
        <v>0</v>
      </c>
      <c r="CT325" s="113">
        <v>0</v>
      </c>
      <c r="CU325" s="113">
        <v>0</v>
      </c>
      <c r="CV325" s="113">
        <v>0</v>
      </c>
      <c r="CW325" s="113">
        <v>216</v>
      </c>
      <c r="CX325" s="113">
        <v>0</v>
      </c>
      <c r="CY325" s="113">
        <v>0</v>
      </c>
      <c r="CZ325" s="113">
        <v>0</v>
      </c>
      <c r="DA325" s="113">
        <v>0</v>
      </c>
      <c r="DB325" s="113">
        <v>0</v>
      </c>
      <c r="DC325" s="113">
        <v>0</v>
      </c>
      <c r="DD325" s="113">
        <v>0</v>
      </c>
      <c r="DE325" s="113">
        <v>0</v>
      </c>
      <c r="DF325" s="113">
        <v>0</v>
      </c>
      <c r="DG325" s="113">
        <v>0</v>
      </c>
      <c r="DH325" s="113">
        <v>0</v>
      </c>
      <c r="DI325" s="113">
        <v>0</v>
      </c>
      <c r="DJ325" s="113">
        <v>0</v>
      </c>
      <c r="DK325" s="113">
        <v>0</v>
      </c>
      <c r="DL325" s="113">
        <v>0</v>
      </c>
      <c r="DM325" s="113">
        <v>0</v>
      </c>
      <c r="DN325" s="113">
        <v>0</v>
      </c>
      <c r="DO325" s="113">
        <v>0</v>
      </c>
      <c r="DP325" s="113">
        <v>0</v>
      </c>
      <c r="DQ325" s="113">
        <v>0</v>
      </c>
      <c r="DR325" s="113">
        <v>0</v>
      </c>
      <c r="DS325" s="113">
        <v>0</v>
      </c>
      <c r="DT325" s="113">
        <v>0</v>
      </c>
      <c r="DU325" s="113">
        <v>0</v>
      </c>
      <c r="DV325" s="113">
        <v>0</v>
      </c>
      <c r="DW325" s="113">
        <v>0</v>
      </c>
      <c r="DX325" s="113">
        <v>0</v>
      </c>
      <c r="DY325" s="113">
        <v>0</v>
      </c>
      <c r="DZ325" s="113">
        <v>0</v>
      </c>
      <c r="EA325" s="113">
        <v>756</v>
      </c>
      <c r="EB325" s="113">
        <v>0</v>
      </c>
      <c r="EC325" s="113">
        <v>0</v>
      </c>
      <c r="ED325" s="113">
        <v>0</v>
      </c>
      <c r="EE325" s="113">
        <v>0</v>
      </c>
      <c r="EF325" s="113">
        <v>0</v>
      </c>
      <c r="EG325" s="113">
        <v>1066</v>
      </c>
      <c r="EH325" s="113">
        <v>0</v>
      </c>
      <c r="EI325" s="113">
        <v>0</v>
      </c>
      <c r="EJ325" s="113">
        <v>1</v>
      </c>
      <c r="EK325" s="113">
        <v>0</v>
      </c>
      <c r="EL325" s="113">
        <v>0</v>
      </c>
      <c r="EM325" s="113">
        <v>803</v>
      </c>
      <c r="EN325" s="113">
        <v>0</v>
      </c>
      <c r="EO325" s="113">
        <v>0</v>
      </c>
      <c r="EP325" s="113">
        <v>0</v>
      </c>
      <c r="EQ325" s="113">
        <v>0</v>
      </c>
      <c r="ER325" s="113">
        <v>0</v>
      </c>
      <c r="ES325" s="113">
        <v>85</v>
      </c>
      <c r="ET325" s="113">
        <v>0</v>
      </c>
      <c r="EU325" s="113">
        <v>0</v>
      </c>
      <c r="EV325" s="113">
        <v>0</v>
      </c>
      <c r="EW325" s="113">
        <v>0</v>
      </c>
      <c r="EX325" s="113">
        <v>0</v>
      </c>
      <c r="EY325" s="113">
        <v>2</v>
      </c>
      <c r="EZ325" s="113">
        <v>0</v>
      </c>
      <c r="FA325" s="113">
        <v>0</v>
      </c>
      <c r="FB325" s="113">
        <v>0</v>
      </c>
      <c r="FC325" s="113">
        <v>0</v>
      </c>
      <c r="FD325" s="113">
        <v>0</v>
      </c>
      <c r="FE325" s="113">
        <v>16</v>
      </c>
      <c r="FF325" s="113">
        <v>0</v>
      </c>
      <c r="FG325" s="113">
        <v>0</v>
      </c>
      <c r="FH325" s="113">
        <v>0</v>
      </c>
      <c r="FI325" s="113">
        <v>0</v>
      </c>
      <c r="FJ325" s="113">
        <v>0</v>
      </c>
      <c r="FK325" s="30">
        <v>8</v>
      </c>
      <c r="FL325" s="113">
        <v>0</v>
      </c>
      <c r="FM325" s="113">
        <v>0</v>
      </c>
      <c r="FN325" s="113">
        <v>5092</v>
      </c>
      <c r="FO325" s="113">
        <v>0</v>
      </c>
      <c r="FP325" s="113">
        <v>0</v>
      </c>
      <c r="FQ325" s="113">
        <v>572</v>
      </c>
      <c r="FR325" s="113">
        <v>0</v>
      </c>
      <c r="FS325" s="113">
        <v>0</v>
      </c>
      <c r="FT325" s="113">
        <v>0</v>
      </c>
      <c r="FU325" s="113">
        <v>0</v>
      </c>
      <c r="FV325" s="113">
        <v>0</v>
      </c>
      <c r="FW325" s="113">
        <v>52</v>
      </c>
      <c r="FX325" s="32">
        <v>0</v>
      </c>
      <c r="FY325" s="30">
        <v>0</v>
      </c>
      <c r="FZ325" s="30">
        <v>229</v>
      </c>
    </row>
    <row r="326" spans="1:182" x14ac:dyDescent="0.2">
      <c r="A326" s="28">
        <v>41487</v>
      </c>
      <c r="B326" s="28"/>
      <c r="C326" s="31">
        <v>211767.05000000002</v>
      </c>
      <c r="D326" s="31">
        <v>306138.59000000003</v>
      </c>
      <c r="E326" s="29">
        <f t="shared" si="8"/>
        <v>517905.64</v>
      </c>
      <c r="F326" s="40">
        <v>5194720.4000000004</v>
      </c>
      <c r="G326" s="40">
        <v>466789.10000000015</v>
      </c>
      <c r="H326" s="30">
        <f t="shared" si="9"/>
        <v>5661509.5000000009</v>
      </c>
      <c r="I326" s="42" t="s">
        <v>75</v>
      </c>
      <c r="J326" s="42" t="s">
        <v>75</v>
      </c>
      <c r="K326" s="42">
        <v>11516577.310000001</v>
      </c>
      <c r="L326" s="31" t="s">
        <v>75</v>
      </c>
      <c r="M326" s="31" t="s">
        <v>75</v>
      </c>
      <c r="N326" s="31">
        <v>25693840.640000001</v>
      </c>
      <c r="O326" s="31" t="s">
        <v>75</v>
      </c>
      <c r="P326" s="31" t="s">
        <v>75</v>
      </c>
      <c r="Q326" s="31">
        <v>19232468.719999999</v>
      </c>
      <c r="R326" s="31" t="s">
        <v>75</v>
      </c>
      <c r="S326" s="31" t="s">
        <v>75</v>
      </c>
      <c r="T326" s="31">
        <v>150130.94</v>
      </c>
      <c r="U326" s="31">
        <v>4937.24</v>
      </c>
      <c r="V326" s="31">
        <v>11173.939999999999</v>
      </c>
      <c r="W326" s="31">
        <f t="shared" si="11"/>
        <v>16111.179999999998</v>
      </c>
      <c r="X326" s="31">
        <v>59882.29</v>
      </c>
      <c r="Y326" s="31">
        <v>8071.2000000000007</v>
      </c>
      <c r="Z326" s="30">
        <f t="shared" si="12"/>
        <v>67953.490000000005</v>
      </c>
      <c r="AA326" s="31">
        <v>154364.85999999999</v>
      </c>
      <c r="AB326" s="31">
        <v>21379.68</v>
      </c>
      <c r="AC326" s="30">
        <f t="shared" si="13"/>
        <v>175744.53999999998</v>
      </c>
      <c r="AD326" s="31">
        <v>6348.02</v>
      </c>
      <c r="AE326" s="31">
        <v>11433.26</v>
      </c>
      <c r="AF326" s="30">
        <f t="shared" si="14"/>
        <v>17781.28</v>
      </c>
      <c r="AG326" s="42">
        <v>32524.269999999997</v>
      </c>
      <c r="AH326" s="42">
        <v>54709.230000000018</v>
      </c>
      <c r="AI326" s="32">
        <f t="shared" si="15"/>
        <v>87233.500000000015</v>
      </c>
      <c r="AJ326" s="31" t="s">
        <v>75</v>
      </c>
      <c r="AK326" s="31" t="s">
        <v>75</v>
      </c>
      <c r="AL326" s="31">
        <v>43125</v>
      </c>
      <c r="AM326" s="31"/>
      <c r="AN326" s="31"/>
      <c r="AO326" s="31"/>
      <c r="AP326" s="31"/>
      <c r="AQ326" s="31"/>
      <c r="AR326" s="31"/>
      <c r="AS326" s="31" t="s">
        <v>75</v>
      </c>
      <c r="AT326" s="31" t="s">
        <v>75</v>
      </c>
      <c r="AU326" s="35">
        <v>1534815.54</v>
      </c>
      <c r="AV326" s="31" t="s">
        <v>75</v>
      </c>
      <c r="AW326" s="31" t="s">
        <v>75</v>
      </c>
      <c r="AX326" s="36">
        <v>49038.64</v>
      </c>
      <c r="AY326" s="30">
        <v>7902331.4000000004</v>
      </c>
      <c r="AZ326" s="32">
        <v>1341070.5</v>
      </c>
      <c r="BA326" s="29">
        <f t="shared" si="16"/>
        <v>9243401.9000000004</v>
      </c>
      <c r="BB326" s="31" t="s">
        <v>75</v>
      </c>
      <c r="BC326" s="31" t="s">
        <v>75</v>
      </c>
      <c r="BD326" s="31">
        <v>1359514.5777777778</v>
      </c>
      <c r="BE326" s="113">
        <v>0</v>
      </c>
      <c r="BF326" s="113">
        <v>0</v>
      </c>
      <c r="BG326" s="113">
        <v>208</v>
      </c>
      <c r="BH326" s="113">
        <v>0</v>
      </c>
      <c r="BI326" s="113">
        <v>0</v>
      </c>
      <c r="BJ326" s="113">
        <v>0</v>
      </c>
      <c r="BK326" s="113">
        <v>0</v>
      </c>
      <c r="BL326" s="113">
        <v>0</v>
      </c>
      <c r="BM326" s="113">
        <v>301</v>
      </c>
      <c r="BN326" s="113">
        <v>0</v>
      </c>
      <c r="BO326" s="113">
        <v>0</v>
      </c>
      <c r="BP326" s="113">
        <v>0</v>
      </c>
      <c r="BQ326" s="113">
        <v>0</v>
      </c>
      <c r="BR326" s="113">
        <v>0</v>
      </c>
      <c r="BS326" s="113">
        <v>280</v>
      </c>
      <c r="BT326" s="113">
        <v>0</v>
      </c>
      <c r="BU326" s="113">
        <v>0</v>
      </c>
      <c r="BV326" s="113">
        <v>0</v>
      </c>
      <c r="BW326" s="113"/>
      <c r="BX326" s="113"/>
      <c r="BY326" s="113"/>
      <c r="BZ326" s="113">
        <v>0</v>
      </c>
      <c r="CA326" s="113">
        <v>0</v>
      </c>
      <c r="CB326" s="113">
        <v>282</v>
      </c>
      <c r="CC326" s="113"/>
      <c r="CD326" s="113"/>
      <c r="CE326" s="113"/>
      <c r="CF326" s="113">
        <v>0</v>
      </c>
      <c r="CG326" s="113">
        <v>0</v>
      </c>
      <c r="CH326" s="30">
        <v>3</v>
      </c>
      <c r="CI326" s="113">
        <v>0</v>
      </c>
      <c r="CJ326" s="113">
        <v>0</v>
      </c>
      <c r="CK326" s="30">
        <v>88</v>
      </c>
      <c r="CL326" s="30">
        <v>0</v>
      </c>
      <c r="CM326" s="30">
        <v>0</v>
      </c>
      <c r="CN326" s="30">
        <v>0</v>
      </c>
      <c r="CO326" s="113">
        <v>0</v>
      </c>
      <c r="CP326" s="113">
        <v>0</v>
      </c>
      <c r="CQ326" s="113">
        <v>11</v>
      </c>
      <c r="CR326" s="113">
        <v>0</v>
      </c>
      <c r="CS326" s="113">
        <v>0</v>
      </c>
      <c r="CT326" s="113">
        <v>0</v>
      </c>
      <c r="CU326" s="113">
        <v>0</v>
      </c>
      <c r="CV326" s="113">
        <v>0</v>
      </c>
      <c r="CW326" s="113">
        <v>191</v>
      </c>
      <c r="CX326" s="113">
        <v>0</v>
      </c>
      <c r="CY326" s="113">
        <v>0</v>
      </c>
      <c r="CZ326" s="113">
        <v>0</v>
      </c>
      <c r="DA326" s="113">
        <v>0</v>
      </c>
      <c r="DB326" s="113">
        <v>0</v>
      </c>
      <c r="DC326" s="113">
        <v>2</v>
      </c>
      <c r="DD326" s="113">
        <v>0</v>
      </c>
      <c r="DE326" s="113">
        <v>0</v>
      </c>
      <c r="DF326" s="113">
        <v>0</v>
      </c>
      <c r="DG326" s="113">
        <v>0</v>
      </c>
      <c r="DH326" s="113">
        <v>0</v>
      </c>
      <c r="DI326" s="113">
        <v>4</v>
      </c>
      <c r="DJ326" s="113">
        <v>0</v>
      </c>
      <c r="DK326" s="113">
        <v>0</v>
      </c>
      <c r="DL326" s="113">
        <v>0</v>
      </c>
      <c r="DM326" s="113">
        <v>0</v>
      </c>
      <c r="DN326" s="113">
        <v>0</v>
      </c>
      <c r="DO326" s="113">
        <v>0</v>
      </c>
      <c r="DP326" s="113">
        <v>0</v>
      </c>
      <c r="DQ326" s="113">
        <v>0</v>
      </c>
      <c r="DR326" s="113">
        <v>0</v>
      </c>
      <c r="DS326" s="113">
        <v>0</v>
      </c>
      <c r="DT326" s="113">
        <v>0</v>
      </c>
      <c r="DU326" s="113">
        <v>0</v>
      </c>
      <c r="DV326" s="113">
        <v>0</v>
      </c>
      <c r="DW326" s="113">
        <v>0</v>
      </c>
      <c r="DX326" s="113">
        <v>0</v>
      </c>
      <c r="DY326" s="113">
        <v>0</v>
      </c>
      <c r="DZ326" s="113">
        <v>0</v>
      </c>
      <c r="EA326" s="113">
        <v>992</v>
      </c>
      <c r="EB326" s="113">
        <v>0</v>
      </c>
      <c r="EC326" s="113">
        <v>0</v>
      </c>
      <c r="ED326" s="113">
        <v>0</v>
      </c>
      <c r="EE326" s="113">
        <v>0</v>
      </c>
      <c r="EF326" s="113">
        <v>0</v>
      </c>
      <c r="EG326" s="113">
        <v>1274</v>
      </c>
      <c r="EH326" s="113">
        <v>0</v>
      </c>
      <c r="EI326" s="113">
        <v>0</v>
      </c>
      <c r="EJ326" s="113">
        <v>0</v>
      </c>
      <c r="EK326" s="113">
        <v>0</v>
      </c>
      <c r="EL326" s="113">
        <v>0</v>
      </c>
      <c r="EM326" s="113">
        <v>790</v>
      </c>
      <c r="EN326" s="113">
        <v>0</v>
      </c>
      <c r="EO326" s="113">
        <v>0</v>
      </c>
      <c r="EP326" s="113">
        <v>0</v>
      </c>
      <c r="EQ326" s="113">
        <v>0</v>
      </c>
      <c r="ER326" s="113">
        <v>0</v>
      </c>
      <c r="ES326" s="113">
        <v>59</v>
      </c>
      <c r="ET326" s="113">
        <v>0</v>
      </c>
      <c r="EU326" s="113">
        <v>0</v>
      </c>
      <c r="EV326" s="113">
        <v>0</v>
      </c>
      <c r="EW326" s="113">
        <v>0</v>
      </c>
      <c r="EX326" s="113">
        <v>0</v>
      </c>
      <c r="EY326" s="113">
        <v>7</v>
      </c>
      <c r="EZ326" s="113">
        <v>0</v>
      </c>
      <c r="FA326" s="113">
        <v>0</v>
      </c>
      <c r="FB326" s="113">
        <v>0</v>
      </c>
      <c r="FC326" s="113">
        <v>0</v>
      </c>
      <c r="FD326" s="113">
        <v>0</v>
      </c>
      <c r="FE326" s="113">
        <v>14</v>
      </c>
      <c r="FF326" s="113">
        <v>0</v>
      </c>
      <c r="FG326" s="113">
        <v>0</v>
      </c>
      <c r="FH326" s="113">
        <v>0</v>
      </c>
      <c r="FI326" s="113">
        <v>0</v>
      </c>
      <c r="FJ326" s="113">
        <v>0</v>
      </c>
      <c r="FK326" s="30">
        <v>2</v>
      </c>
      <c r="FL326" s="113">
        <v>0</v>
      </c>
      <c r="FM326" s="113">
        <v>0</v>
      </c>
      <c r="FN326" s="113">
        <v>4952</v>
      </c>
      <c r="FO326" s="113">
        <v>0</v>
      </c>
      <c r="FP326" s="113">
        <v>0</v>
      </c>
      <c r="FQ326" s="113">
        <v>570</v>
      </c>
      <c r="FR326" s="113">
        <v>0</v>
      </c>
      <c r="FS326" s="113">
        <v>0</v>
      </c>
      <c r="FT326" s="113">
        <v>0</v>
      </c>
      <c r="FU326" s="113">
        <v>0</v>
      </c>
      <c r="FV326" s="113">
        <v>0</v>
      </c>
      <c r="FW326" s="113">
        <v>57</v>
      </c>
      <c r="FX326" s="32">
        <v>0</v>
      </c>
      <c r="FY326" s="30">
        <v>0</v>
      </c>
      <c r="FZ326" s="30">
        <v>450</v>
      </c>
    </row>
    <row r="327" spans="1:182" x14ac:dyDescent="0.2">
      <c r="A327" s="28">
        <v>41518</v>
      </c>
      <c r="B327" s="28"/>
      <c r="C327" s="31">
        <v>238058.97999999998</v>
      </c>
      <c r="D327" s="31">
        <v>345292.56999999983</v>
      </c>
      <c r="E327" s="29">
        <f t="shared" si="8"/>
        <v>583351.54999999981</v>
      </c>
      <c r="F327" s="40">
        <v>6501413.4399999995</v>
      </c>
      <c r="G327" s="40">
        <v>660204.64000000013</v>
      </c>
      <c r="H327" s="30">
        <f t="shared" si="9"/>
        <v>7161618.0800000001</v>
      </c>
      <c r="I327" s="42" t="s">
        <v>75</v>
      </c>
      <c r="J327" s="42" t="s">
        <v>75</v>
      </c>
      <c r="K327" s="42">
        <v>7594950.5500000007</v>
      </c>
      <c r="L327" s="31" t="s">
        <v>75</v>
      </c>
      <c r="M327" s="31" t="s">
        <v>75</v>
      </c>
      <c r="N327" s="31">
        <v>25281761.850000001</v>
      </c>
      <c r="O327" s="31" t="s">
        <v>75</v>
      </c>
      <c r="P327" s="31" t="s">
        <v>75</v>
      </c>
      <c r="Q327" s="31">
        <v>22584838.379999999</v>
      </c>
      <c r="R327" s="31" t="s">
        <v>75</v>
      </c>
      <c r="S327" s="31" t="s">
        <v>75</v>
      </c>
      <c r="T327" s="31">
        <v>128541.5</v>
      </c>
      <c r="U327" s="31">
        <v>4715.07</v>
      </c>
      <c r="V327" s="31">
        <v>7222.73</v>
      </c>
      <c r="W327" s="31">
        <f t="shared" si="11"/>
        <v>11937.8</v>
      </c>
      <c r="X327" s="31">
        <v>94601.260000000009</v>
      </c>
      <c r="Y327" s="31">
        <v>8908.65</v>
      </c>
      <c r="Z327" s="30">
        <f t="shared" si="12"/>
        <v>103509.91</v>
      </c>
      <c r="AA327" s="31">
        <v>117030.80000000002</v>
      </c>
      <c r="AB327" s="31">
        <v>29222.410000000003</v>
      </c>
      <c r="AC327" s="30">
        <f t="shared" si="13"/>
        <v>146253.21000000002</v>
      </c>
      <c r="AD327" s="31">
        <v>9601.48</v>
      </c>
      <c r="AE327" s="31">
        <v>10695.739999999998</v>
      </c>
      <c r="AF327" s="30">
        <f t="shared" si="14"/>
        <v>20297.219999999998</v>
      </c>
      <c r="AG327" s="42">
        <v>33907.410000000003</v>
      </c>
      <c r="AH327" s="42">
        <v>55099.429999999986</v>
      </c>
      <c r="AI327" s="32">
        <f t="shared" si="15"/>
        <v>89006.84</v>
      </c>
      <c r="AJ327" s="31" t="s">
        <v>75</v>
      </c>
      <c r="AK327" s="31" t="s">
        <v>75</v>
      </c>
      <c r="AL327" s="31">
        <v>49563.75</v>
      </c>
      <c r="AM327" s="31"/>
      <c r="AN327" s="31"/>
      <c r="AO327" s="31"/>
      <c r="AP327" s="31"/>
      <c r="AQ327" s="31"/>
      <c r="AR327" s="31"/>
      <c r="AS327" s="31" t="s">
        <v>75</v>
      </c>
      <c r="AT327" s="31" t="s">
        <v>75</v>
      </c>
      <c r="AU327" s="35">
        <v>1594336</v>
      </c>
      <c r="AV327" s="31" t="s">
        <v>75</v>
      </c>
      <c r="AW327" s="31" t="s">
        <v>75</v>
      </c>
      <c r="AX327" s="36">
        <v>43694.36</v>
      </c>
      <c r="AY327" s="30">
        <v>8520986.6999999993</v>
      </c>
      <c r="AZ327" s="32">
        <v>1657107.5</v>
      </c>
      <c r="BA327" s="29">
        <f t="shared" si="16"/>
        <v>10178094.199999999</v>
      </c>
      <c r="BB327" s="31" t="s">
        <v>75</v>
      </c>
      <c r="BC327" s="31" t="s">
        <v>75</v>
      </c>
      <c r="BD327" s="31">
        <v>1509993.0888888889</v>
      </c>
      <c r="BE327" s="113">
        <v>0</v>
      </c>
      <c r="BF327" s="113">
        <v>0</v>
      </c>
      <c r="BG327" s="113">
        <v>180</v>
      </c>
      <c r="BH327" s="113">
        <v>0</v>
      </c>
      <c r="BI327" s="113">
        <v>0</v>
      </c>
      <c r="BJ327" s="113">
        <v>0</v>
      </c>
      <c r="BK327" s="113">
        <v>0</v>
      </c>
      <c r="BL327" s="113">
        <v>0</v>
      </c>
      <c r="BM327" s="113">
        <v>217</v>
      </c>
      <c r="BN327" s="113">
        <v>0</v>
      </c>
      <c r="BO327" s="113">
        <v>0</v>
      </c>
      <c r="BP327" s="113">
        <v>0</v>
      </c>
      <c r="BQ327" s="113">
        <v>0</v>
      </c>
      <c r="BR327" s="113">
        <v>0</v>
      </c>
      <c r="BS327" s="113">
        <v>383</v>
      </c>
      <c r="BT327" s="113">
        <v>0</v>
      </c>
      <c r="BU327" s="113">
        <v>0</v>
      </c>
      <c r="BV327" s="113">
        <v>0</v>
      </c>
      <c r="BW327" s="113"/>
      <c r="BX327" s="113"/>
      <c r="BY327" s="113"/>
      <c r="BZ327" s="113">
        <v>0</v>
      </c>
      <c r="CA327" s="113">
        <v>0</v>
      </c>
      <c r="CB327" s="113">
        <v>217</v>
      </c>
      <c r="CC327" s="113"/>
      <c r="CD327" s="113"/>
      <c r="CE327" s="113"/>
      <c r="CF327" s="113">
        <v>0</v>
      </c>
      <c r="CG327" s="113">
        <v>0</v>
      </c>
      <c r="CH327" s="30">
        <v>6</v>
      </c>
      <c r="CI327" s="113">
        <v>0</v>
      </c>
      <c r="CJ327" s="113">
        <v>0</v>
      </c>
      <c r="CK327" s="30">
        <v>114</v>
      </c>
      <c r="CL327" s="30">
        <v>0</v>
      </c>
      <c r="CM327" s="30">
        <v>0</v>
      </c>
      <c r="CN327" s="30">
        <v>0</v>
      </c>
      <c r="CO327" s="113">
        <v>0</v>
      </c>
      <c r="CP327" s="113">
        <v>0</v>
      </c>
      <c r="CQ327" s="113">
        <v>4</v>
      </c>
      <c r="CR327" s="113">
        <v>0</v>
      </c>
      <c r="CS327" s="113">
        <v>0</v>
      </c>
      <c r="CT327" s="113">
        <v>0</v>
      </c>
      <c r="CU327" s="113">
        <v>0</v>
      </c>
      <c r="CV327" s="113">
        <v>0</v>
      </c>
      <c r="CW327" s="113">
        <v>205</v>
      </c>
      <c r="CX327" s="113">
        <v>0</v>
      </c>
      <c r="CY327" s="113">
        <v>0</v>
      </c>
      <c r="CZ327" s="113">
        <v>0</v>
      </c>
      <c r="DA327" s="113">
        <v>0</v>
      </c>
      <c r="DB327" s="113">
        <v>0</v>
      </c>
      <c r="DC327" s="113">
        <v>1</v>
      </c>
      <c r="DD327" s="113">
        <v>0</v>
      </c>
      <c r="DE327" s="113">
        <v>0</v>
      </c>
      <c r="DF327" s="113">
        <v>0</v>
      </c>
      <c r="DG327" s="113">
        <v>0</v>
      </c>
      <c r="DH327" s="113">
        <v>0</v>
      </c>
      <c r="DI327" s="113">
        <v>1</v>
      </c>
      <c r="DJ327" s="113">
        <v>0</v>
      </c>
      <c r="DK327" s="113">
        <v>0</v>
      </c>
      <c r="DL327" s="113">
        <v>0</v>
      </c>
      <c r="DM327" s="113">
        <v>0</v>
      </c>
      <c r="DN327" s="113">
        <v>0</v>
      </c>
      <c r="DO327" s="113">
        <v>0</v>
      </c>
      <c r="DP327" s="113">
        <v>0</v>
      </c>
      <c r="DQ327" s="113">
        <v>0</v>
      </c>
      <c r="DR327" s="113">
        <v>0</v>
      </c>
      <c r="DS327" s="113">
        <v>0</v>
      </c>
      <c r="DT327" s="113">
        <v>0</v>
      </c>
      <c r="DU327" s="113">
        <v>0</v>
      </c>
      <c r="DV327" s="113">
        <v>0</v>
      </c>
      <c r="DW327" s="113">
        <v>0</v>
      </c>
      <c r="DX327" s="113">
        <v>0</v>
      </c>
      <c r="DY327" s="113">
        <v>0</v>
      </c>
      <c r="DZ327" s="113">
        <v>0</v>
      </c>
      <c r="EA327" s="113">
        <v>783</v>
      </c>
      <c r="EB327" s="113">
        <v>0</v>
      </c>
      <c r="EC327" s="113">
        <v>0</v>
      </c>
      <c r="ED327" s="113">
        <v>0</v>
      </c>
      <c r="EE327" s="113">
        <v>0</v>
      </c>
      <c r="EF327" s="113">
        <v>0</v>
      </c>
      <c r="EG327" s="113">
        <v>882</v>
      </c>
      <c r="EH327" s="113">
        <v>0</v>
      </c>
      <c r="EI327" s="113">
        <v>0</v>
      </c>
      <c r="EJ327" s="113">
        <v>0</v>
      </c>
      <c r="EK327" s="113">
        <v>0</v>
      </c>
      <c r="EL327" s="113">
        <v>0</v>
      </c>
      <c r="EM327" s="113">
        <v>825</v>
      </c>
      <c r="EN327" s="113">
        <v>0</v>
      </c>
      <c r="EO327" s="113">
        <v>0</v>
      </c>
      <c r="EP327" s="113">
        <v>0</v>
      </c>
      <c r="EQ327" s="113">
        <v>0</v>
      </c>
      <c r="ER327" s="113">
        <v>0</v>
      </c>
      <c r="ES327" s="113">
        <v>46</v>
      </c>
      <c r="ET327" s="113">
        <v>0</v>
      </c>
      <c r="EU327" s="113">
        <v>0</v>
      </c>
      <c r="EV327" s="113">
        <v>0</v>
      </c>
      <c r="EW327" s="113">
        <v>0</v>
      </c>
      <c r="EX327" s="113">
        <v>0</v>
      </c>
      <c r="EY327" s="113">
        <v>9</v>
      </c>
      <c r="EZ327" s="113">
        <v>0</v>
      </c>
      <c r="FA327" s="113">
        <v>0</v>
      </c>
      <c r="FB327" s="113">
        <v>0</v>
      </c>
      <c r="FC327" s="113">
        <v>0</v>
      </c>
      <c r="FD327" s="113">
        <v>0</v>
      </c>
      <c r="FE327" s="113">
        <v>6</v>
      </c>
      <c r="FF327" s="113">
        <v>0</v>
      </c>
      <c r="FG327" s="113">
        <v>0</v>
      </c>
      <c r="FH327" s="113">
        <v>0</v>
      </c>
      <c r="FI327" s="113">
        <v>0</v>
      </c>
      <c r="FJ327" s="113">
        <v>0</v>
      </c>
      <c r="FK327" s="30">
        <v>3</v>
      </c>
      <c r="FL327" s="113">
        <v>0</v>
      </c>
      <c r="FM327" s="113">
        <v>0</v>
      </c>
      <c r="FN327" s="113">
        <v>4125</v>
      </c>
      <c r="FO327" s="113">
        <v>0</v>
      </c>
      <c r="FP327" s="113">
        <v>0</v>
      </c>
      <c r="FQ327" s="113">
        <v>435</v>
      </c>
      <c r="FR327" s="113">
        <v>0</v>
      </c>
      <c r="FS327" s="113">
        <v>0</v>
      </c>
      <c r="FT327" s="113">
        <v>0</v>
      </c>
      <c r="FU327" s="113">
        <v>0</v>
      </c>
      <c r="FV327" s="113">
        <v>0</v>
      </c>
      <c r="FW327" s="113">
        <v>142</v>
      </c>
      <c r="FX327" s="32">
        <v>0</v>
      </c>
      <c r="FY327" s="30">
        <v>0</v>
      </c>
      <c r="FZ327" s="30">
        <v>-2</v>
      </c>
    </row>
    <row r="328" spans="1:182" x14ac:dyDescent="0.2">
      <c r="A328" s="28">
        <v>41548</v>
      </c>
      <c r="B328" s="28"/>
      <c r="C328" s="31">
        <v>179477.18</v>
      </c>
      <c r="D328" s="31">
        <v>304665.29000000004</v>
      </c>
      <c r="E328" s="29">
        <f t="shared" ref="E328:E330" si="17">+C328+D328</f>
        <v>484142.47000000003</v>
      </c>
      <c r="F328" s="40">
        <v>8335641.3100000005</v>
      </c>
      <c r="G328" s="40">
        <v>927073.34</v>
      </c>
      <c r="H328" s="30">
        <f t="shared" ref="H328:H329" si="18">+G328+F328</f>
        <v>9262714.6500000004</v>
      </c>
      <c r="I328" s="42" t="s">
        <v>75</v>
      </c>
      <c r="J328" s="42" t="s">
        <v>75</v>
      </c>
      <c r="K328" s="42">
        <v>15004524.619999999</v>
      </c>
      <c r="L328" s="31" t="s">
        <v>75</v>
      </c>
      <c r="M328" s="31" t="s">
        <v>75</v>
      </c>
      <c r="N328" s="31">
        <v>27945813.310000002</v>
      </c>
      <c r="O328" s="31" t="s">
        <v>75</v>
      </c>
      <c r="P328" s="31" t="s">
        <v>75</v>
      </c>
      <c r="Q328" s="31">
        <v>26230548.949999999</v>
      </c>
      <c r="R328" s="31" t="s">
        <v>75</v>
      </c>
      <c r="S328" s="31" t="s">
        <v>75</v>
      </c>
      <c r="T328" s="31">
        <v>109419.64000000001</v>
      </c>
      <c r="U328" s="31">
        <v>12799.5</v>
      </c>
      <c r="V328" s="31">
        <v>10076.08</v>
      </c>
      <c r="W328" s="31">
        <f t="shared" si="11"/>
        <v>22875.58</v>
      </c>
      <c r="X328" s="31">
        <v>100178.36</v>
      </c>
      <c r="Y328" s="31">
        <v>5686.7</v>
      </c>
      <c r="Z328" s="30">
        <f t="shared" si="12"/>
        <v>105865.06</v>
      </c>
      <c r="AA328" s="31">
        <v>111902.53</v>
      </c>
      <c r="AB328" s="31">
        <v>18985.180000000004</v>
      </c>
      <c r="AC328" s="30">
        <f t="shared" si="13"/>
        <v>130887.71</v>
      </c>
      <c r="AD328" s="31">
        <v>13427.210000000001</v>
      </c>
      <c r="AE328" s="31">
        <v>27895.27</v>
      </c>
      <c r="AF328" s="30">
        <f t="shared" si="14"/>
        <v>41322.480000000003</v>
      </c>
      <c r="AG328" s="42">
        <v>34920.089999999997</v>
      </c>
      <c r="AH328" s="42">
        <v>65469.570000000014</v>
      </c>
      <c r="AI328" s="32">
        <f t="shared" si="15"/>
        <v>100389.66</v>
      </c>
      <c r="AJ328" s="31" t="s">
        <v>75</v>
      </c>
      <c r="AK328" s="31" t="s">
        <v>75</v>
      </c>
      <c r="AL328" s="31">
        <v>63885</v>
      </c>
      <c r="AM328" s="31"/>
      <c r="AN328" s="31"/>
      <c r="AO328" s="31"/>
      <c r="AP328" s="31"/>
      <c r="AQ328" s="31"/>
      <c r="AR328" s="31"/>
      <c r="AS328" s="31" t="s">
        <v>75</v>
      </c>
      <c r="AT328" s="31" t="s">
        <v>75</v>
      </c>
      <c r="AU328" s="35">
        <v>1820917.59</v>
      </c>
      <c r="AV328" s="31" t="s">
        <v>75</v>
      </c>
      <c r="AW328" s="31" t="s">
        <v>75</v>
      </c>
      <c r="AX328" s="36">
        <v>46116.71</v>
      </c>
      <c r="AY328" s="30">
        <v>8869441.5</v>
      </c>
      <c r="AZ328" s="32">
        <v>1150935.8</v>
      </c>
      <c r="BA328" s="29">
        <f t="shared" si="16"/>
        <v>10020377.300000001</v>
      </c>
      <c r="BB328" s="31" t="s">
        <v>75</v>
      </c>
      <c r="BC328" s="31" t="s">
        <v>75</v>
      </c>
      <c r="BD328" s="31">
        <v>1517071.7111111109</v>
      </c>
      <c r="BE328" s="113">
        <v>0</v>
      </c>
      <c r="BF328" s="113">
        <v>0</v>
      </c>
      <c r="BG328" s="113">
        <v>186</v>
      </c>
      <c r="BH328" s="113">
        <v>0</v>
      </c>
      <c r="BI328" s="113">
        <v>0</v>
      </c>
      <c r="BJ328" s="113">
        <v>0</v>
      </c>
      <c r="BK328" s="113">
        <v>0</v>
      </c>
      <c r="BL328" s="113">
        <v>0</v>
      </c>
      <c r="BM328" s="113">
        <v>263</v>
      </c>
      <c r="BN328" s="113">
        <v>0</v>
      </c>
      <c r="BO328" s="113">
        <v>0</v>
      </c>
      <c r="BP328" s="113">
        <v>0</v>
      </c>
      <c r="BQ328" s="113">
        <v>0</v>
      </c>
      <c r="BR328" s="113">
        <v>0</v>
      </c>
      <c r="BS328" s="113">
        <v>322</v>
      </c>
      <c r="BT328" s="113">
        <v>0</v>
      </c>
      <c r="BU328" s="113">
        <v>0</v>
      </c>
      <c r="BV328" s="113">
        <v>0</v>
      </c>
      <c r="BW328" s="113"/>
      <c r="BX328" s="113"/>
      <c r="BY328" s="113"/>
      <c r="BZ328" s="113">
        <v>0</v>
      </c>
      <c r="CA328" s="113">
        <v>0</v>
      </c>
      <c r="CB328" s="113">
        <v>321</v>
      </c>
      <c r="CC328" s="113"/>
      <c r="CD328" s="113"/>
      <c r="CE328" s="113"/>
      <c r="CF328" s="113">
        <v>0</v>
      </c>
      <c r="CG328" s="113">
        <v>0</v>
      </c>
      <c r="CH328" s="30">
        <v>12</v>
      </c>
      <c r="CI328" s="113">
        <v>0</v>
      </c>
      <c r="CJ328" s="113">
        <v>0</v>
      </c>
      <c r="CK328" s="30">
        <v>42</v>
      </c>
      <c r="CL328" s="30">
        <v>0</v>
      </c>
      <c r="CM328" s="30">
        <v>0</v>
      </c>
      <c r="CN328" s="30">
        <v>0</v>
      </c>
      <c r="CO328" s="113">
        <v>0</v>
      </c>
      <c r="CP328" s="113">
        <v>0</v>
      </c>
      <c r="CQ328" s="113">
        <v>3</v>
      </c>
      <c r="CR328" s="113">
        <v>0</v>
      </c>
      <c r="CS328" s="113">
        <v>0</v>
      </c>
      <c r="CT328" s="113">
        <v>0</v>
      </c>
      <c r="CU328" s="113">
        <v>0</v>
      </c>
      <c r="CV328" s="113">
        <v>0</v>
      </c>
      <c r="CW328" s="113">
        <v>245</v>
      </c>
      <c r="CX328" s="113">
        <v>0</v>
      </c>
      <c r="CY328" s="113">
        <v>0</v>
      </c>
      <c r="CZ328" s="113">
        <v>0</v>
      </c>
      <c r="DA328" s="113">
        <v>0</v>
      </c>
      <c r="DB328" s="113">
        <v>0</v>
      </c>
      <c r="DC328" s="113">
        <v>0</v>
      </c>
      <c r="DD328" s="113">
        <v>0</v>
      </c>
      <c r="DE328" s="113">
        <v>0</v>
      </c>
      <c r="DF328" s="113">
        <v>0</v>
      </c>
      <c r="DG328" s="113">
        <v>0</v>
      </c>
      <c r="DH328" s="113">
        <v>0</v>
      </c>
      <c r="DI328" s="113">
        <v>5</v>
      </c>
      <c r="DJ328" s="113">
        <v>0</v>
      </c>
      <c r="DK328" s="113">
        <v>0</v>
      </c>
      <c r="DL328" s="113">
        <v>0</v>
      </c>
      <c r="DM328" s="113">
        <v>0</v>
      </c>
      <c r="DN328" s="113">
        <v>0</v>
      </c>
      <c r="DO328" s="113">
        <v>0</v>
      </c>
      <c r="DP328" s="113">
        <v>0</v>
      </c>
      <c r="DQ328" s="113">
        <v>0</v>
      </c>
      <c r="DR328" s="113">
        <v>0</v>
      </c>
      <c r="DS328" s="113">
        <v>0</v>
      </c>
      <c r="DT328" s="113">
        <v>0</v>
      </c>
      <c r="DU328" s="113">
        <v>11</v>
      </c>
      <c r="DV328" s="113">
        <v>0</v>
      </c>
      <c r="DW328" s="113">
        <v>0</v>
      </c>
      <c r="DX328" s="113">
        <v>0</v>
      </c>
      <c r="DY328" s="113">
        <v>0</v>
      </c>
      <c r="DZ328" s="113">
        <v>0</v>
      </c>
      <c r="EA328" s="113">
        <v>1026</v>
      </c>
      <c r="EB328" s="113">
        <v>0</v>
      </c>
      <c r="EC328" s="113">
        <v>0</v>
      </c>
      <c r="ED328" s="113">
        <v>0</v>
      </c>
      <c r="EE328" s="113">
        <v>0</v>
      </c>
      <c r="EF328" s="113">
        <v>0</v>
      </c>
      <c r="EG328" s="113">
        <v>1520</v>
      </c>
      <c r="EH328" s="113">
        <v>0</v>
      </c>
      <c r="EI328" s="113">
        <v>0</v>
      </c>
      <c r="EJ328" s="113">
        <v>0</v>
      </c>
      <c r="EK328" s="113">
        <v>0</v>
      </c>
      <c r="EL328" s="113">
        <v>0</v>
      </c>
      <c r="EM328" s="113">
        <v>821</v>
      </c>
      <c r="EN328" s="113">
        <v>0</v>
      </c>
      <c r="EO328" s="113">
        <v>0</v>
      </c>
      <c r="EP328" s="113">
        <v>0</v>
      </c>
      <c r="EQ328" s="113">
        <v>0</v>
      </c>
      <c r="ER328" s="113">
        <v>0</v>
      </c>
      <c r="ES328" s="113">
        <v>94</v>
      </c>
      <c r="ET328" s="113">
        <v>0</v>
      </c>
      <c r="EU328" s="113">
        <v>0</v>
      </c>
      <c r="EV328" s="113">
        <v>0</v>
      </c>
      <c r="EW328" s="113">
        <v>0</v>
      </c>
      <c r="EX328" s="113">
        <v>0</v>
      </c>
      <c r="EY328" s="113">
        <v>4</v>
      </c>
      <c r="EZ328" s="113">
        <v>0</v>
      </c>
      <c r="FA328" s="113">
        <v>0</v>
      </c>
      <c r="FB328" s="113">
        <v>0</v>
      </c>
      <c r="FC328" s="113">
        <v>0</v>
      </c>
      <c r="FD328" s="113">
        <v>0</v>
      </c>
      <c r="FE328" s="113">
        <v>16</v>
      </c>
      <c r="FF328" s="113">
        <v>0</v>
      </c>
      <c r="FG328" s="113">
        <v>0</v>
      </c>
      <c r="FH328" s="113">
        <v>0</v>
      </c>
      <c r="FI328" s="113">
        <v>0</v>
      </c>
      <c r="FJ328" s="113">
        <v>0</v>
      </c>
      <c r="FK328" s="30">
        <v>4</v>
      </c>
      <c r="FL328" s="113">
        <v>0</v>
      </c>
      <c r="FM328" s="113">
        <v>0</v>
      </c>
      <c r="FN328" s="113">
        <v>5954</v>
      </c>
      <c r="FO328" s="113">
        <v>0</v>
      </c>
      <c r="FP328" s="113">
        <v>0</v>
      </c>
      <c r="FQ328" s="113">
        <v>591</v>
      </c>
      <c r="FR328" s="113">
        <v>0</v>
      </c>
      <c r="FS328" s="113">
        <v>0</v>
      </c>
      <c r="FT328" s="113">
        <v>0</v>
      </c>
      <c r="FU328" s="113">
        <v>0</v>
      </c>
      <c r="FV328" s="113">
        <v>0</v>
      </c>
      <c r="FW328" s="113">
        <v>188</v>
      </c>
      <c r="FX328" s="32">
        <v>0</v>
      </c>
      <c r="FY328" s="30">
        <v>0</v>
      </c>
      <c r="FZ328" s="30">
        <v>1</v>
      </c>
    </row>
    <row r="329" spans="1:182" x14ac:dyDescent="0.2">
      <c r="A329" s="28">
        <v>41579</v>
      </c>
      <c r="B329" s="28"/>
      <c r="C329" s="31">
        <v>265166.12</v>
      </c>
      <c r="D329" s="31">
        <v>465775.19000000006</v>
      </c>
      <c r="E329" s="29">
        <f t="shared" si="17"/>
        <v>730941.31</v>
      </c>
      <c r="F329" s="40">
        <v>13809774.48</v>
      </c>
      <c r="G329" s="40">
        <v>1332414.6599999999</v>
      </c>
      <c r="H329" s="30">
        <f t="shared" si="18"/>
        <v>15142189.140000001</v>
      </c>
      <c r="I329" s="42" t="s">
        <v>75</v>
      </c>
      <c r="J329" s="42" t="s">
        <v>75</v>
      </c>
      <c r="K329" s="42">
        <v>12837532.540000001</v>
      </c>
      <c r="L329" s="31" t="s">
        <v>75</v>
      </c>
      <c r="M329" s="31" t="s">
        <v>75</v>
      </c>
      <c r="N329" s="31">
        <v>31968193.350000005</v>
      </c>
      <c r="O329" s="31" t="s">
        <v>75</v>
      </c>
      <c r="P329" s="31" t="s">
        <v>75</v>
      </c>
      <c r="Q329" s="31">
        <v>28419860.5</v>
      </c>
      <c r="R329" s="31" t="s">
        <v>75</v>
      </c>
      <c r="S329" s="31" t="s">
        <v>75</v>
      </c>
      <c r="T329" s="31">
        <v>150693.9</v>
      </c>
      <c r="U329" s="31">
        <v>26315.5</v>
      </c>
      <c r="V329" s="31">
        <v>15895.02</v>
      </c>
      <c r="W329" s="31">
        <f t="shared" si="11"/>
        <v>42210.520000000004</v>
      </c>
      <c r="X329" s="31">
        <v>127354.41</v>
      </c>
      <c r="Y329" s="31">
        <v>8069.0499999999993</v>
      </c>
      <c r="Z329" s="30">
        <f t="shared" si="12"/>
        <v>135423.46</v>
      </c>
      <c r="AA329" s="31">
        <v>94911.25999999998</v>
      </c>
      <c r="AB329" s="31">
        <v>27357.449999999997</v>
      </c>
      <c r="AC329" s="30">
        <f t="shared" si="13"/>
        <v>122268.70999999998</v>
      </c>
      <c r="AD329" s="31">
        <v>10779.26</v>
      </c>
      <c r="AE329" s="31">
        <v>48996.45</v>
      </c>
      <c r="AF329" s="30">
        <f t="shared" si="14"/>
        <v>59775.71</v>
      </c>
      <c r="AG329" s="42">
        <v>33459.479999999996</v>
      </c>
      <c r="AH329" s="42">
        <v>87557.819999999992</v>
      </c>
      <c r="AI329" s="32">
        <f t="shared" si="15"/>
        <v>121017.29999999999</v>
      </c>
      <c r="AJ329" s="31" t="s">
        <v>75</v>
      </c>
      <c r="AK329" s="31" t="s">
        <v>75</v>
      </c>
      <c r="AL329" s="31">
        <v>49967.5</v>
      </c>
      <c r="AM329" s="31"/>
      <c r="AN329" s="31"/>
      <c r="AO329" s="31"/>
      <c r="AP329" s="31"/>
      <c r="AQ329" s="31"/>
      <c r="AR329" s="31"/>
      <c r="AS329" s="31" t="s">
        <v>75</v>
      </c>
      <c r="AT329" s="31" t="s">
        <v>75</v>
      </c>
      <c r="AU329" s="35">
        <v>1640362.48</v>
      </c>
      <c r="AV329" s="31" t="s">
        <v>75</v>
      </c>
      <c r="AW329" s="31" t="s">
        <v>75</v>
      </c>
      <c r="AX329" s="36">
        <v>47706.46</v>
      </c>
      <c r="AY329" s="30">
        <v>7999769.5999999996</v>
      </c>
      <c r="AZ329" s="32">
        <v>1429823.5</v>
      </c>
      <c r="BA329" s="29">
        <f t="shared" si="16"/>
        <v>9429593.0999999996</v>
      </c>
      <c r="BB329" s="31" t="s">
        <v>75</v>
      </c>
      <c r="BC329" s="31" t="s">
        <v>75</v>
      </c>
      <c r="BD329" s="31">
        <v>1483635.7555555555</v>
      </c>
      <c r="BE329" s="113">
        <v>0</v>
      </c>
      <c r="BF329" s="113">
        <v>0</v>
      </c>
      <c r="BG329" s="113">
        <v>154</v>
      </c>
      <c r="BH329" s="113">
        <v>0</v>
      </c>
      <c r="BI329" s="113">
        <v>0</v>
      </c>
      <c r="BJ329" s="113">
        <v>0</v>
      </c>
      <c r="BK329" s="113">
        <v>0</v>
      </c>
      <c r="BL329" s="113">
        <v>0</v>
      </c>
      <c r="BM329" s="113">
        <v>219</v>
      </c>
      <c r="BN329" s="113">
        <v>0</v>
      </c>
      <c r="BO329" s="113">
        <v>0</v>
      </c>
      <c r="BP329" s="113">
        <v>0</v>
      </c>
      <c r="BQ329" s="113">
        <v>0</v>
      </c>
      <c r="BR329" s="113">
        <v>0</v>
      </c>
      <c r="BS329" s="113">
        <v>252</v>
      </c>
      <c r="BT329" s="113">
        <v>0</v>
      </c>
      <c r="BU329" s="113">
        <v>0</v>
      </c>
      <c r="BV329" s="113">
        <v>0</v>
      </c>
      <c r="BW329" s="113"/>
      <c r="BX329" s="113"/>
      <c r="BY329" s="113"/>
      <c r="BZ329" s="113">
        <v>0</v>
      </c>
      <c r="CA329" s="113">
        <v>0</v>
      </c>
      <c r="CB329" s="113">
        <v>246</v>
      </c>
      <c r="CC329" s="113"/>
      <c r="CD329" s="113"/>
      <c r="CE329" s="113"/>
      <c r="CF329" s="113">
        <v>0</v>
      </c>
      <c r="CG329" s="113">
        <v>0</v>
      </c>
      <c r="CH329" s="30">
        <v>2</v>
      </c>
      <c r="CI329" s="113">
        <v>0</v>
      </c>
      <c r="CJ329" s="113">
        <v>0</v>
      </c>
      <c r="CK329" s="30">
        <v>85</v>
      </c>
      <c r="CL329" s="30">
        <v>0</v>
      </c>
      <c r="CM329" s="30">
        <v>0</v>
      </c>
      <c r="CN329" s="30">
        <v>0</v>
      </c>
      <c r="CO329" s="113">
        <v>0</v>
      </c>
      <c r="CP329" s="113">
        <v>0</v>
      </c>
      <c r="CQ329" s="113">
        <v>12</v>
      </c>
      <c r="CR329" s="113">
        <v>0</v>
      </c>
      <c r="CS329" s="113">
        <v>0</v>
      </c>
      <c r="CT329" s="113">
        <v>0</v>
      </c>
      <c r="CU329" s="113">
        <v>0</v>
      </c>
      <c r="CV329" s="113">
        <v>0</v>
      </c>
      <c r="CW329" s="113">
        <v>170</v>
      </c>
      <c r="CX329" s="113">
        <v>0</v>
      </c>
      <c r="CY329" s="113">
        <v>0</v>
      </c>
      <c r="CZ329" s="113">
        <v>0</v>
      </c>
      <c r="DA329" s="113">
        <v>0</v>
      </c>
      <c r="DB329" s="113">
        <v>0</v>
      </c>
      <c r="DC329" s="113">
        <v>1</v>
      </c>
      <c r="DD329" s="113">
        <v>0</v>
      </c>
      <c r="DE329" s="113">
        <v>0</v>
      </c>
      <c r="DF329" s="113">
        <v>0</v>
      </c>
      <c r="DG329" s="113">
        <v>0</v>
      </c>
      <c r="DH329" s="113">
        <v>0</v>
      </c>
      <c r="DI329" s="113">
        <v>6</v>
      </c>
      <c r="DJ329" s="113">
        <v>0</v>
      </c>
      <c r="DK329" s="113">
        <v>0</v>
      </c>
      <c r="DL329" s="113">
        <v>0</v>
      </c>
      <c r="DM329" s="113">
        <v>0</v>
      </c>
      <c r="DN329" s="113">
        <v>0</v>
      </c>
      <c r="DO329" s="113">
        <v>0</v>
      </c>
      <c r="DP329" s="113">
        <v>0</v>
      </c>
      <c r="DQ329" s="113">
        <v>0</v>
      </c>
      <c r="DR329" s="113">
        <v>0</v>
      </c>
      <c r="DS329" s="113">
        <v>0</v>
      </c>
      <c r="DT329" s="113">
        <v>0</v>
      </c>
      <c r="DU329" s="113">
        <v>0</v>
      </c>
      <c r="DV329" s="113">
        <v>0</v>
      </c>
      <c r="DW329" s="113">
        <v>0</v>
      </c>
      <c r="DX329" s="113">
        <v>0</v>
      </c>
      <c r="DY329" s="113">
        <v>0</v>
      </c>
      <c r="DZ329" s="113">
        <v>0</v>
      </c>
      <c r="EA329" s="113">
        <v>924</v>
      </c>
      <c r="EB329" s="113">
        <v>0</v>
      </c>
      <c r="EC329" s="113">
        <v>0</v>
      </c>
      <c r="ED329" s="113">
        <v>0</v>
      </c>
      <c r="EE329" s="113">
        <v>0</v>
      </c>
      <c r="EF329" s="113">
        <v>0</v>
      </c>
      <c r="EG329" s="113">
        <v>1513</v>
      </c>
      <c r="EH329" s="113">
        <v>0</v>
      </c>
      <c r="EI329" s="113">
        <v>0</v>
      </c>
      <c r="EJ329" s="113">
        <v>0</v>
      </c>
      <c r="EK329" s="113">
        <v>0</v>
      </c>
      <c r="EL329" s="113">
        <v>0</v>
      </c>
      <c r="EM329" s="113">
        <v>873</v>
      </c>
      <c r="EN329" s="113">
        <v>0</v>
      </c>
      <c r="EO329" s="113">
        <v>0</v>
      </c>
      <c r="EP329" s="113">
        <v>0</v>
      </c>
      <c r="EQ329" s="113">
        <v>0</v>
      </c>
      <c r="ER329" s="113">
        <v>0</v>
      </c>
      <c r="ES329" s="113">
        <v>77</v>
      </c>
      <c r="ET329" s="113">
        <v>0</v>
      </c>
      <c r="EU329" s="113">
        <v>0</v>
      </c>
      <c r="EV329" s="113">
        <v>0</v>
      </c>
      <c r="EW329" s="113">
        <v>0</v>
      </c>
      <c r="EX329" s="113">
        <v>0</v>
      </c>
      <c r="EY329" s="113">
        <v>14</v>
      </c>
      <c r="EZ329" s="113">
        <v>0</v>
      </c>
      <c r="FA329" s="113">
        <v>0</v>
      </c>
      <c r="FB329" s="113">
        <v>0</v>
      </c>
      <c r="FC329" s="113">
        <v>0</v>
      </c>
      <c r="FD329" s="113">
        <v>0</v>
      </c>
      <c r="FE329" s="113">
        <v>13</v>
      </c>
      <c r="FF329" s="113">
        <v>0</v>
      </c>
      <c r="FG329" s="113">
        <v>0</v>
      </c>
      <c r="FH329" s="113">
        <v>0</v>
      </c>
      <c r="FI329" s="113">
        <v>0</v>
      </c>
      <c r="FJ329" s="113">
        <v>0</v>
      </c>
      <c r="FK329" s="30">
        <v>8</v>
      </c>
      <c r="FL329" s="113">
        <v>0</v>
      </c>
      <c r="FM329" s="113">
        <v>0</v>
      </c>
      <c r="FN329" s="113">
        <v>5740</v>
      </c>
      <c r="FO329" s="113">
        <v>0</v>
      </c>
      <c r="FP329" s="113">
        <v>0</v>
      </c>
      <c r="FQ329" s="113">
        <v>615</v>
      </c>
      <c r="FR329" s="113">
        <v>0</v>
      </c>
      <c r="FS329" s="113">
        <v>0</v>
      </c>
      <c r="FT329" s="113">
        <v>0</v>
      </c>
      <c r="FU329" s="113">
        <v>0</v>
      </c>
      <c r="FV329" s="113">
        <v>0</v>
      </c>
      <c r="FW329" s="113">
        <v>160</v>
      </c>
      <c r="FX329" s="32">
        <v>0</v>
      </c>
      <c r="FY329" s="30">
        <v>0</v>
      </c>
      <c r="FZ329" s="30">
        <v>0</v>
      </c>
    </row>
    <row r="330" spans="1:182" x14ac:dyDescent="0.2">
      <c r="A330" s="28">
        <v>41609</v>
      </c>
      <c r="B330" s="28"/>
      <c r="C330" s="31">
        <v>373460.46000000008</v>
      </c>
      <c r="D330" s="31">
        <v>591123.6399999999</v>
      </c>
      <c r="E330" s="29">
        <f t="shared" si="17"/>
        <v>964584.1</v>
      </c>
      <c r="F330" s="47">
        <v>16187078.68</v>
      </c>
      <c r="G330" s="47">
        <v>1688655.1600000001</v>
      </c>
      <c r="H330" s="30">
        <f t="shared" ref="H330:H393" si="19">+F330+G330</f>
        <v>17875733.84</v>
      </c>
      <c r="I330" s="42" t="s">
        <v>75</v>
      </c>
      <c r="J330" s="42" t="s">
        <v>75</v>
      </c>
      <c r="K330" s="42">
        <v>22005355.760000002</v>
      </c>
      <c r="L330" s="31" t="s">
        <v>75</v>
      </c>
      <c r="M330" s="31" t="s">
        <v>75</v>
      </c>
      <c r="N330" s="31">
        <v>44055175.849999987</v>
      </c>
      <c r="O330" s="31" t="s">
        <v>75</v>
      </c>
      <c r="P330" s="31" t="s">
        <v>75</v>
      </c>
      <c r="Q330" s="31">
        <v>30087017.300000001</v>
      </c>
      <c r="R330" s="31" t="s">
        <v>75</v>
      </c>
      <c r="S330" s="31" t="s">
        <v>75</v>
      </c>
      <c r="T330" s="31">
        <v>173937.88</v>
      </c>
      <c r="U330" s="31">
        <v>41126.54</v>
      </c>
      <c r="V330" s="31">
        <v>27996.9</v>
      </c>
      <c r="W330" s="31">
        <f t="shared" si="11"/>
        <v>69123.44</v>
      </c>
      <c r="X330" s="31">
        <v>108858.55</v>
      </c>
      <c r="Y330" s="31">
        <v>10512.449999999999</v>
      </c>
      <c r="Z330" s="30">
        <f t="shared" si="12"/>
        <v>119371</v>
      </c>
      <c r="AA330" s="31">
        <v>108526.25999999998</v>
      </c>
      <c r="AB330" s="31">
        <v>37097.22</v>
      </c>
      <c r="AC330" s="30">
        <f t="shared" si="13"/>
        <v>145623.47999999998</v>
      </c>
      <c r="AD330" s="31">
        <v>15665.350000000002</v>
      </c>
      <c r="AE330" s="31">
        <v>95393.280000000013</v>
      </c>
      <c r="AF330" s="30">
        <f t="shared" si="14"/>
        <v>111058.63000000002</v>
      </c>
      <c r="AG330" s="42">
        <v>57573.36</v>
      </c>
      <c r="AH330" s="42">
        <v>141206.89999999994</v>
      </c>
      <c r="AI330" s="32">
        <f>+AG330+AH330</f>
        <v>198780.25999999995</v>
      </c>
      <c r="AJ330" s="31" t="s">
        <v>75</v>
      </c>
      <c r="AK330" s="31" t="s">
        <v>75</v>
      </c>
      <c r="AL330" s="31">
        <v>94428.75</v>
      </c>
      <c r="AM330" s="31"/>
      <c r="AN330" s="31"/>
      <c r="AO330" s="31"/>
      <c r="AP330" s="31"/>
      <c r="AQ330" s="31"/>
      <c r="AR330" s="31"/>
      <c r="AS330" s="31" t="s">
        <v>75</v>
      </c>
      <c r="AT330" s="31" t="s">
        <v>75</v>
      </c>
      <c r="AU330" s="35">
        <v>1334881.29</v>
      </c>
      <c r="AV330" s="31" t="s">
        <v>75</v>
      </c>
      <c r="AW330" s="31" t="s">
        <v>75</v>
      </c>
      <c r="AX330" s="36">
        <v>37111.120000000003</v>
      </c>
      <c r="AY330" s="30">
        <v>10701493.800000001</v>
      </c>
      <c r="AZ330" s="32">
        <v>1783625.5</v>
      </c>
      <c r="BA330" s="29">
        <f t="shared" si="16"/>
        <v>12485119.300000001</v>
      </c>
      <c r="BB330" s="31" t="s">
        <v>75</v>
      </c>
      <c r="BC330" s="31" t="s">
        <v>75</v>
      </c>
      <c r="BD330" s="31">
        <v>1763206.5999999999</v>
      </c>
      <c r="BE330" s="113">
        <v>0</v>
      </c>
      <c r="BF330" s="113">
        <v>0</v>
      </c>
      <c r="BG330" s="114">
        <v>125</v>
      </c>
      <c r="BH330" s="114">
        <v>0</v>
      </c>
      <c r="BI330" s="114">
        <v>0</v>
      </c>
      <c r="BJ330" s="114">
        <v>0</v>
      </c>
      <c r="BK330" s="113">
        <v>0</v>
      </c>
      <c r="BL330" s="113">
        <v>0</v>
      </c>
      <c r="BM330" s="113">
        <v>314</v>
      </c>
      <c r="BN330" s="113">
        <v>0</v>
      </c>
      <c r="BO330" s="113">
        <v>0</v>
      </c>
      <c r="BP330" s="113">
        <v>0</v>
      </c>
      <c r="BQ330" s="113">
        <v>0</v>
      </c>
      <c r="BR330" s="113">
        <v>0</v>
      </c>
      <c r="BS330" s="113">
        <v>137</v>
      </c>
      <c r="BT330" s="113">
        <v>0</v>
      </c>
      <c r="BU330" s="113">
        <v>0</v>
      </c>
      <c r="BV330" s="113">
        <v>0</v>
      </c>
      <c r="BW330" s="113"/>
      <c r="BX330" s="113"/>
      <c r="BY330" s="113"/>
      <c r="BZ330" s="113">
        <v>0</v>
      </c>
      <c r="CA330" s="113">
        <v>0</v>
      </c>
      <c r="CB330" s="113">
        <v>320</v>
      </c>
      <c r="CC330" s="113"/>
      <c r="CD330" s="113"/>
      <c r="CE330" s="113"/>
      <c r="CF330" s="113">
        <v>0</v>
      </c>
      <c r="CG330" s="113">
        <v>0</v>
      </c>
      <c r="CH330" s="30">
        <v>2</v>
      </c>
      <c r="CI330" s="113">
        <v>0</v>
      </c>
      <c r="CJ330" s="113">
        <v>0</v>
      </c>
      <c r="CK330" s="30">
        <v>46</v>
      </c>
      <c r="CL330" s="30">
        <v>0</v>
      </c>
      <c r="CM330" s="30">
        <v>0</v>
      </c>
      <c r="CN330" s="30">
        <v>0</v>
      </c>
      <c r="CO330" s="113">
        <v>0</v>
      </c>
      <c r="CP330" s="113">
        <v>0</v>
      </c>
      <c r="CQ330" s="113">
        <v>11</v>
      </c>
      <c r="CR330" s="113">
        <v>0</v>
      </c>
      <c r="CS330" s="113">
        <v>0</v>
      </c>
      <c r="CT330" s="113">
        <v>0</v>
      </c>
      <c r="CU330" s="113">
        <v>0</v>
      </c>
      <c r="CV330" s="113">
        <v>0</v>
      </c>
      <c r="CW330" s="113">
        <v>240</v>
      </c>
      <c r="CX330" s="113">
        <v>0</v>
      </c>
      <c r="CY330" s="113">
        <v>0</v>
      </c>
      <c r="CZ330" s="113">
        <v>0</v>
      </c>
      <c r="DA330" s="113">
        <v>0</v>
      </c>
      <c r="DB330" s="113">
        <v>0</v>
      </c>
      <c r="DC330" s="113">
        <v>2</v>
      </c>
      <c r="DD330" s="113">
        <v>0</v>
      </c>
      <c r="DE330" s="113">
        <v>0</v>
      </c>
      <c r="DF330" s="113">
        <v>0</v>
      </c>
      <c r="DG330" s="113">
        <v>0</v>
      </c>
      <c r="DH330" s="113">
        <v>0</v>
      </c>
      <c r="DI330" s="113">
        <v>9</v>
      </c>
      <c r="DJ330" s="113">
        <v>0</v>
      </c>
      <c r="DK330" s="113">
        <v>0</v>
      </c>
      <c r="DL330" s="113">
        <v>0</v>
      </c>
      <c r="DM330" s="113">
        <v>0</v>
      </c>
      <c r="DN330" s="113">
        <v>0</v>
      </c>
      <c r="DO330" s="113">
        <v>0</v>
      </c>
      <c r="DP330" s="113">
        <v>0</v>
      </c>
      <c r="DQ330" s="113">
        <v>0</v>
      </c>
      <c r="DR330" s="113">
        <v>0</v>
      </c>
      <c r="DS330" s="113">
        <v>0</v>
      </c>
      <c r="DT330" s="113">
        <v>0</v>
      </c>
      <c r="DU330" s="113">
        <v>3</v>
      </c>
      <c r="DV330" s="113">
        <v>0</v>
      </c>
      <c r="DW330" s="113">
        <v>0</v>
      </c>
      <c r="DX330" s="113">
        <v>0</v>
      </c>
      <c r="DY330" s="113">
        <v>0</v>
      </c>
      <c r="DZ330" s="113">
        <v>0</v>
      </c>
      <c r="EA330" s="113">
        <v>993</v>
      </c>
      <c r="EB330" s="113">
        <v>0</v>
      </c>
      <c r="EC330" s="113">
        <v>0</v>
      </c>
      <c r="ED330" s="113">
        <v>0</v>
      </c>
      <c r="EE330" s="113">
        <v>0</v>
      </c>
      <c r="EF330" s="113">
        <v>0</v>
      </c>
      <c r="EG330" s="113">
        <v>1587</v>
      </c>
      <c r="EH330" s="113">
        <v>0</v>
      </c>
      <c r="EI330" s="113">
        <v>0</v>
      </c>
      <c r="EJ330" s="113">
        <v>0</v>
      </c>
      <c r="EK330" s="113">
        <v>0</v>
      </c>
      <c r="EL330" s="113">
        <v>0</v>
      </c>
      <c r="EM330" s="113">
        <v>1075</v>
      </c>
      <c r="EN330" s="113">
        <v>0</v>
      </c>
      <c r="EO330" s="113">
        <v>0</v>
      </c>
      <c r="EP330" s="113">
        <v>0</v>
      </c>
      <c r="EQ330" s="113">
        <v>0</v>
      </c>
      <c r="ER330" s="113">
        <v>0</v>
      </c>
      <c r="ES330" s="113">
        <v>112</v>
      </c>
      <c r="ET330" s="113">
        <v>0</v>
      </c>
      <c r="EU330" s="113">
        <v>0</v>
      </c>
      <c r="EV330" s="113">
        <v>0</v>
      </c>
      <c r="EW330" s="113">
        <v>0</v>
      </c>
      <c r="EX330" s="113">
        <v>0</v>
      </c>
      <c r="EY330" s="113">
        <v>18</v>
      </c>
      <c r="EZ330" s="113">
        <v>0</v>
      </c>
      <c r="FA330" s="113">
        <v>0</v>
      </c>
      <c r="FB330" s="113">
        <v>0</v>
      </c>
      <c r="FC330" s="113">
        <v>0</v>
      </c>
      <c r="FD330" s="113">
        <v>0</v>
      </c>
      <c r="FE330" s="113">
        <v>16</v>
      </c>
      <c r="FF330" s="113">
        <v>0</v>
      </c>
      <c r="FG330" s="113">
        <v>0</v>
      </c>
      <c r="FH330" s="113">
        <v>0</v>
      </c>
      <c r="FI330" s="113">
        <v>0</v>
      </c>
      <c r="FJ330" s="113">
        <v>0</v>
      </c>
      <c r="FK330" s="30">
        <v>18</v>
      </c>
      <c r="FL330" s="113">
        <v>0</v>
      </c>
      <c r="FM330" s="113">
        <v>0</v>
      </c>
      <c r="FN330" s="113">
        <v>7473</v>
      </c>
      <c r="FO330" s="113">
        <v>0</v>
      </c>
      <c r="FP330" s="113">
        <v>0</v>
      </c>
      <c r="FQ330" s="113">
        <v>844</v>
      </c>
      <c r="FR330" s="113">
        <v>0</v>
      </c>
      <c r="FS330" s="113">
        <v>0</v>
      </c>
      <c r="FT330" s="113">
        <v>0</v>
      </c>
      <c r="FU330" s="113">
        <v>0</v>
      </c>
      <c r="FV330" s="113">
        <v>0</v>
      </c>
      <c r="FW330" s="113">
        <v>218</v>
      </c>
      <c r="FX330" s="32">
        <v>0</v>
      </c>
      <c r="FY330" s="30">
        <v>0</v>
      </c>
      <c r="FZ330" s="30">
        <v>2</v>
      </c>
    </row>
    <row r="331" spans="1:182" x14ac:dyDescent="0.2">
      <c r="A331" s="28">
        <v>41640</v>
      </c>
      <c r="B331" s="28"/>
      <c r="C331" s="31">
        <v>83483.260000000009</v>
      </c>
      <c r="D331" s="31">
        <v>146281.04000000004</v>
      </c>
      <c r="E331" s="29">
        <f t="shared" ref="E331:E395" si="20">+C331+D331</f>
        <v>229764.30000000005</v>
      </c>
      <c r="F331" s="48">
        <v>9512572.9000000004</v>
      </c>
      <c r="G331" s="40">
        <v>1089752.2</v>
      </c>
      <c r="H331" s="30">
        <f t="shared" si="19"/>
        <v>10602325.1</v>
      </c>
      <c r="I331" s="42" t="s">
        <v>75</v>
      </c>
      <c r="J331" s="42" t="s">
        <v>75</v>
      </c>
      <c r="K331" s="83">
        <v>22400935.489999998</v>
      </c>
      <c r="L331" s="31" t="s">
        <v>75</v>
      </c>
      <c r="M331" s="31" t="s">
        <v>75</v>
      </c>
      <c r="N331" s="31">
        <v>30756303.980000004</v>
      </c>
      <c r="O331" s="31" t="s">
        <v>75</v>
      </c>
      <c r="P331" s="31" t="s">
        <v>75</v>
      </c>
      <c r="Q331" s="31">
        <v>33329751.18</v>
      </c>
      <c r="R331" s="31" t="s">
        <v>75</v>
      </c>
      <c r="S331" s="31" t="s">
        <v>75</v>
      </c>
      <c r="T331" s="31">
        <v>137798.44</v>
      </c>
      <c r="U331" s="31">
        <v>4242.47</v>
      </c>
      <c r="V331" s="31">
        <v>6633.36</v>
      </c>
      <c r="W331" s="31">
        <f t="shared" ref="W331:W395" si="21">+U331+V331</f>
        <v>10875.83</v>
      </c>
      <c r="X331" s="31">
        <v>43247.44</v>
      </c>
      <c r="Y331" s="31">
        <v>3751.85</v>
      </c>
      <c r="Z331" s="30">
        <f t="shared" ref="Z331:Z395" si="22">+X331+Y331</f>
        <v>46999.29</v>
      </c>
      <c r="AA331" s="31">
        <v>145876.76</v>
      </c>
      <c r="AB331" s="31">
        <v>23194.209999999992</v>
      </c>
      <c r="AC331" s="30">
        <f t="shared" ref="AC331:AC395" si="23">+AA331+AB331</f>
        <v>169070.97</v>
      </c>
      <c r="AD331" s="31">
        <v>11062.33</v>
      </c>
      <c r="AE331" s="31">
        <v>16887.12</v>
      </c>
      <c r="AF331" s="30">
        <f t="shared" ref="AF331:AF395" si="24">+AD331+AE331</f>
        <v>27949.449999999997</v>
      </c>
      <c r="AG331" s="42">
        <v>32222.26</v>
      </c>
      <c r="AH331" s="42">
        <v>82399.86</v>
      </c>
      <c r="AI331" s="32">
        <f t="shared" ref="AI331:AI395" si="25">+AG331+AH331</f>
        <v>114622.12</v>
      </c>
      <c r="AJ331" s="31" t="s">
        <v>75</v>
      </c>
      <c r="AK331" s="31" t="s">
        <v>75</v>
      </c>
      <c r="AL331" s="31">
        <v>80345</v>
      </c>
      <c r="AM331" s="31"/>
      <c r="AN331" s="31"/>
      <c r="AO331" s="31"/>
      <c r="AP331" s="31"/>
      <c r="AQ331" s="31"/>
      <c r="AR331" s="31"/>
      <c r="AS331" s="31" t="s">
        <v>75</v>
      </c>
      <c r="AT331" s="31" t="s">
        <v>75</v>
      </c>
      <c r="AU331" s="35">
        <v>1516019.17</v>
      </c>
      <c r="AV331" s="31" t="s">
        <v>75</v>
      </c>
      <c r="AW331" s="31" t="s">
        <v>75</v>
      </c>
      <c r="AX331" s="36">
        <v>38331.410000000003</v>
      </c>
      <c r="AY331" s="32">
        <v>9186280.3000000007</v>
      </c>
      <c r="AZ331" s="32">
        <v>1337420</v>
      </c>
      <c r="BA331" s="29">
        <f t="shared" si="16"/>
        <v>10523700.300000001</v>
      </c>
      <c r="BB331" s="31" t="s">
        <v>75</v>
      </c>
      <c r="BC331" s="31" t="s">
        <v>75</v>
      </c>
      <c r="BD331" s="31">
        <v>1512479.0444444444</v>
      </c>
      <c r="BE331" s="113">
        <v>0</v>
      </c>
      <c r="BF331" s="113">
        <v>0</v>
      </c>
      <c r="BG331" s="38">
        <v>145</v>
      </c>
      <c r="BH331" s="38">
        <v>0</v>
      </c>
      <c r="BI331" s="38">
        <v>0</v>
      </c>
      <c r="BJ331" s="38">
        <v>0</v>
      </c>
      <c r="BK331" s="113">
        <v>0</v>
      </c>
      <c r="BL331" s="113">
        <v>0</v>
      </c>
      <c r="BM331" s="38">
        <v>257</v>
      </c>
      <c r="BN331" s="38">
        <v>0</v>
      </c>
      <c r="BO331" s="38">
        <v>0</v>
      </c>
      <c r="BP331" s="38">
        <v>0</v>
      </c>
      <c r="BQ331" s="113">
        <v>0</v>
      </c>
      <c r="BR331" s="113">
        <v>0</v>
      </c>
      <c r="BS331" s="38">
        <v>148</v>
      </c>
      <c r="BT331" s="38">
        <v>0</v>
      </c>
      <c r="BU331" s="38">
        <v>0</v>
      </c>
      <c r="BV331" s="38">
        <v>0</v>
      </c>
      <c r="BW331" s="38"/>
      <c r="BX331" s="38"/>
      <c r="BY331" s="38"/>
      <c r="BZ331" s="113">
        <v>0</v>
      </c>
      <c r="CA331" s="113">
        <v>0</v>
      </c>
      <c r="CB331" s="113">
        <v>225</v>
      </c>
      <c r="CC331" s="113"/>
      <c r="CD331" s="113"/>
      <c r="CE331" s="113"/>
      <c r="CF331" s="113">
        <v>0</v>
      </c>
      <c r="CG331" s="113">
        <v>0</v>
      </c>
      <c r="CH331" s="30">
        <v>1</v>
      </c>
      <c r="CI331" s="113">
        <v>0</v>
      </c>
      <c r="CJ331" s="113">
        <v>0</v>
      </c>
      <c r="CK331" s="30">
        <v>30</v>
      </c>
      <c r="CL331" s="30">
        <v>0</v>
      </c>
      <c r="CM331" s="30">
        <v>0</v>
      </c>
      <c r="CN331" s="30">
        <v>0</v>
      </c>
      <c r="CO331" s="113">
        <v>0</v>
      </c>
      <c r="CP331" s="113">
        <v>0</v>
      </c>
      <c r="CQ331" s="113">
        <v>11</v>
      </c>
      <c r="CR331" s="113">
        <v>0</v>
      </c>
      <c r="CS331" s="113">
        <v>0</v>
      </c>
      <c r="CT331" s="113">
        <v>0</v>
      </c>
      <c r="CU331" s="113">
        <v>0</v>
      </c>
      <c r="CV331" s="113">
        <v>0</v>
      </c>
      <c r="CW331" s="113">
        <v>246</v>
      </c>
      <c r="CX331" s="113">
        <v>0</v>
      </c>
      <c r="CY331" s="113">
        <v>0</v>
      </c>
      <c r="CZ331" s="113">
        <v>0</v>
      </c>
      <c r="DA331" s="113">
        <v>0</v>
      </c>
      <c r="DB331" s="113">
        <v>0</v>
      </c>
      <c r="DC331" s="113">
        <v>0</v>
      </c>
      <c r="DD331" s="113">
        <v>0</v>
      </c>
      <c r="DE331" s="113">
        <v>0</v>
      </c>
      <c r="DF331" s="113">
        <v>0</v>
      </c>
      <c r="DG331" s="113">
        <v>0</v>
      </c>
      <c r="DH331" s="113">
        <v>0</v>
      </c>
      <c r="DI331" s="30">
        <v>7</v>
      </c>
      <c r="DJ331" s="30">
        <v>0</v>
      </c>
      <c r="DK331" s="30">
        <v>0</v>
      </c>
      <c r="DL331" s="30">
        <v>0</v>
      </c>
      <c r="DM331" s="113">
        <v>0</v>
      </c>
      <c r="DN331" s="113">
        <v>0</v>
      </c>
      <c r="DO331" s="113">
        <v>0</v>
      </c>
      <c r="DP331" s="113">
        <v>0</v>
      </c>
      <c r="DQ331" s="113">
        <v>0</v>
      </c>
      <c r="DR331" s="113">
        <v>0</v>
      </c>
      <c r="DS331" s="113">
        <v>0</v>
      </c>
      <c r="DT331" s="113">
        <v>0</v>
      </c>
      <c r="DU331" s="113">
        <v>1</v>
      </c>
      <c r="DV331" s="113">
        <v>0</v>
      </c>
      <c r="DW331" s="113">
        <v>0</v>
      </c>
      <c r="DX331" s="113">
        <v>0</v>
      </c>
      <c r="DY331" s="113">
        <v>0</v>
      </c>
      <c r="DZ331" s="113">
        <v>0</v>
      </c>
      <c r="EA331" s="113">
        <v>915</v>
      </c>
      <c r="EB331" s="113">
        <v>0</v>
      </c>
      <c r="EC331" s="113">
        <v>0</v>
      </c>
      <c r="ED331" s="113">
        <v>0</v>
      </c>
      <c r="EE331" s="113">
        <v>0</v>
      </c>
      <c r="EF331" s="113">
        <v>0</v>
      </c>
      <c r="EG331" s="113">
        <v>1255</v>
      </c>
      <c r="EH331" s="113">
        <v>0</v>
      </c>
      <c r="EI331" s="113">
        <v>0</v>
      </c>
      <c r="EJ331" s="113">
        <v>0</v>
      </c>
      <c r="EK331" s="113">
        <v>0</v>
      </c>
      <c r="EL331" s="113">
        <v>0</v>
      </c>
      <c r="EM331" s="113">
        <v>1069</v>
      </c>
      <c r="EN331" s="113">
        <v>0</v>
      </c>
      <c r="EO331" s="113">
        <v>0</v>
      </c>
      <c r="EP331" s="113">
        <v>0</v>
      </c>
      <c r="EQ331" s="113">
        <v>0</v>
      </c>
      <c r="ER331" s="113">
        <v>0</v>
      </c>
      <c r="ES331" s="113">
        <v>61</v>
      </c>
      <c r="ET331" s="113">
        <v>0</v>
      </c>
      <c r="EU331" s="113">
        <v>0</v>
      </c>
      <c r="EV331" s="113">
        <v>0</v>
      </c>
      <c r="EW331" s="113">
        <v>0</v>
      </c>
      <c r="EX331" s="113">
        <v>0</v>
      </c>
      <c r="EY331" s="113">
        <v>3</v>
      </c>
      <c r="EZ331" s="113">
        <v>0</v>
      </c>
      <c r="FA331" s="113">
        <v>0</v>
      </c>
      <c r="FB331" s="113">
        <v>0</v>
      </c>
      <c r="FC331" s="113">
        <v>0</v>
      </c>
      <c r="FD331" s="113">
        <v>0</v>
      </c>
      <c r="FE331" s="113">
        <v>6</v>
      </c>
      <c r="FF331" s="113">
        <v>0</v>
      </c>
      <c r="FG331" s="113">
        <v>0</v>
      </c>
      <c r="FH331" s="113">
        <v>0</v>
      </c>
      <c r="FI331" s="113">
        <v>0</v>
      </c>
      <c r="FJ331" s="113">
        <v>0</v>
      </c>
      <c r="FK331" s="30">
        <v>30</v>
      </c>
      <c r="FL331" s="113">
        <v>0</v>
      </c>
      <c r="FM331" s="113">
        <v>0</v>
      </c>
      <c r="FN331" s="113">
        <v>6588</v>
      </c>
      <c r="FO331" s="113">
        <v>0</v>
      </c>
      <c r="FP331" s="113">
        <v>0</v>
      </c>
      <c r="FQ331" s="113">
        <v>723</v>
      </c>
      <c r="FR331" s="113">
        <v>0</v>
      </c>
      <c r="FS331" s="113">
        <v>0</v>
      </c>
      <c r="FT331" s="113">
        <v>0</v>
      </c>
      <c r="FU331" s="113">
        <v>0</v>
      </c>
      <c r="FV331" s="113">
        <v>0</v>
      </c>
      <c r="FW331" s="113">
        <v>170</v>
      </c>
      <c r="FX331" s="32">
        <v>0</v>
      </c>
      <c r="FY331" s="30">
        <v>0</v>
      </c>
      <c r="FZ331" s="30">
        <v>40</v>
      </c>
    </row>
    <row r="332" spans="1:182" x14ac:dyDescent="0.2">
      <c r="A332" s="28">
        <v>41671</v>
      </c>
      <c r="B332" s="28"/>
      <c r="C332" s="31">
        <v>180211.07</v>
      </c>
      <c r="D332" s="49">
        <v>218956.27000000002</v>
      </c>
      <c r="E332" s="29">
        <f t="shared" si="20"/>
        <v>399167.34</v>
      </c>
      <c r="F332" s="49">
        <v>8247773.8799999999</v>
      </c>
      <c r="G332" s="49">
        <v>679967.86</v>
      </c>
      <c r="H332" s="30">
        <f t="shared" si="19"/>
        <v>8927741.7400000002</v>
      </c>
      <c r="I332" s="42" t="s">
        <v>75</v>
      </c>
      <c r="J332" s="42" t="s">
        <v>75</v>
      </c>
      <c r="K332" s="83">
        <v>19001993.280000001</v>
      </c>
      <c r="L332" s="31" t="s">
        <v>75</v>
      </c>
      <c r="M332" s="31" t="s">
        <v>75</v>
      </c>
      <c r="N332" s="49">
        <v>26332085.310000002</v>
      </c>
      <c r="O332" s="31" t="s">
        <v>75</v>
      </c>
      <c r="P332" s="31" t="s">
        <v>75</v>
      </c>
      <c r="Q332" s="31">
        <v>28643623.800000001</v>
      </c>
      <c r="R332" s="31" t="s">
        <v>75</v>
      </c>
      <c r="S332" s="31" t="s">
        <v>75</v>
      </c>
      <c r="T332" s="31">
        <v>87674.739999999991</v>
      </c>
      <c r="U332" s="31">
        <v>1913.29</v>
      </c>
      <c r="V332" s="31">
        <v>1976.6999999999998</v>
      </c>
      <c r="W332" s="31">
        <f t="shared" si="21"/>
        <v>3889.99</v>
      </c>
      <c r="X332" s="31">
        <v>49039.4</v>
      </c>
      <c r="Y332" s="31">
        <v>294.3</v>
      </c>
      <c r="Z332" s="30">
        <f t="shared" si="22"/>
        <v>49333.700000000004</v>
      </c>
      <c r="AA332" s="31">
        <v>130922.06000000003</v>
      </c>
      <c r="AB332" s="31">
        <v>19375.289999999997</v>
      </c>
      <c r="AC332" s="30">
        <f t="shared" si="23"/>
        <v>150297.35000000003</v>
      </c>
      <c r="AD332" s="49">
        <v>5510.32</v>
      </c>
      <c r="AE332" s="49">
        <v>8386.5399999999991</v>
      </c>
      <c r="AF332" s="30">
        <f t="shared" si="24"/>
        <v>13896.859999999999</v>
      </c>
      <c r="AG332" s="42">
        <v>20847.339999999997</v>
      </c>
      <c r="AH332" s="83">
        <v>51488.81</v>
      </c>
      <c r="AI332" s="32">
        <f t="shared" si="25"/>
        <v>72336.149999999994</v>
      </c>
      <c r="AJ332" s="31" t="s">
        <v>75</v>
      </c>
      <c r="AK332" s="31" t="s">
        <v>75</v>
      </c>
      <c r="AL332" s="31">
        <v>51840</v>
      </c>
      <c r="AM332" s="31"/>
      <c r="AN332" s="31"/>
      <c r="AO332" s="31"/>
      <c r="AP332" s="31"/>
      <c r="AQ332" s="31"/>
      <c r="AR332" s="31"/>
      <c r="AS332" s="31" t="s">
        <v>75</v>
      </c>
      <c r="AT332" s="31" t="s">
        <v>75</v>
      </c>
      <c r="AU332" s="35">
        <v>1433182.08</v>
      </c>
      <c r="AV332" s="31" t="s">
        <v>75</v>
      </c>
      <c r="AW332" s="31" t="s">
        <v>75</v>
      </c>
      <c r="AX332" s="36">
        <v>44007.23</v>
      </c>
      <c r="AY332" s="32">
        <v>8935884.3000000007</v>
      </c>
      <c r="AZ332" s="32">
        <v>1496595</v>
      </c>
      <c r="BA332" s="29">
        <f t="shared" si="16"/>
        <v>10432479.300000001</v>
      </c>
      <c r="BB332" s="31" t="s">
        <v>75</v>
      </c>
      <c r="BC332" s="31" t="s">
        <v>75</v>
      </c>
      <c r="BD332" s="31">
        <v>1369034.9555555554</v>
      </c>
      <c r="BE332" s="113">
        <v>0</v>
      </c>
      <c r="BF332" s="113">
        <v>0</v>
      </c>
      <c r="BG332" s="38">
        <v>110</v>
      </c>
      <c r="BH332" s="38">
        <v>0</v>
      </c>
      <c r="BI332" s="38">
        <v>0</v>
      </c>
      <c r="BJ332" s="38">
        <v>0</v>
      </c>
      <c r="BK332" s="113">
        <v>0</v>
      </c>
      <c r="BL332" s="113">
        <v>0</v>
      </c>
      <c r="BM332" s="38">
        <v>298</v>
      </c>
      <c r="BN332" s="38">
        <v>0</v>
      </c>
      <c r="BO332" s="38">
        <v>0</v>
      </c>
      <c r="BP332" s="38">
        <v>0</v>
      </c>
      <c r="BQ332" s="113">
        <v>0</v>
      </c>
      <c r="BR332" s="113">
        <v>0</v>
      </c>
      <c r="BS332" s="38">
        <v>302</v>
      </c>
      <c r="BT332" s="38">
        <v>0</v>
      </c>
      <c r="BU332" s="38">
        <v>0</v>
      </c>
      <c r="BV332" s="38">
        <v>0</v>
      </c>
      <c r="BW332" s="38"/>
      <c r="BX332" s="38"/>
      <c r="BY332" s="38"/>
      <c r="BZ332" s="113">
        <v>0</v>
      </c>
      <c r="CA332" s="113">
        <v>0</v>
      </c>
      <c r="CB332" s="113">
        <v>270</v>
      </c>
      <c r="CC332" s="113"/>
      <c r="CD332" s="113"/>
      <c r="CE332" s="113"/>
      <c r="CF332" s="113">
        <v>0</v>
      </c>
      <c r="CG332" s="113">
        <v>0</v>
      </c>
      <c r="CH332" s="30">
        <v>5</v>
      </c>
      <c r="CI332" s="113">
        <v>0</v>
      </c>
      <c r="CJ332" s="113">
        <v>0</v>
      </c>
      <c r="CK332" s="30">
        <v>27</v>
      </c>
      <c r="CL332" s="30">
        <v>0</v>
      </c>
      <c r="CM332" s="30">
        <v>0</v>
      </c>
      <c r="CN332" s="30">
        <v>0</v>
      </c>
      <c r="CO332" s="113">
        <v>0</v>
      </c>
      <c r="CP332" s="113">
        <v>0</v>
      </c>
      <c r="CQ332" s="30">
        <v>24</v>
      </c>
      <c r="CR332" s="30">
        <v>0</v>
      </c>
      <c r="CS332" s="30">
        <v>0</v>
      </c>
      <c r="CT332" s="30">
        <v>0</v>
      </c>
      <c r="CU332" s="113">
        <v>0</v>
      </c>
      <c r="CV332" s="113">
        <v>0</v>
      </c>
      <c r="CW332" s="30">
        <v>221</v>
      </c>
      <c r="CX332" s="30">
        <v>0</v>
      </c>
      <c r="CY332" s="30">
        <v>0</v>
      </c>
      <c r="CZ332" s="30">
        <v>0</v>
      </c>
      <c r="DA332" s="113">
        <v>0</v>
      </c>
      <c r="DB332" s="113">
        <v>0</v>
      </c>
      <c r="DC332" s="113">
        <v>1</v>
      </c>
      <c r="DD332" s="113">
        <v>0</v>
      </c>
      <c r="DE332" s="113">
        <v>0</v>
      </c>
      <c r="DF332" s="113">
        <v>0</v>
      </c>
      <c r="DG332" s="113">
        <v>0</v>
      </c>
      <c r="DH332" s="113">
        <v>0</v>
      </c>
      <c r="DI332" s="30">
        <v>5</v>
      </c>
      <c r="DJ332" s="30">
        <v>0</v>
      </c>
      <c r="DK332" s="30">
        <v>0</v>
      </c>
      <c r="DL332" s="30">
        <v>0</v>
      </c>
      <c r="DM332" s="113">
        <v>0</v>
      </c>
      <c r="DN332" s="113">
        <v>0</v>
      </c>
      <c r="DO332" s="113">
        <v>0</v>
      </c>
      <c r="DP332" s="113">
        <v>0</v>
      </c>
      <c r="DQ332" s="113">
        <v>0</v>
      </c>
      <c r="DR332" s="113">
        <v>0</v>
      </c>
      <c r="DS332" s="113">
        <v>0</v>
      </c>
      <c r="DT332" s="113">
        <v>0</v>
      </c>
      <c r="DU332" s="113">
        <v>0</v>
      </c>
      <c r="DV332" s="113">
        <v>0</v>
      </c>
      <c r="DW332" s="113">
        <v>0</v>
      </c>
      <c r="DX332" s="113">
        <v>0</v>
      </c>
      <c r="DY332" s="113">
        <v>0</v>
      </c>
      <c r="DZ332" s="113">
        <v>0</v>
      </c>
      <c r="EA332" s="113">
        <v>744</v>
      </c>
      <c r="EB332" s="113">
        <v>0</v>
      </c>
      <c r="EC332" s="113">
        <v>0</v>
      </c>
      <c r="ED332" s="113">
        <v>0</v>
      </c>
      <c r="EE332" s="113">
        <v>0</v>
      </c>
      <c r="EF332" s="113">
        <v>0</v>
      </c>
      <c r="EG332" s="113">
        <v>1366</v>
      </c>
      <c r="EH332" s="113">
        <v>0</v>
      </c>
      <c r="EI332" s="113">
        <v>0</v>
      </c>
      <c r="EJ332" s="113">
        <v>0</v>
      </c>
      <c r="EK332" s="113">
        <v>0</v>
      </c>
      <c r="EL332" s="113">
        <v>0</v>
      </c>
      <c r="EM332" s="113">
        <v>1074</v>
      </c>
      <c r="EN332" s="113">
        <v>0</v>
      </c>
      <c r="EO332" s="113">
        <v>0</v>
      </c>
      <c r="EP332" s="113">
        <v>0</v>
      </c>
      <c r="EQ332" s="113">
        <v>0</v>
      </c>
      <c r="ER332" s="113">
        <v>0</v>
      </c>
      <c r="ES332" s="30">
        <v>76</v>
      </c>
      <c r="ET332" s="30">
        <v>0</v>
      </c>
      <c r="EU332" s="30">
        <v>0</v>
      </c>
      <c r="EV332" s="30">
        <v>0</v>
      </c>
      <c r="EW332" s="113">
        <v>0</v>
      </c>
      <c r="EX332" s="113">
        <v>0</v>
      </c>
      <c r="EY332" s="30">
        <v>8</v>
      </c>
      <c r="EZ332" s="30">
        <v>0</v>
      </c>
      <c r="FA332" s="30">
        <v>0</v>
      </c>
      <c r="FB332" s="30">
        <v>0</v>
      </c>
      <c r="FC332" s="30">
        <v>0</v>
      </c>
      <c r="FD332" s="30">
        <v>0</v>
      </c>
      <c r="FE332" s="30">
        <v>14</v>
      </c>
      <c r="FF332" s="30">
        <v>0</v>
      </c>
      <c r="FG332" s="30">
        <v>0</v>
      </c>
      <c r="FH332" s="30">
        <v>0</v>
      </c>
      <c r="FI332" s="113">
        <v>0</v>
      </c>
      <c r="FJ332" s="113">
        <v>0</v>
      </c>
      <c r="FK332" s="30">
        <v>23</v>
      </c>
      <c r="FL332" s="113">
        <v>0</v>
      </c>
      <c r="FM332" s="113">
        <v>0</v>
      </c>
      <c r="FN332" s="30">
        <v>4870</v>
      </c>
      <c r="FO332" s="113">
        <v>0</v>
      </c>
      <c r="FP332" s="113">
        <v>0</v>
      </c>
      <c r="FQ332" s="30">
        <v>480</v>
      </c>
      <c r="FR332" s="113">
        <v>0</v>
      </c>
      <c r="FS332" s="113">
        <v>0</v>
      </c>
      <c r="FT332" s="113">
        <v>0</v>
      </c>
      <c r="FU332" s="113">
        <v>0</v>
      </c>
      <c r="FV332" s="113">
        <v>0</v>
      </c>
      <c r="FW332" s="30">
        <v>134</v>
      </c>
      <c r="FX332" s="32">
        <v>0</v>
      </c>
      <c r="FY332" s="30">
        <v>0</v>
      </c>
      <c r="FZ332" s="30"/>
    </row>
    <row r="333" spans="1:182" x14ac:dyDescent="0.2">
      <c r="A333" s="28">
        <v>41699</v>
      </c>
      <c r="B333" s="28"/>
      <c r="C333" s="31">
        <v>161133.61000000002</v>
      </c>
      <c r="D333" s="49">
        <v>239858.3600000001</v>
      </c>
      <c r="E333" s="29">
        <f t="shared" si="20"/>
        <v>400991.97000000009</v>
      </c>
      <c r="F333" s="49">
        <v>8177268.3899999987</v>
      </c>
      <c r="G333" s="49">
        <v>662718.26</v>
      </c>
      <c r="H333" s="30">
        <f t="shared" si="19"/>
        <v>8839986.6499999985</v>
      </c>
      <c r="I333" s="42" t="s">
        <v>75</v>
      </c>
      <c r="J333" s="42" t="s">
        <v>75</v>
      </c>
      <c r="K333" s="83">
        <v>13948838.170000002</v>
      </c>
      <c r="L333" s="31" t="s">
        <v>75</v>
      </c>
      <c r="M333" s="31" t="s">
        <v>75</v>
      </c>
      <c r="N333" s="49">
        <v>26304837.379999999</v>
      </c>
      <c r="O333" s="31" t="s">
        <v>75</v>
      </c>
      <c r="P333" s="31" t="s">
        <v>75</v>
      </c>
      <c r="Q333" s="31">
        <v>25016359.75</v>
      </c>
      <c r="R333" s="31" t="s">
        <v>75</v>
      </c>
      <c r="S333" s="31" t="s">
        <v>75</v>
      </c>
      <c r="T333" s="31">
        <v>149782.79999999999</v>
      </c>
      <c r="U333" s="31">
        <v>3182.5</v>
      </c>
      <c r="V333" s="31">
        <v>1761.94</v>
      </c>
      <c r="W333" s="31">
        <f t="shared" si="21"/>
        <v>4944.4400000000005</v>
      </c>
      <c r="X333" s="31">
        <v>53929.619999999995</v>
      </c>
      <c r="Y333" s="31">
        <v>11</v>
      </c>
      <c r="Z333" s="30">
        <f t="shared" si="22"/>
        <v>53940.619999999995</v>
      </c>
      <c r="AA333" s="31">
        <v>177436.08999999997</v>
      </c>
      <c r="AB333" s="31">
        <v>15090.989999999998</v>
      </c>
      <c r="AC333" s="30">
        <f t="shared" si="23"/>
        <v>192527.07999999996</v>
      </c>
      <c r="AD333" s="49">
        <v>6533.16</v>
      </c>
      <c r="AE333" s="49">
        <v>6827.3499999999995</v>
      </c>
      <c r="AF333" s="30">
        <f t="shared" si="24"/>
        <v>13360.509999999998</v>
      </c>
      <c r="AG333" s="42">
        <v>32595.699999999997</v>
      </c>
      <c r="AH333" s="83">
        <v>44281.670000000006</v>
      </c>
      <c r="AI333" s="32">
        <f t="shared" si="25"/>
        <v>76877.37</v>
      </c>
      <c r="AJ333" s="31" t="s">
        <v>75</v>
      </c>
      <c r="AK333" s="31" t="s">
        <v>75</v>
      </c>
      <c r="AL333" s="31">
        <v>82225</v>
      </c>
      <c r="AM333" s="31"/>
      <c r="AN333" s="31"/>
      <c r="AO333" s="31"/>
      <c r="AP333" s="31"/>
      <c r="AQ333" s="31"/>
      <c r="AR333" s="31"/>
      <c r="AS333" s="31" t="s">
        <v>75</v>
      </c>
      <c r="AT333" s="31" t="s">
        <v>75</v>
      </c>
      <c r="AU333" s="35">
        <v>1601079.84</v>
      </c>
      <c r="AV333" s="31" t="s">
        <v>75</v>
      </c>
      <c r="AW333" s="31" t="s">
        <v>75</v>
      </c>
      <c r="AX333" s="36">
        <v>47319.99</v>
      </c>
      <c r="AY333" s="32">
        <v>7775336.4000000004</v>
      </c>
      <c r="AZ333" s="32">
        <v>995400</v>
      </c>
      <c r="BA333" s="29">
        <f t="shared" si="16"/>
        <v>8770736.4000000004</v>
      </c>
      <c r="BB333" s="31" t="s">
        <v>75</v>
      </c>
      <c r="BC333" s="31" t="s">
        <v>75</v>
      </c>
      <c r="BD333" s="31">
        <v>1422750.4444444445</v>
      </c>
      <c r="BE333" s="113">
        <v>0</v>
      </c>
      <c r="BF333" s="113">
        <v>0</v>
      </c>
      <c r="BG333" s="38">
        <v>157</v>
      </c>
      <c r="BH333" s="38">
        <v>0</v>
      </c>
      <c r="BI333" s="38">
        <v>0</v>
      </c>
      <c r="BJ333" s="38">
        <v>0</v>
      </c>
      <c r="BK333" s="113">
        <v>0</v>
      </c>
      <c r="BL333" s="113">
        <v>0</v>
      </c>
      <c r="BM333" s="38">
        <v>560</v>
      </c>
      <c r="BN333" s="38">
        <v>0</v>
      </c>
      <c r="BO333" s="38">
        <v>0</v>
      </c>
      <c r="BP333" s="38">
        <v>0</v>
      </c>
      <c r="BQ333" s="113">
        <v>0</v>
      </c>
      <c r="BR333" s="113">
        <v>0</v>
      </c>
      <c r="BS333" s="38">
        <v>99</v>
      </c>
      <c r="BT333" s="38">
        <v>0</v>
      </c>
      <c r="BU333" s="38">
        <v>0</v>
      </c>
      <c r="BV333" s="38">
        <v>0</v>
      </c>
      <c r="BW333" s="38"/>
      <c r="BX333" s="38"/>
      <c r="BY333" s="38"/>
      <c r="BZ333" s="113">
        <v>0</v>
      </c>
      <c r="CA333" s="113">
        <v>0</v>
      </c>
      <c r="CB333" s="113">
        <v>190</v>
      </c>
      <c r="CC333" s="113"/>
      <c r="CD333" s="113"/>
      <c r="CE333" s="113"/>
      <c r="CF333" s="113">
        <v>0</v>
      </c>
      <c r="CG333" s="113">
        <v>0</v>
      </c>
      <c r="CH333" s="30">
        <v>9</v>
      </c>
      <c r="CI333" s="113">
        <v>0</v>
      </c>
      <c r="CJ333" s="113">
        <v>0</v>
      </c>
      <c r="CK333" s="30">
        <v>20</v>
      </c>
      <c r="CL333" s="30">
        <v>0</v>
      </c>
      <c r="CM333" s="30">
        <v>0</v>
      </c>
      <c r="CN333" s="30">
        <v>0</v>
      </c>
      <c r="CO333" s="113">
        <v>0</v>
      </c>
      <c r="CP333" s="113">
        <v>0</v>
      </c>
      <c r="CQ333" s="30">
        <v>9</v>
      </c>
      <c r="CR333" s="30">
        <v>0</v>
      </c>
      <c r="CS333" s="30">
        <v>0</v>
      </c>
      <c r="CT333" s="30">
        <v>0</v>
      </c>
      <c r="CU333" s="113">
        <v>0</v>
      </c>
      <c r="CV333" s="113">
        <v>0</v>
      </c>
      <c r="CW333" s="30">
        <v>188</v>
      </c>
      <c r="CX333" s="30">
        <v>0</v>
      </c>
      <c r="CY333" s="30">
        <v>0</v>
      </c>
      <c r="CZ333" s="30">
        <v>0</v>
      </c>
      <c r="DA333" s="113">
        <v>0</v>
      </c>
      <c r="DB333" s="113">
        <v>0</v>
      </c>
      <c r="DC333" s="113">
        <v>2</v>
      </c>
      <c r="DD333" s="113">
        <v>0</v>
      </c>
      <c r="DE333" s="113">
        <v>0</v>
      </c>
      <c r="DF333" s="113">
        <v>0</v>
      </c>
      <c r="DG333" s="113">
        <v>0</v>
      </c>
      <c r="DH333" s="113">
        <v>0</v>
      </c>
      <c r="DI333" s="30">
        <v>3</v>
      </c>
      <c r="DJ333" s="30">
        <v>0</v>
      </c>
      <c r="DK333" s="30">
        <v>0</v>
      </c>
      <c r="DL333" s="30">
        <v>0</v>
      </c>
      <c r="DM333" s="113">
        <v>0</v>
      </c>
      <c r="DN333" s="113">
        <v>0</v>
      </c>
      <c r="DO333" s="113">
        <v>0</v>
      </c>
      <c r="DP333" s="113">
        <v>0</v>
      </c>
      <c r="DQ333" s="113">
        <v>0</v>
      </c>
      <c r="DR333" s="113">
        <v>0</v>
      </c>
      <c r="DS333" s="113">
        <v>0</v>
      </c>
      <c r="DT333" s="113">
        <v>0</v>
      </c>
      <c r="DU333" s="113">
        <v>0</v>
      </c>
      <c r="DV333" s="113">
        <v>0</v>
      </c>
      <c r="DW333" s="113">
        <v>0</v>
      </c>
      <c r="DX333" s="113">
        <v>0</v>
      </c>
      <c r="DY333" s="113">
        <v>0</v>
      </c>
      <c r="DZ333" s="113">
        <v>0</v>
      </c>
      <c r="EA333" s="113">
        <v>708</v>
      </c>
      <c r="EB333" s="113">
        <v>0</v>
      </c>
      <c r="EC333" s="113">
        <v>0</v>
      </c>
      <c r="ED333" s="113">
        <v>0</v>
      </c>
      <c r="EE333" s="113">
        <v>0</v>
      </c>
      <c r="EF333" s="113">
        <v>0</v>
      </c>
      <c r="EG333" s="113">
        <v>1068</v>
      </c>
      <c r="EH333" s="113">
        <v>0</v>
      </c>
      <c r="EI333" s="113">
        <v>0</v>
      </c>
      <c r="EJ333" s="113">
        <v>0</v>
      </c>
      <c r="EK333" s="113">
        <v>0</v>
      </c>
      <c r="EL333" s="113">
        <v>0</v>
      </c>
      <c r="EM333" s="113">
        <v>929</v>
      </c>
      <c r="EN333" s="113">
        <v>0</v>
      </c>
      <c r="EO333" s="113">
        <v>0</v>
      </c>
      <c r="EP333" s="113">
        <v>0</v>
      </c>
      <c r="EQ333" s="113">
        <v>0</v>
      </c>
      <c r="ER333" s="113">
        <v>0</v>
      </c>
      <c r="ES333" s="30">
        <v>67</v>
      </c>
      <c r="ET333" s="30">
        <v>0</v>
      </c>
      <c r="EU333" s="30">
        <v>0</v>
      </c>
      <c r="EV333" s="30">
        <v>0</v>
      </c>
      <c r="EW333" s="113">
        <v>0</v>
      </c>
      <c r="EX333" s="113">
        <v>0</v>
      </c>
      <c r="EY333" s="30">
        <v>6</v>
      </c>
      <c r="EZ333" s="30">
        <v>0</v>
      </c>
      <c r="FA333" s="30">
        <v>0</v>
      </c>
      <c r="FB333" s="30">
        <v>0</v>
      </c>
      <c r="FC333" s="30">
        <v>0</v>
      </c>
      <c r="FD333" s="30">
        <v>0</v>
      </c>
      <c r="FE333" s="30">
        <v>9</v>
      </c>
      <c r="FF333" s="30">
        <v>0</v>
      </c>
      <c r="FG333" s="30">
        <v>0</v>
      </c>
      <c r="FH333" s="30">
        <v>0</v>
      </c>
      <c r="FI333" s="113">
        <v>0</v>
      </c>
      <c r="FJ333" s="113">
        <v>0</v>
      </c>
      <c r="FK333" s="30">
        <v>16</v>
      </c>
      <c r="FL333" s="113">
        <v>0</v>
      </c>
      <c r="FM333" s="113">
        <v>0</v>
      </c>
      <c r="FN333" s="30">
        <v>5124</v>
      </c>
      <c r="FO333" s="113">
        <v>0</v>
      </c>
      <c r="FP333" s="113">
        <v>0</v>
      </c>
      <c r="FQ333" s="30">
        <v>490</v>
      </c>
      <c r="FR333" s="113">
        <v>0</v>
      </c>
      <c r="FS333" s="113">
        <v>0</v>
      </c>
      <c r="FT333" s="113">
        <v>0</v>
      </c>
      <c r="FU333" s="113">
        <v>0</v>
      </c>
      <c r="FV333" s="113">
        <v>0</v>
      </c>
      <c r="FW333" s="30">
        <v>129</v>
      </c>
      <c r="FX333" s="32">
        <v>0</v>
      </c>
      <c r="FY333" s="30">
        <v>0</v>
      </c>
      <c r="FZ333" s="30">
        <v>6</v>
      </c>
    </row>
    <row r="334" spans="1:182" x14ac:dyDescent="0.2">
      <c r="A334" s="28">
        <v>41730</v>
      </c>
      <c r="B334" s="28"/>
      <c r="C334" s="31">
        <v>245163.89</v>
      </c>
      <c r="D334" s="49">
        <v>280244.79000000004</v>
      </c>
      <c r="E334" s="29">
        <f t="shared" si="20"/>
        <v>525408.68000000005</v>
      </c>
      <c r="F334" s="49">
        <v>3769841.9400000004</v>
      </c>
      <c r="G334" s="49">
        <v>658417.91999999993</v>
      </c>
      <c r="H334" s="30">
        <f t="shared" si="19"/>
        <v>4428259.8600000003</v>
      </c>
      <c r="I334" s="42" t="s">
        <v>75</v>
      </c>
      <c r="J334" s="42" t="s">
        <v>75</v>
      </c>
      <c r="K334" s="83">
        <v>14918619.67</v>
      </c>
      <c r="L334" s="31" t="s">
        <v>75</v>
      </c>
      <c r="M334" s="31" t="s">
        <v>75</v>
      </c>
      <c r="N334" s="49">
        <v>27781965.559999995</v>
      </c>
      <c r="O334" s="31" t="s">
        <v>75</v>
      </c>
      <c r="P334" s="31" t="s">
        <v>75</v>
      </c>
      <c r="Q334" s="31">
        <v>20812220.789999999</v>
      </c>
      <c r="R334" s="31" t="s">
        <v>75</v>
      </c>
      <c r="S334" s="31" t="s">
        <v>75</v>
      </c>
      <c r="T334" s="31">
        <v>119379.42</v>
      </c>
      <c r="U334" s="31">
        <v>2485.7200000000003</v>
      </c>
      <c r="V334" s="31">
        <v>1777.22</v>
      </c>
      <c r="W334" s="31">
        <f t="shared" si="21"/>
        <v>4262.9400000000005</v>
      </c>
      <c r="X334" s="31">
        <v>64094.119999999995</v>
      </c>
      <c r="Y334" s="31">
        <v>21.2</v>
      </c>
      <c r="Z334" s="30">
        <f t="shared" si="22"/>
        <v>64115.319999999992</v>
      </c>
      <c r="AA334" s="31">
        <v>189476.84999999998</v>
      </c>
      <c r="AB334" s="31">
        <v>17119.3</v>
      </c>
      <c r="AC334" s="30">
        <f t="shared" si="23"/>
        <v>206596.14999999997</v>
      </c>
      <c r="AD334" s="49">
        <v>6637.7400000000007</v>
      </c>
      <c r="AE334" s="49">
        <v>6880.3799999999992</v>
      </c>
      <c r="AF334" s="30">
        <f t="shared" si="24"/>
        <v>13518.119999999999</v>
      </c>
      <c r="AG334" s="42">
        <v>30103.870000000003</v>
      </c>
      <c r="AH334" s="83">
        <v>51909.149999999994</v>
      </c>
      <c r="AI334" s="32">
        <f t="shared" si="25"/>
        <v>82013.01999999999</v>
      </c>
      <c r="AJ334" s="31" t="s">
        <v>75</v>
      </c>
      <c r="AK334" s="31" t="s">
        <v>75</v>
      </c>
      <c r="AL334" s="31">
        <v>52187.5</v>
      </c>
      <c r="AM334" s="31"/>
      <c r="AN334" s="31"/>
      <c r="AO334" s="31"/>
      <c r="AP334" s="31"/>
      <c r="AQ334" s="31"/>
      <c r="AR334" s="31"/>
      <c r="AS334" s="31" t="s">
        <v>75</v>
      </c>
      <c r="AT334" s="31" t="s">
        <v>75</v>
      </c>
      <c r="AU334" s="35">
        <v>1599448.04</v>
      </c>
      <c r="AV334" s="31" t="s">
        <v>75</v>
      </c>
      <c r="AW334" s="31" t="s">
        <v>75</v>
      </c>
      <c r="AX334" s="36">
        <v>32552.26</v>
      </c>
      <c r="AY334" s="32">
        <v>8955085.5</v>
      </c>
      <c r="AZ334" s="32">
        <v>1271715</v>
      </c>
      <c r="BA334" s="29">
        <f t="shared" si="16"/>
        <v>10226800.5</v>
      </c>
      <c r="BB334" s="31" t="s">
        <v>75</v>
      </c>
      <c r="BC334" s="31" t="s">
        <v>75</v>
      </c>
      <c r="BD334" s="31">
        <v>1516271.4222222222</v>
      </c>
      <c r="BE334" s="113">
        <v>0</v>
      </c>
      <c r="BF334" s="113">
        <v>0</v>
      </c>
      <c r="BG334" s="38">
        <v>212</v>
      </c>
      <c r="BH334" s="38">
        <v>0</v>
      </c>
      <c r="BI334" s="38">
        <v>0</v>
      </c>
      <c r="BJ334" s="38">
        <v>0</v>
      </c>
      <c r="BK334" s="113">
        <v>0</v>
      </c>
      <c r="BL334" s="113">
        <v>0</v>
      </c>
      <c r="BM334" s="38">
        <v>248</v>
      </c>
      <c r="BN334" s="38">
        <v>0</v>
      </c>
      <c r="BO334" s="38">
        <v>0</v>
      </c>
      <c r="BP334" s="38">
        <v>0</v>
      </c>
      <c r="BQ334" s="113">
        <v>0</v>
      </c>
      <c r="BR334" s="113">
        <v>0</v>
      </c>
      <c r="BS334" s="38">
        <v>295</v>
      </c>
      <c r="BT334" s="38">
        <v>0</v>
      </c>
      <c r="BU334" s="38">
        <v>0</v>
      </c>
      <c r="BV334" s="38">
        <v>0</v>
      </c>
      <c r="BW334" s="38"/>
      <c r="BX334" s="38"/>
      <c r="BY334" s="38"/>
      <c r="BZ334" s="113">
        <v>0</v>
      </c>
      <c r="CA334" s="113">
        <v>0</v>
      </c>
      <c r="CB334" s="113">
        <v>243</v>
      </c>
      <c r="CC334" s="113"/>
      <c r="CD334" s="113"/>
      <c r="CE334" s="113"/>
      <c r="CF334" s="113">
        <v>0</v>
      </c>
      <c r="CG334" s="113">
        <v>0</v>
      </c>
      <c r="CH334" s="30">
        <v>3</v>
      </c>
      <c r="CI334" s="113">
        <v>0</v>
      </c>
      <c r="CJ334" s="113">
        <v>0</v>
      </c>
      <c r="CK334" s="30">
        <v>66</v>
      </c>
      <c r="CL334" s="30">
        <v>0</v>
      </c>
      <c r="CM334" s="30">
        <v>0</v>
      </c>
      <c r="CN334" s="30">
        <v>0</v>
      </c>
      <c r="CO334" s="113">
        <v>0</v>
      </c>
      <c r="CP334" s="113">
        <v>0</v>
      </c>
      <c r="CQ334" s="30">
        <v>6</v>
      </c>
      <c r="CR334" s="30">
        <v>0</v>
      </c>
      <c r="CS334" s="30">
        <v>0</v>
      </c>
      <c r="CT334" s="30">
        <v>0</v>
      </c>
      <c r="CU334" s="113">
        <v>0</v>
      </c>
      <c r="CV334" s="113">
        <v>0</v>
      </c>
      <c r="CW334" s="30">
        <v>234</v>
      </c>
      <c r="CX334" s="30">
        <v>0</v>
      </c>
      <c r="CY334" s="30">
        <v>0</v>
      </c>
      <c r="CZ334" s="30">
        <v>0</v>
      </c>
      <c r="DA334" s="113">
        <v>0</v>
      </c>
      <c r="DB334" s="113">
        <v>0</v>
      </c>
      <c r="DC334" s="113">
        <v>0</v>
      </c>
      <c r="DD334" s="113">
        <v>0</v>
      </c>
      <c r="DE334" s="113">
        <v>0</v>
      </c>
      <c r="DF334" s="113">
        <v>0</v>
      </c>
      <c r="DG334" s="113">
        <v>0</v>
      </c>
      <c r="DH334" s="113">
        <v>0</v>
      </c>
      <c r="DI334" s="30">
        <v>8</v>
      </c>
      <c r="DJ334" s="30">
        <v>0</v>
      </c>
      <c r="DK334" s="30">
        <v>0</v>
      </c>
      <c r="DL334" s="30">
        <v>0</v>
      </c>
      <c r="DM334" s="113">
        <v>0</v>
      </c>
      <c r="DN334" s="113">
        <v>0</v>
      </c>
      <c r="DO334" s="113">
        <v>0</v>
      </c>
      <c r="DP334" s="113">
        <v>0</v>
      </c>
      <c r="DQ334" s="113">
        <v>0</v>
      </c>
      <c r="DR334" s="113">
        <v>0</v>
      </c>
      <c r="DS334" s="113">
        <v>0</v>
      </c>
      <c r="DT334" s="113">
        <v>0</v>
      </c>
      <c r="DU334" s="113">
        <v>0</v>
      </c>
      <c r="DV334" s="113">
        <v>0</v>
      </c>
      <c r="DW334" s="113">
        <v>0</v>
      </c>
      <c r="DX334" s="113">
        <v>0</v>
      </c>
      <c r="DY334" s="113">
        <v>0</v>
      </c>
      <c r="DZ334" s="113">
        <v>0</v>
      </c>
      <c r="EA334" s="113">
        <v>773</v>
      </c>
      <c r="EB334" s="113">
        <v>0</v>
      </c>
      <c r="EC334" s="113">
        <v>0</v>
      </c>
      <c r="ED334" s="113">
        <v>0</v>
      </c>
      <c r="EE334" s="113">
        <v>0</v>
      </c>
      <c r="EF334" s="113">
        <v>0</v>
      </c>
      <c r="EG334" s="113">
        <v>1252</v>
      </c>
      <c r="EH334" s="113">
        <v>0</v>
      </c>
      <c r="EI334" s="113">
        <v>0</v>
      </c>
      <c r="EJ334" s="113">
        <v>0</v>
      </c>
      <c r="EK334" s="113">
        <v>0</v>
      </c>
      <c r="EL334" s="113">
        <v>0</v>
      </c>
      <c r="EM334" s="113">
        <v>827</v>
      </c>
      <c r="EN334" s="113">
        <v>0</v>
      </c>
      <c r="EO334" s="113">
        <v>0</v>
      </c>
      <c r="EP334" s="113">
        <v>0</v>
      </c>
      <c r="EQ334" s="113">
        <v>0</v>
      </c>
      <c r="ER334" s="113">
        <v>0</v>
      </c>
      <c r="ES334" s="30">
        <v>80</v>
      </c>
      <c r="ET334" s="30">
        <v>0</v>
      </c>
      <c r="EU334" s="30">
        <v>0</v>
      </c>
      <c r="EV334" s="30">
        <v>0</v>
      </c>
      <c r="EW334" s="113">
        <v>0</v>
      </c>
      <c r="EX334" s="113">
        <v>0</v>
      </c>
      <c r="EY334" s="30">
        <v>13</v>
      </c>
      <c r="EZ334" s="30">
        <v>0</v>
      </c>
      <c r="FA334" s="30">
        <v>0</v>
      </c>
      <c r="FB334" s="30">
        <v>0</v>
      </c>
      <c r="FC334" s="30">
        <v>0</v>
      </c>
      <c r="FD334" s="30">
        <v>0</v>
      </c>
      <c r="FE334" s="30">
        <v>13</v>
      </c>
      <c r="FF334" s="30">
        <v>0</v>
      </c>
      <c r="FG334" s="30">
        <v>0</v>
      </c>
      <c r="FH334" s="30">
        <v>0</v>
      </c>
      <c r="FI334" s="113">
        <v>0</v>
      </c>
      <c r="FJ334" s="113">
        <v>0</v>
      </c>
      <c r="FK334" s="30">
        <v>11</v>
      </c>
      <c r="FL334" s="113">
        <v>0</v>
      </c>
      <c r="FM334" s="113">
        <v>0</v>
      </c>
      <c r="FN334" s="30">
        <v>4741</v>
      </c>
      <c r="FO334" s="113">
        <v>0</v>
      </c>
      <c r="FP334" s="113">
        <v>0</v>
      </c>
      <c r="FQ334" s="30">
        <v>559</v>
      </c>
      <c r="FR334" s="113">
        <v>0</v>
      </c>
      <c r="FS334" s="113">
        <v>0</v>
      </c>
      <c r="FT334" s="113">
        <v>0</v>
      </c>
      <c r="FU334" s="113">
        <v>0</v>
      </c>
      <c r="FV334" s="113">
        <v>0</v>
      </c>
      <c r="FW334" s="30">
        <v>105</v>
      </c>
      <c r="FX334" s="32">
        <v>0</v>
      </c>
      <c r="FY334" s="30">
        <v>0</v>
      </c>
      <c r="FZ334" s="30">
        <v>1</v>
      </c>
    </row>
    <row r="335" spans="1:182" x14ac:dyDescent="0.2">
      <c r="A335" s="28">
        <v>41760</v>
      </c>
      <c r="B335" s="28"/>
      <c r="C335" s="31">
        <v>252366.99999999994</v>
      </c>
      <c r="D335" s="49">
        <v>322034.39000000007</v>
      </c>
      <c r="E335" s="29">
        <f t="shared" si="20"/>
        <v>574401.39</v>
      </c>
      <c r="F335" s="49">
        <v>4839825.93</v>
      </c>
      <c r="G335" s="49">
        <v>574911.25</v>
      </c>
      <c r="H335" s="30">
        <f t="shared" si="19"/>
        <v>5414737.1799999997</v>
      </c>
      <c r="I335" s="42" t="s">
        <v>75</v>
      </c>
      <c r="J335" s="42" t="s">
        <v>75</v>
      </c>
      <c r="K335" s="83">
        <v>13443065.699999999</v>
      </c>
      <c r="L335" s="31" t="s">
        <v>75</v>
      </c>
      <c r="M335" s="31" t="s">
        <v>75</v>
      </c>
      <c r="N335" s="49">
        <v>22213041.749999996</v>
      </c>
      <c r="O335" s="31" t="s">
        <v>75</v>
      </c>
      <c r="P335" s="31" t="s">
        <v>75</v>
      </c>
      <c r="Q335" s="31">
        <v>19415600.420000002</v>
      </c>
      <c r="R335" s="31" t="s">
        <v>75</v>
      </c>
      <c r="S335" s="31" t="s">
        <v>75</v>
      </c>
      <c r="T335" s="31">
        <v>136776</v>
      </c>
      <c r="U335" s="31">
        <v>2135.5100000000002</v>
      </c>
      <c r="V335" s="31">
        <v>1984.1599999999999</v>
      </c>
      <c r="W335" s="31">
        <f t="shared" si="21"/>
        <v>4119.67</v>
      </c>
      <c r="X335" s="31">
        <v>87465.33</v>
      </c>
      <c r="Y335" s="31">
        <v>38</v>
      </c>
      <c r="Z335" s="30">
        <f t="shared" si="22"/>
        <v>87503.33</v>
      </c>
      <c r="AA335" s="31">
        <v>163095.41999999998</v>
      </c>
      <c r="AB335" s="31">
        <v>15449.84</v>
      </c>
      <c r="AC335" s="30">
        <f t="shared" si="23"/>
        <v>178545.25999999998</v>
      </c>
      <c r="AD335" s="49">
        <v>5268.24</v>
      </c>
      <c r="AE335" s="49">
        <v>6677.42</v>
      </c>
      <c r="AF335" s="30">
        <f t="shared" si="24"/>
        <v>11945.66</v>
      </c>
      <c r="AG335" s="42">
        <v>26457.64</v>
      </c>
      <c r="AH335" s="83">
        <v>62083.27</v>
      </c>
      <c r="AI335" s="32">
        <f t="shared" si="25"/>
        <v>88540.91</v>
      </c>
      <c r="AJ335" s="31" t="s">
        <v>75</v>
      </c>
      <c r="AK335" s="31" t="s">
        <v>75</v>
      </c>
      <c r="AL335" s="31">
        <v>63881.25</v>
      </c>
      <c r="AM335" s="31"/>
      <c r="AN335" s="31"/>
      <c r="AO335" s="31"/>
      <c r="AP335" s="31"/>
      <c r="AQ335" s="31"/>
      <c r="AR335" s="31"/>
      <c r="AS335" s="31" t="s">
        <v>75</v>
      </c>
      <c r="AT335" s="31" t="s">
        <v>75</v>
      </c>
      <c r="AU335" s="35">
        <v>1668991.62</v>
      </c>
      <c r="AV335" s="31" t="s">
        <v>75</v>
      </c>
      <c r="AW335" s="31" t="s">
        <v>75</v>
      </c>
      <c r="AX335" s="36">
        <v>45327.27</v>
      </c>
      <c r="AY335" s="32">
        <v>8304277.7000000002</v>
      </c>
      <c r="AZ335" s="32">
        <v>1073475</v>
      </c>
      <c r="BA335" s="29">
        <f t="shared" si="16"/>
        <v>9377752.6999999993</v>
      </c>
      <c r="BB335" s="31" t="s">
        <v>75</v>
      </c>
      <c r="BC335" s="31" t="s">
        <v>75</v>
      </c>
      <c r="BD335" s="31">
        <v>1456748.2888888891</v>
      </c>
      <c r="BE335" s="113">
        <v>0</v>
      </c>
      <c r="BF335" s="113">
        <v>0</v>
      </c>
      <c r="BG335" s="38">
        <v>219</v>
      </c>
      <c r="BH335" s="38">
        <v>0</v>
      </c>
      <c r="BI335" s="38">
        <v>0</v>
      </c>
      <c r="BJ335" s="38">
        <v>0</v>
      </c>
      <c r="BK335" s="113">
        <v>0</v>
      </c>
      <c r="BL335" s="113">
        <v>0</v>
      </c>
      <c r="BM335" s="38">
        <v>318</v>
      </c>
      <c r="BN335" s="38">
        <v>0</v>
      </c>
      <c r="BO335" s="38">
        <v>0</v>
      </c>
      <c r="BP335" s="38">
        <v>0</v>
      </c>
      <c r="BQ335" s="113">
        <v>0</v>
      </c>
      <c r="BR335" s="113">
        <v>0</v>
      </c>
      <c r="BS335" s="38">
        <v>149</v>
      </c>
      <c r="BT335" s="38">
        <v>0</v>
      </c>
      <c r="BU335" s="38">
        <v>0</v>
      </c>
      <c r="BV335" s="38">
        <v>0</v>
      </c>
      <c r="BW335" s="38"/>
      <c r="BX335" s="38"/>
      <c r="BY335" s="38"/>
      <c r="BZ335" s="113">
        <v>0</v>
      </c>
      <c r="CA335" s="113">
        <v>0</v>
      </c>
      <c r="CB335" s="113">
        <v>255</v>
      </c>
      <c r="CC335" s="113"/>
      <c r="CD335" s="113"/>
      <c r="CE335" s="113"/>
      <c r="CF335" s="113">
        <v>0</v>
      </c>
      <c r="CG335" s="113">
        <v>0</v>
      </c>
      <c r="CH335" s="30">
        <v>12</v>
      </c>
      <c r="CI335" s="113">
        <v>0</v>
      </c>
      <c r="CJ335" s="113">
        <v>0</v>
      </c>
      <c r="CK335" s="30">
        <v>21</v>
      </c>
      <c r="CL335" s="30">
        <v>0</v>
      </c>
      <c r="CM335" s="30">
        <v>0</v>
      </c>
      <c r="CN335" s="30">
        <v>0</v>
      </c>
      <c r="CO335" s="113">
        <v>0</v>
      </c>
      <c r="CP335" s="113">
        <v>0</v>
      </c>
      <c r="CQ335" s="30">
        <v>11</v>
      </c>
      <c r="CR335" s="30">
        <v>0</v>
      </c>
      <c r="CS335" s="30">
        <v>0</v>
      </c>
      <c r="CT335" s="30">
        <v>0</v>
      </c>
      <c r="CU335" s="113">
        <v>0</v>
      </c>
      <c r="CV335" s="113">
        <v>0</v>
      </c>
      <c r="CW335" s="30">
        <v>254</v>
      </c>
      <c r="CX335" s="30">
        <v>0</v>
      </c>
      <c r="CY335" s="30">
        <v>0</v>
      </c>
      <c r="CZ335" s="30">
        <v>0</v>
      </c>
      <c r="DA335" s="113">
        <v>0</v>
      </c>
      <c r="DB335" s="113">
        <v>0</v>
      </c>
      <c r="DC335" s="113">
        <v>0</v>
      </c>
      <c r="DD335" s="113">
        <v>0</v>
      </c>
      <c r="DE335" s="113">
        <v>0</v>
      </c>
      <c r="DF335" s="113">
        <v>0</v>
      </c>
      <c r="DG335" s="113">
        <v>0</v>
      </c>
      <c r="DH335" s="113">
        <v>0</v>
      </c>
      <c r="DI335" s="30">
        <v>6</v>
      </c>
      <c r="DJ335" s="30">
        <v>0</v>
      </c>
      <c r="DK335" s="30">
        <v>0</v>
      </c>
      <c r="DL335" s="30">
        <v>0</v>
      </c>
      <c r="DM335" s="113">
        <v>0</v>
      </c>
      <c r="DN335" s="113">
        <v>0</v>
      </c>
      <c r="DO335" s="113">
        <v>0</v>
      </c>
      <c r="DP335" s="113">
        <v>0</v>
      </c>
      <c r="DQ335" s="113">
        <v>0</v>
      </c>
      <c r="DR335" s="113">
        <v>0</v>
      </c>
      <c r="DS335" s="113">
        <v>0</v>
      </c>
      <c r="DT335" s="113">
        <v>0</v>
      </c>
      <c r="DU335" s="113">
        <v>0</v>
      </c>
      <c r="DV335" s="113">
        <v>0</v>
      </c>
      <c r="DW335" s="113">
        <v>0</v>
      </c>
      <c r="DX335" s="113">
        <v>0</v>
      </c>
      <c r="DY335" s="113">
        <v>0</v>
      </c>
      <c r="DZ335" s="113">
        <v>0</v>
      </c>
      <c r="EA335" s="113">
        <v>1001</v>
      </c>
      <c r="EB335" s="113">
        <v>0</v>
      </c>
      <c r="EC335" s="113">
        <v>0</v>
      </c>
      <c r="ED335" s="113">
        <v>0</v>
      </c>
      <c r="EE335" s="113">
        <v>0</v>
      </c>
      <c r="EF335" s="113">
        <v>0</v>
      </c>
      <c r="EG335" s="113">
        <v>1305</v>
      </c>
      <c r="EH335" s="113">
        <v>0</v>
      </c>
      <c r="EI335" s="113">
        <v>0</v>
      </c>
      <c r="EJ335" s="113">
        <v>0</v>
      </c>
      <c r="EK335" s="113">
        <v>0</v>
      </c>
      <c r="EL335" s="113">
        <v>0</v>
      </c>
      <c r="EM335" s="113">
        <v>1044</v>
      </c>
      <c r="EN335" s="113">
        <v>0</v>
      </c>
      <c r="EO335" s="113">
        <v>0</v>
      </c>
      <c r="EP335" s="113">
        <v>0</v>
      </c>
      <c r="EQ335" s="113">
        <v>0</v>
      </c>
      <c r="ER335" s="113">
        <v>0</v>
      </c>
      <c r="ES335" s="30">
        <v>68</v>
      </c>
      <c r="ET335" s="30">
        <v>0</v>
      </c>
      <c r="EU335" s="30">
        <v>0</v>
      </c>
      <c r="EV335" s="30">
        <v>0</v>
      </c>
      <c r="EW335" s="113">
        <v>0</v>
      </c>
      <c r="EX335" s="113">
        <v>0</v>
      </c>
      <c r="EY335" s="30">
        <v>5</v>
      </c>
      <c r="EZ335" s="30">
        <v>0</v>
      </c>
      <c r="FA335" s="30">
        <v>0</v>
      </c>
      <c r="FB335" s="30">
        <v>0</v>
      </c>
      <c r="FC335" s="30">
        <v>0</v>
      </c>
      <c r="FD335" s="30">
        <v>0</v>
      </c>
      <c r="FE335" s="30">
        <v>15</v>
      </c>
      <c r="FF335" s="30">
        <v>0</v>
      </c>
      <c r="FG335" s="30">
        <v>0</v>
      </c>
      <c r="FH335" s="30">
        <v>0</v>
      </c>
      <c r="FI335" s="113">
        <v>0</v>
      </c>
      <c r="FJ335" s="113">
        <v>0</v>
      </c>
      <c r="FK335" s="30">
        <v>11</v>
      </c>
      <c r="FL335" s="113">
        <v>0</v>
      </c>
      <c r="FM335" s="113">
        <v>0</v>
      </c>
      <c r="FN335" s="30">
        <v>4150</v>
      </c>
      <c r="FO335" s="113">
        <v>0</v>
      </c>
      <c r="FP335" s="113">
        <v>0</v>
      </c>
      <c r="FQ335" s="30">
        <v>444</v>
      </c>
      <c r="FR335" s="113">
        <v>0</v>
      </c>
      <c r="FS335" s="113">
        <v>0</v>
      </c>
      <c r="FT335" s="113">
        <v>0</v>
      </c>
      <c r="FU335" s="113">
        <v>0</v>
      </c>
      <c r="FV335" s="113">
        <v>0</v>
      </c>
      <c r="FW335" s="30">
        <v>62</v>
      </c>
      <c r="FX335" s="32">
        <v>0</v>
      </c>
      <c r="FY335" s="30">
        <v>0</v>
      </c>
      <c r="FZ335" s="30">
        <v>2</v>
      </c>
    </row>
    <row r="336" spans="1:182" x14ac:dyDescent="0.2">
      <c r="A336" s="28">
        <v>41791</v>
      </c>
      <c r="B336" s="28"/>
      <c r="C336" s="31">
        <v>274813.58</v>
      </c>
      <c r="D336" s="49">
        <v>363736.21000000008</v>
      </c>
      <c r="E336" s="29">
        <f t="shared" si="20"/>
        <v>638549.79</v>
      </c>
      <c r="F336" s="49">
        <v>4365360.2</v>
      </c>
      <c r="G336" s="49">
        <v>635254.46000000008</v>
      </c>
      <c r="H336" s="30">
        <f t="shared" si="19"/>
        <v>5000614.66</v>
      </c>
      <c r="I336" s="42" t="s">
        <v>75</v>
      </c>
      <c r="J336" s="42" t="s">
        <v>75</v>
      </c>
      <c r="K336" s="83">
        <v>13120060.729999999</v>
      </c>
      <c r="L336" s="31" t="s">
        <v>75</v>
      </c>
      <c r="M336" s="31" t="s">
        <v>75</v>
      </c>
      <c r="N336" s="49">
        <v>23573343.470000003</v>
      </c>
      <c r="O336" s="31" t="s">
        <v>75</v>
      </c>
      <c r="P336" s="31" t="s">
        <v>75</v>
      </c>
      <c r="Q336" s="31">
        <v>18156370.780000001</v>
      </c>
      <c r="R336" s="31" t="s">
        <v>75</v>
      </c>
      <c r="S336" s="31" t="s">
        <v>75</v>
      </c>
      <c r="T336" s="31">
        <v>137398.68</v>
      </c>
      <c r="U336" s="31">
        <v>2166.29</v>
      </c>
      <c r="V336" s="31">
        <v>1493.8899999999999</v>
      </c>
      <c r="W336" s="31">
        <f t="shared" si="21"/>
        <v>3660.18</v>
      </c>
      <c r="X336" s="31">
        <v>52735.61</v>
      </c>
      <c r="Y336" s="31">
        <v>10.9</v>
      </c>
      <c r="Z336" s="30">
        <f t="shared" si="22"/>
        <v>52746.51</v>
      </c>
      <c r="AA336" s="31">
        <v>213444.12999999995</v>
      </c>
      <c r="AB336" s="31">
        <v>18538.5</v>
      </c>
      <c r="AC336" s="30">
        <f t="shared" si="23"/>
        <v>231982.62999999995</v>
      </c>
      <c r="AD336" s="49">
        <v>3759.86</v>
      </c>
      <c r="AE336" s="49">
        <v>6565.2</v>
      </c>
      <c r="AF336" s="30">
        <f t="shared" si="24"/>
        <v>10325.06</v>
      </c>
      <c r="AG336" s="42">
        <v>20076.849999999999</v>
      </c>
      <c r="AH336" s="83">
        <v>42882.01</v>
      </c>
      <c r="AI336" s="32">
        <f t="shared" si="25"/>
        <v>62958.86</v>
      </c>
      <c r="AJ336" s="31" t="s">
        <v>75</v>
      </c>
      <c r="AK336" s="31" t="s">
        <v>75</v>
      </c>
      <c r="AL336" s="31">
        <v>59518.75</v>
      </c>
      <c r="AM336" s="31"/>
      <c r="AN336" s="31"/>
      <c r="AO336" s="31"/>
      <c r="AP336" s="31"/>
      <c r="AQ336" s="31"/>
      <c r="AR336" s="31"/>
      <c r="AS336" s="31" t="s">
        <v>75</v>
      </c>
      <c r="AT336" s="31" t="s">
        <v>75</v>
      </c>
      <c r="AU336" s="35">
        <v>1564423.17</v>
      </c>
      <c r="AV336" s="31" t="s">
        <v>75</v>
      </c>
      <c r="AW336" s="31" t="s">
        <v>75</v>
      </c>
      <c r="AX336" s="36">
        <v>39294.22</v>
      </c>
      <c r="AY336" s="32">
        <v>8295591.2999999998</v>
      </c>
      <c r="AZ336" s="32">
        <v>1171617.5</v>
      </c>
      <c r="BA336" s="29">
        <f t="shared" si="16"/>
        <v>9467208.8000000007</v>
      </c>
      <c r="BB336" s="31" t="s">
        <v>75</v>
      </c>
      <c r="BC336" s="31" t="s">
        <v>75</v>
      </c>
      <c r="BD336" s="31">
        <v>1391191.0222222223</v>
      </c>
      <c r="BE336" s="113">
        <v>0</v>
      </c>
      <c r="BF336" s="113">
        <v>0</v>
      </c>
      <c r="BG336" s="38">
        <v>309</v>
      </c>
      <c r="BH336" s="38">
        <v>0</v>
      </c>
      <c r="BI336" s="38">
        <v>0</v>
      </c>
      <c r="BJ336" s="38">
        <v>0</v>
      </c>
      <c r="BK336" s="113">
        <v>0</v>
      </c>
      <c r="BL336" s="113">
        <v>0</v>
      </c>
      <c r="BM336" s="38">
        <v>230</v>
      </c>
      <c r="BN336" s="38">
        <v>0</v>
      </c>
      <c r="BO336" s="38">
        <v>0</v>
      </c>
      <c r="BP336" s="38">
        <v>0</v>
      </c>
      <c r="BQ336" s="113">
        <v>0</v>
      </c>
      <c r="BR336" s="113">
        <v>0</v>
      </c>
      <c r="BS336" s="38">
        <v>396</v>
      </c>
      <c r="BT336" s="38">
        <v>0</v>
      </c>
      <c r="BU336" s="38">
        <v>0</v>
      </c>
      <c r="BV336" s="38">
        <v>0</v>
      </c>
      <c r="BW336" s="38"/>
      <c r="BX336" s="38"/>
      <c r="BY336" s="38"/>
      <c r="BZ336" s="113">
        <v>0</v>
      </c>
      <c r="CA336" s="113">
        <v>0</v>
      </c>
      <c r="CB336" s="113">
        <v>268</v>
      </c>
      <c r="CC336" s="113"/>
      <c r="CD336" s="113"/>
      <c r="CE336" s="113"/>
      <c r="CF336" s="113">
        <v>0</v>
      </c>
      <c r="CG336" s="113">
        <v>0</v>
      </c>
      <c r="CH336" s="30">
        <v>7</v>
      </c>
      <c r="CI336" s="113">
        <v>0</v>
      </c>
      <c r="CJ336" s="113">
        <v>0</v>
      </c>
      <c r="CK336" s="30">
        <v>32</v>
      </c>
      <c r="CL336" s="30">
        <v>0</v>
      </c>
      <c r="CM336" s="30">
        <v>0</v>
      </c>
      <c r="CN336" s="30">
        <v>0</v>
      </c>
      <c r="CO336" s="113">
        <v>0</v>
      </c>
      <c r="CP336" s="113">
        <v>0</v>
      </c>
      <c r="CQ336" s="30">
        <v>6</v>
      </c>
      <c r="CR336" s="30">
        <v>0</v>
      </c>
      <c r="CS336" s="30">
        <v>0</v>
      </c>
      <c r="CT336" s="30">
        <v>0</v>
      </c>
      <c r="CU336" s="113">
        <v>0</v>
      </c>
      <c r="CV336" s="113">
        <v>0</v>
      </c>
      <c r="CW336" s="30">
        <v>288</v>
      </c>
      <c r="CX336" s="30">
        <v>0</v>
      </c>
      <c r="CY336" s="30">
        <v>0</v>
      </c>
      <c r="CZ336" s="30">
        <v>0</v>
      </c>
      <c r="DA336" s="113">
        <v>0</v>
      </c>
      <c r="DB336" s="113">
        <v>0</v>
      </c>
      <c r="DC336" s="113">
        <v>3</v>
      </c>
      <c r="DD336" s="113">
        <v>0</v>
      </c>
      <c r="DE336" s="113">
        <v>0</v>
      </c>
      <c r="DF336" s="113">
        <v>0</v>
      </c>
      <c r="DG336" s="113">
        <v>0</v>
      </c>
      <c r="DH336" s="113">
        <v>0</v>
      </c>
      <c r="DI336" s="30">
        <v>11</v>
      </c>
      <c r="DJ336" s="30">
        <v>0</v>
      </c>
      <c r="DK336" s="30">
        <v>0</v>
      </c>
      <c r="DL336" s="30">
        <v>0</v>
      </c>
      <c r="DM336" s="113">
        <v>0</v>
      </c>
      <c r="DN336" s="113">
        <v>0</v>
      </c>
      <c r="DO336" s="113">
        <v>0</v>
      </c>
      <c r="DP336" s="113">
        <v>0</v>
      </c>
      <c r="DQ336" s="113">
        <v>0</v>
      </c>
      <c r="DR336" s="113">
        <v>0</v>
      </c>
      <c r="DS336" s="113">
        <v>0</v>
      </c>
      <c r="DT336" s="113">
        <v>0</v>
      </c>
      <c r="DU336" s="113">
        <v>0</v>
      </c>
      <c r="DV336" s="113">
        <v>0</v>
      </c>
      <c r="DW336" s="113">
        <v>0</v>
      </c>
      <c r="DX336" s="113">
        <v>0</v>
      </c>
      <c r="DY336" s="113">
        <v>0</v>
      </c>
      <c r="DZ336" s="113">
        <v>0</v>
      </c>
      <c r="EA336" s="113">
        <v>698</v>
      </c>
      <c r="EB336" s="113">
        <v>0</v>
      </c>
      <c r="EC336" s="113">
        <v>0</v>
      </c>
      <c r="ED336" s="113">
        <v>0</v>
      </c>
      <c r="EE336" s="113">
        <v>0</v>
      </c>
      <c r="EF336" s="113">
        <v>0</v>
      </c>
      <c r="EG336" s="113">
        <v>1186</v>
      </c>
      <c r="EH336" s="113">
        <v>0</v>
      </c>
      <c r="EI336" s="113">
        <v>0</v>
      </c>
      <c r="EJ336" s="113">
        <v>1</v>
      </c>
      <c r="EK336" s="113">
        <v>0</v>
      </c>
      <c r="EL336" s="113">
        <v>0</v>
      </c>
      <c r="EM336" s="113">
        <v>1043.2</v>
      </c>
      <c r="EN336" s="113">
        <v>0</v>
      </c>
      <c r="EO336" s="113">
        <v>0</v>
      </c>
      <c r="EP336" s="113">
        <v>0</v>
      </c>
      <c r="EQ336" s="113">
        <v>0</v>
      </c>
      <c r="ER336" s="113">
        <v>0</v>
      </c>
      <c r="ES336" s="30">
        <v>75</v>
      </c>
      <c r="ET336" s="30">
        <v>0</v>
      </c>
      <c r="EU336" s="30">
        <v>0</v>
      </c>
      <c r="EV336" s="30">
        <v>0</v>
      </c>
      <c r="EW336" s="113">
        <v>0</v>
      </c>
      <c r="EX336" s="113">
        <v>0</v>
      </c>
      <c r="EY336" s="30">
        <v>10</v>
      </c>
      <c r="EZ336" s="30">
        <v>0</v>
      </c>
      <c r="FA336" s="30">
        <v>0</v>
      </c>
      <c r="FB336" s="30">
        <v>0</v>
      </c>
      <c r="FC336" s="30">
        <v>0</v>
      </c>
      <c r="FD336" s="30">
        <v>0</v>
      </c>
      <c r="FE336" s="30">
        <v>9</v>
      </c>
      <c r="FF336" s="30">
        <v>0</v>
      </c>
      <c r="FG336" s="30">
        <v>0</v>
      </c>
      <c r="FH336" s="30">
        <v>0</v>
      </c>
      <c r="FI336" s="113">
        <v>0</v>
      </c>
      <c r="FJ336" s="113">
        <v>0</v>
      </c>
      <c r="FK336" s="30">
        <v>20</v>
      </c>
      <c r="FL336" s="113">
        <v>0</v>
      </c>
      <c r="FM336" s="113">
        <v>0</v>
      </c>
      <c r="FN336" s="30">
        <v>3479</v>
      </c>
      <c r="FO336" s="113">
        <v>0</v>
      </c>
      <c r="FP336" s="113">
        <v>0</v>
      </c>
      <c r="FQ336" s="30">
        <v>355</v>
      </c>
      <c r="FR336" s="113">
        <v>0</v>
      </c>
      <c r="FS336" s="113">
        <v>0</v>
      </c>
      <c r="FT336" s="113">
        <v>0</v>
      </c>
      <c r="FU336" s="113">
        <v>0</v>
      </c>
      <c r="FV336" s="113">
        <v>0</v>
      </c>
      <c r="FW336" s="30">
        <v>68</v>
      </c>
      <c r="FX336" s="32">
        <v>0</v>
      </c>
      <c r="FY336" s="30">
        <v>0</v>
      </c>
      <c r="FZ336" s="30">
        <v>-3</v>
      </c>
    </row>
    <row r="337" spans="1:182" x14ac:dyDescent="0.2">
      <c r="A337" s="28">
        <v>41821</v>
      </c>
      <c r="B337" s="28"/>
      <c r="C337" s="31">
        <v>160036.74</v>
      </c>
      <c r="D337" s="49">
        <v>289793.02999999997</v>
      </c>
      <c r="E337" s="29">
        <f t="shared" si="20"/>
        <v>449829.76999999996</v>
      </c>
      <c r="F337" s="49">
        <v>4111492.21</v>
      </c>
      <c r="G337" s="49">
        <v>616302.95999999985</v>
      </c>
      <c r="H337" s="30">
        <f t="shared" si="19"/>
        <v>4727795.17</v>
      </c>
      <c r="I337" s="42" t="s">
        <v>75</v>
      </c>
      <c r="J337" s="42" t="s">
        <v>75</v>
      </c>
      <c r="K337" s="83">
        <v>10040505.359999999</v>
      </c>
      <c r="L337" s="31" t="s">
        <v>75</v>
      </c>
      <c r="M337" s="31" t="s">
        <v>75</v>
      </c>
      <c r="N337" s="49">
        <v>24956863.689999998</v>
      </c>
      <c r="O337" s="31" t="s">
        <v>75</v>
      </c>
      <c r="P337" s="31" t="s">
        <v>75</v>
      </c>
      <c r="Q337" s="31">
        <v>19033693.030000001</v>
      </c>
      <c r="R337" s="31" t="s">
        <v>75</v>
      </c>
      <c r="S337" s="31" t="s">
        <v>75</v>
      </c>
      <c r="T337" s="31">
        <v>172126.46999999997</v>
      </c>
      <c r="U337" s="31">
        <v>3424.04</v>
      </c>
      <c r="V337" s="31">
        <v>2123.41</v>
      </c>
      <c r="W337" s="31">
        <f t="shared" si="21"/>
        <v>5547.45</v>
      </c>
      <c r="X337" s="31">
        <v>54362.539999999994</v>
      </c>
      <c r="Y337" s="31">
        <v>12439.3</v>
      </c>
      <c r="Z337" s="30">
        <f t="shared" si="22"/>
        <v>66801.84</v>
      </c>
      <c r="AA337" s="31">
        <v>152563.96999999997</v>
      </c>
      <c r="AB337" s="31">
        <v>20364.309999999998</v>
      </c>
      <c r="AC337" s="30">
        <f t="shared" si="23"/>
        <v>172928.27999999997</v>
      </c>
      <c r="AD337" s="49">
        <v>3069.96</v>
      </c>
      <c r="AE337" s="49">
        <v>5751.1899999999987</v>
      </c>
      <c r="AF337" s="30">
        <f t="shared" si="24"/>
        <v>8821.1499999999978</v>
      </c>
      <c r="AG337" s="42">
        <v>26505.949999999997</v>
      </c>
      <c r="AH337" s="83">
        <v>41955.939999999988</v>
      </c>
      <c r="AI337" s="32">
        <f t="shared" si="25"/>
        <v>68461.889999999985</v>
      </c>
      <c r="AJ337" s="31" t="s">
        <v>75</v>
      </c>
      <c r="AK337" s="31" t="s">
        <v>75</v>
      </c>
      <c r="AL337" s="31">
        <v>53476.25</v>
      </c>
      <c r="AM337" s="31"/>
      <c r="AN337" s="31"/>
      <c r="AO337" s="31"/>
      <c r="AP337" s="31"/>
      <c r="AQ337" s="31"/>
      <c r="AR337" s="31"/>
      <c r="AS337" s="31" t="s">
        <v>75</v>
      </c>
      <c r="AT337" s="31" t="s">
        <v>75</v>
      </c>
      <c r="AU337" s="35">
        <v>1613175.25</v>
      </c>
      <c r="AV337" s="31" t="s">
        <v>75</v>
      </c>
      <c r="AW337" s="31" t="s">
        <v>75</v>
      </c>
      <c r="AX337" s="36">
        <v>45250.17</v>
      </c>
      <c r="AY337" s="32">
        <v>8884219.6999999993</v>
      </c>
      <c r="AZ337" s="32">
        <v>1164184</v>
      </c>
      <c r="BA337" s="29">
        <f t="shared" si="16"/>
        <v>10048403.699999999</v>
      </c>
      <c r="BB337" s="31" t="s">
        <v>75</v>
      </c>
      <c r="BC337" s="31" t="s">
        <v>75</v>
      </c>
      <c r="BD337" s="31">
        <v>1448918.5333333332</v>
      </c>
      <c r="BE337" s="113">
        <v>0</v>
      </c>
      <c r="BF337" s="113">
        <v>0</v>
      </c>
      <c r="BG337" s="38">
        <v>244</v>
      </c>
      <c r="BH337" s="38">
        <v>0</v>
      </c>
      <c r="BI337" s="38">
        <v>0</v>
      </c>
      <c r="BJ337" s="38">
        <v>0</v>
      </c>
      <c r="BK337" s="113">
        <v>0</v>
      </c>
      <c r="BL337" s="113">
        <v>0</v>
      </c>
      <c r="BM337" s="38">
        <v>182</v>
      </c>
      <c r="BN337" s="38">
        <v>0</v>
      </c>
      <c r="BO337" s="38">
        <v>0</v>
      </c>
      <c r="BP337" s="38">
        <v>0</v>
      </c>
      <c r="BQ337" s="113">
        <v>0</v>
      </c>
      <c r="BR337" s="113">
        <v>0</v>
      </c>
      <c r="BS337" s="38">
        <v>235</v>
      </c>
      <c r="BT337" s="38">
        <v>0</v>
      </c>
      <c r="BU337" s="38">
        <v>0</v>
      </c>
      <c r="BV337" s="38">
        <v>0</v>
      </c>
      <c r="BW337" s="38"/>
      <c r="BX337" s="38"/>
      <c r="BY337" s="38"/>
      <c r="BZ337" s="113">
        <v>0</v>
      </c>
      <c r="CA337" s="113">
        <v>0</v>
      </c>
      <c r="CB337" s="113">
        <v>251</v>
      </c>
      <c r="CC337" s="113"/>
      <c r="CD337" s="113"/>
      <c r="CE337" s="113"/>
      <c r="CF337" s="113">
        <v>0</v>
      </c>
      <c r="CG337" s="113">
        <v>0</v>
      </c>
      <c r="CH337" s="30">
        <v>4</v>
      </c>
      <c r="CI337" s="113">
        <v>0</v>
      </c>
      <c r="CJ337" s="113">
        <v>0</v>
      </c>
      <c r="CK337" s="30">
        <v>27</v>
      </c>
      <c r="CL337" s="30">
        <v>0</v>
      </c>
      <c r="CM337" s="30">
        <v>0</v>
      </c>
      <c r="CN337" s="30">
        <v>0</v>
      </c>
      <c r="CO337" s="113">
        <v>0</v>
      </c>
      <c r="CP337" s="113">
        <v>0</v>
      </c>
      <c r="CQ337" s="30">
        <v>8</v>
      </c>
      <c r="CR337" s="30">
        <v>0</v>
      </c>
      <c r="CS337" s="30">
        <v>0</v>
      </c>
      <c r="CT337" s="30">
        <v>0</v>
      </c>
      <c r="CU337" s="113">
        <v>0</v>
      </c>
      <c r="CV337" s="113">
        <v>0</v>
      </c>
      <c r="CW337" s="30">
        <v>240</v>
      </c>
      <c r="CX337" s="30">
        <v>0</v>
      </c>
      <c r="CY337" s="30">
        <v>0</v>
      </c>
      <c r="CZ337" s="30">
        <v>0</v>
      </c>
      <c r="DA337" s="113">
        <v>0</v>
      </c>
      <c r="DB337" s="113">
        <v>0</v>
      </c>
      <c r="DC337" s="113">
        <v>0</v>
      </c>
      <c r="DD337" s="113">
        <v>0</v>
      </c>
      <c r="DE337" s="113">
        <v>0</v>
      </c>
      <c r="DF337" s="113">
        <v>0</v>
      </c>
      <c r="DG337" s="113">
        <v>0</v>
      </c>
      <c r="DH337" s="113">
        <v>0</v>
      </c>
      <c r="DI337" s="30">
        <v>6</v>
      </c>
      <c r="DJ337" s="30">
        <v>0</v>
      </c>
      <c r="DK337" s="30">
        <v>0</v>
      </c>
      <c r="DL337" s="30">
        <v>0</v>
      </c>
      <c r="DM337" s="113">
        <v>0</v>
      </c>
      <c r="DN337" s="113">
        <v>0</v>
      </c>
      <c r="DO337" s="113">
        <v>0</v>
      </c>
      <c r="DP337" s="113">
        <v>0</v>
      </c>
      <c r="DQ337" s="113">
        <v>0</v>
      </c>
      <c r="DR337" s="113">
        <v>0</v>
      </c>
      <c r="DS337" s="113">
        <v>0</v>
      </c>
      <c r="DT337" s="113">
        <v>0</v>
      </c>
      <c r="DU337" s="113">
        <v>0</v>
      </c>
      <c r="DV337" s="113">
        <v>0</v>
      </c>
      <c r="DW337" s="113">
        <v>0</v>
      </c>
      <c r="DX337" s="113">
        <v>0</v>
      </c>
      <c r="DY337" s="113">
        <v>0</v>
      </c>
      <c r="DZ337" s="113">
        <v>0</v>
      </c>
      <c r="EA337" s="113">
        <v>822</v>
      </c>
      <c r="EB337" s="113">
        <v>0</v>
      </c>
      <c r="EC337" s="113">
        <v>0</v>
      </c>
      <c r="ED337" s="113">
        <v>0</v>
      </c>
      <c r="EE337" s="113">
        <v>0</v>
      </c>
      <c r="EF337" s="113">
        <v>0</v>
      </c>
      <c r="EG337" s="113">
        <v>1386</v>
      </c>
      <c r="EH337" s="113">
        <v>0</v>
      </c>
      <c r="EI337" s="113">
        <v>0</v>
      </c>
      <c r="EJ337" s="113">
        <v>0</v>
      </c>
      <c r="EK337" s="113">
        <v>0</v>
      </c>
      <c r="EL337" s="113">
        <v>0</v>
      </c>
      <c r="EM337" s="113">
        <v>928</v>
      </c>
      <c r="EN337" s="113">
        <v>0</v>
      </c>
      <c r="EO337" s="113">
        <v>0</v>
      </c>
      <c r="EP337" s="113">
        <v>0</v>
      </c>
      <c r="EQ337" s="113">
        <v>0</v>
      </c>
      <c r="ER337" s="113">
        <v>0</v>
      </c>
      <c r="ES337" s="30">
        <v>36</v>
      </c>
      <c r="ET337" s="30">
        <v>0</v>
      </c>
      <c r="EU337" s="30">
        <v>0</v>
      </c>
      <c r="EV337" s="30">
        <v>0</v>
      </c>
      <c r="EW337" s="113">
        <v>0</v>
      </c>
      <c r="EX337" s="113">
        <v>0</v>
      </c>
      <c r="EY337" s="30">
        <v>1</v>
      </c>
      <c r="EZ337" s="30">
        <v>0</v>
      </c>
      <c r="FA337" s="30">
        <v>0</v>
      </c>
      <c r="FB337" s="30">
        <v>0</v>
      </c>
      <c r="FC337" s="30">
        <v>0</v>
      </c>
      <c r="FD337" s="30">
        <v>0</v>
      </c>
      <c r="FE337" s="30">
        <v>21</v>
      </c>
      <c r="FF337" s="30">
        <v>0</v>
      </c>
      <c r="FG337" s="30">
        <v>0</v>
      </c>
      <c r="FH337" s="30">
        <v>0</v>
      </c>
      <c r="FI337" s="113">
        <v>0</v>
      </c>
      <c r="FJ337" s="113">
        <v>0</v>
      </c>
      <c r="FK337" s="30">
        <v>93</v>
      </c>
      <c r="FL337" s="113">
        <v>0</v>
      </c>
      <c r="FM337" s="113">
        <v>0</v>
      </c>
      <c r="FN337" s="30">
        <v>4078</v>
      </c>
      <c r="FO337" s="113">
        <v>0</v>
      </c>
      <c r="FP337" s="113">
        <v>0</v>
      </c>
      <c r="FQ337" s="30">
        <v>534</v>
      </c>
      <c r="FR337" s="113">
        <v>0</v>
      </c>
      <c r="FS337" s="113">
        <v>0</v>
      </c>
      <c r="FT337" s="113">
        <v>0</v>
      </c>
      <c r="FU337" s="113">
        <v>0</v>
      </c>
      <c r="FV337" s="113">
        <v>0</v>
      </c>
      <c r="FW337" s="30">
        <v>66</v>
      </c>
      <c r="FX337" s="32">
        <v>0</v>
      </c>
      <c r="FY337" s="30">
        <v>0</v>
      </c>
      <c r="FZ337" s="30">
        <v>1</v>
      </c>
    </row>
    <row r="338" spans="1:182" x14ac:dyDescent="0.2">
      <c r="A338" s="28">
        <v>41852</v>
      </c>
      <c r="B338" s="28"/>
      <c r="C338" s="31">
        <v>173868.3</v>
      </c>
      <c r="D338" s="49">
        <v>259356.33000000002</v>
      </c>
      <c r="E338" s="29">
        <f t="shared" si="20"/>
        <v>433224.63</v>
      </c>
      <c r="F338" s="49">
        <v>5857198.4299999997</v>
      </c>
      <c r="G338" s="49">
        <v>755443.43</v>
      </c>
      <c r="H338" s="30">
        <f t="shared" si="19"/>
        <v>6612641.8599999994</v>
      </c>
      <c r="I338" s="42" t="s">
        <v>75</v>
      </c>
      <c r="J338" s="42" t="s">
        <v>75</v>
      </c>
      <c r="K338" s="83">
        <v>18280223.050000001</v>
      </c>
      <c r="L338" s="31" t="s">
        <v>75</v>
      </c>
      <c r="M338" s="31" t="s">
        <v>75</v>
      </c>
      <c r="N338" s="49">
        <v>25255699.789999999</v>
      </c>
      <c r="O338" s="31" t="s">
        <v>75</v>
      </c>
      <c r="P338" s="31" t="s">
        <v>75</v>
      </c>
      <c r="Q338" s="31">
        <v>20028695.300000001</v>
      </c>
      <c r="R338" s="31" t="s">
        <v>75</v>
      </c>
      <c r="S338" s="31" t="s">
        <v>75</v>
      </c>
      <c r="T338" s="31">
        <v>144932.26</v>
      </c>
      <c r="U338" s="31">
        <v>4738.5</v>
      </c>
      <c r="V338" s="31">
        <v>2512.81</v>
      </c>
      <c r="W338" s="31">
        <f t="shared" si="21"/>
        <v>7251.3099999999995</v>
      </c>
      <c r="X338" s="31">
        <v>40414.67</v>
      </c>
      <c r="Y338" s="31">
        <v>2374</v>
      </c>
      <c r="Z338" s="30">
        <f t="shared" si="22"/>
        <v>42788.67</v>
      </c>
      <c r="AA338" s="31">
        <v>131019.39</v>
      </c>
      <c r="AB338" s="31">
        <v>20548.409999999996</v>
      </c>
      <c r="AC338" s="30">
        <f t="shared" si="23"/>
        <v>151567.79999999999</v>
      </c>
      <c r="AD338" s="49">
        <v>4711.04</v>
      </c>
      <c r="AE338" s="49">
        <v>15022.660000000002</v>
      </c>
      <c r="AF338" s="30">
        <f t="shared" si="24"/>
        <v>19733.7</v>
      </c>
      <c r="AG338" s="42">
        <v>28960.670000000002</v>
      </c>
      <c r="AH338" s="83">
        <v>50646.1</v>
      </c>
      <c r="AI338" s="32">
        <f t="shared" si="25"/>
        <v>79606.77</v>
      </c>
      <c r="AJ338" s="31" t="s">
        <v>75</v>
      </c>
      <c r="AK338" s="31" t="s">
        <v>75</v>
      </c>
      <c r="AL338" s="31">
        <v>57523.75</v>
      </c>
      <c r="AM338" s="31"/>
      <c r="AN338" s="31"/>
      <c r="AO338" s="31"/>
      <c r="AP338" s="31"/>
      <c r="AQ338" s="31"/>
      <c r="AR338" s="31"/>
      <c r="AS338" s="31" t="s">
        <v>75</v>
      </c>
      <c r="AT338" s="31" t="s">
        <v>75</v>
      </c>
      <c r="AU338" s="35">
        <v>1429735.09</v>
      </c>
      <c r="AV338" s="31" t="s">
        <v>75</v>
      </c>
      <c r="AW338" s="31" t="s">
        <v>75</v>
      </c>
      <c r="AX338" s="36">
        <v>47132.39</v>
      </c>
      <c r="AY338" s="32">
        <v>8399339.0999999996</v>
      </c>
      <c r="AZ338" s="32">
        <v>1352733.5</v>
      </c>
      <c r="BA338" s="29">
        <f t="shared" si="16"/>
        <v>9752072.5999999996</v>
      </c>
      <c r="BB338" s="31" t="s">
        <v>75</v>
      </c>
      <c r="BC338" s="31" t="s">
        <v>75</v>
      </c>
      <c r="BD338" s="31">
        <v>1365530.0888888889</v>
      </c>
      <c r="BE338" s="113">
        <v>0</v>
      </c>
      <c r="BF338" s="113">
        <v>0</v>
      </c>
      <c r="BG338" s="38">
        <v>111</v>
      </c>
      <c r="BH338" s="38">
        <v>0</v>
      </c>
      <c r="BI338" s="38">
        <v>0</v>
      </c>
      <c r="BJ338" s="38">
        <v>0</v>
      </c>
      <c r="BK338" s="113">
        <v>0</v>
      </c>
      <c r="BL338" s="113">
        <v>0</v>
      </c>
      <c r="BM338" s="38">
        <v>150</v>
      </c>
      <c r="BN338" s="38">
        <v>0</v>
      </c>
      <c r="BO338" s="38">
        <v>0</v>
      </c>
      <c r="BP338" s="38">
        <v>0</v>
      </c>
      <c r="BQ338" s="113">
        <v>0</v>
      </c>
      <c r="BR338" s="113">
        <v>0</v>
      </c>
      <c r="BS338" s="38">
        <v>130</v>
      </c>
      <c r="BT338" s="38">
        <v>0</v>
      </c>
      <c r="BU338" s="38">
        <v>0</v>
      </c>
      <c r="BV338" s="38">
        <v>0</v>
      </c>
      <c r="BW338" s="38"/>
      <c r="BX338" s="38"/>
      <c r="BY338" s="38"/>
      <c r="BZ338" s="113">
        <v>0</v>
      </c>
      <c r="CA338" s="113">
        <v>0</v>
      </c>
      <c r="CB338" s="113">
        <v>230</v>
      </c>
      <c r="CC338" s="113"/>
      <c r="CD338" s="113"/>
      <c r="CE338" s="113"/>
      <c r="CF338" s="113">
        <v>0</v>
      </c>
      <c r="CG338" s="113">
        <v>0</v>
      </c>
      <c r="CH338" s="30">
        <v>3</v>
      </c>
      <c r="CI338" s="113">
        <v>0</v>
      </c>
      <c r="CJ338" s="113">
        <v>0</v>
      </c>
      <c r="CK338" s="30">
        <v>37</v>
      </c>
      <c r="CL338" s="30">
        <v>0</v>
      </c>
      <c r="CM338" s="30">
        <v>0</v>
      </c>
      <c r="CN338" s="30">
        <v>0</v>
      </c>
      <c r="CO338" s="113">
        <v>0</v>
      </c>
      <c r="CP338" s="113">
        <v>0</v>
      </c>
      <c r="CQ338" s="30">
        <v>1</v>
      </c>
      <c r="CR338" s="30">
        <v>0</v>
      </c>
      <c r="CS338" s="30">
        <v>0</v>
      </c>
      <c r="CT338" s="30">
        <v>0</v>
      </c>
      <c r="CU338" s="113">
        <v>0</v>
      </c>
      <c r="CV338" s="113">
        <v>0</v>
      </c>
      <c r="CW338" s="30">
        <v>173</v>
      </c>
      <c r="CX338" s="30">
        <v>0</v>
      </c>
      <c r="CY338" s="30">
        <v>0</v>
      </c>
      <c r="CZ338" s="30">
        <v>0</v>
      </c>
      <c r="DA338" s="113">
        <v>0</v>
      </c>
      <c r="DB338" s="113">
        <v>0</v>
      </c>
      <c r="DC338" s="113">
        <v>1</v>
      </c>
      <c r="DD338" s="113">
        <v>0</v>
      </c>
      <c r="DE338" s="113">
        <v>0</v>
      </c>
      <c r="DF338" s="113">
        <v>0</v>
      </c>
      <c r="DG338" s="113">
        <v>0</v>
      </c>
      <c r="DH338" s="113">
        <v>0</v>
      </c>
      <c r="DI338" s="30">
        <v>2</v>
      </c>
      <c r="DJ338" s="30">
        <v>0</v>
      </c>
      <c r="DK338" s="30">
        <v>0</v>
      </c>
      <c r="DL338" s="30">
        <v>0</v>
      </c>
      <c r="DM338" s="113">
        <v>0</v>
      </c>
      <c r="DN338" s="113">
        <v>0</v>
      </c>
      <c r="DO338" s="113">
        <v>0</v>
      </c>
      <c r="DP338" s="113">
        <v>0</v>
      </c>
      <c r="DQ338" s="113">
        <v>0</v>
      </c>
      <c r="DR338" s="113">
        <v>0</v>
      </c>
      <c r="DS338" s="113">
        <v>0</v>
      </c>
      <c r="DT338" s="113">
        <v>0</v>
      </c>
      <c r="DU338" s="113">
        <v>2</v>
      </c>
      <c r="DV338" s="113">
        <v>0</v>
      </c>
      <c r="DW338" s="113">
        <v>0</v>
      </c>
      <c r="DX338" s="113">
        <v>0</v>
      </c>
      <c r="DY338" s="113">
        <v>0</v>
      </c>
      <c r="DZ338" s="113">
        <v>0</v>
      </c>
      <c r="EA338" s="113">
        <v>675</v>
      </c>
      <c r="EB338" s="113">
        <v>0</v>
      </c>
      <c r="EC338" s="113">
        <v>0</v>
      </c>
      <c r="ED338" s="113">
        <v>0</v>
      </c>
      <c r="EE338" s="113">
        <v>0</v>
      </c>
      <c r="EF338" s="113">
        <v>0</v>
      </c>
      <c r="EG338" s="113">
        <v>1150</v>
      </c>
      <c r="EH338" s="113">
        <v>0</v>
      </c>
      <c r="EI338" s="113">
        <v>0</v>
      </c>
      <c r="EJ338" s="113">
        <v>0</v>
      </c>
      <c r="EK338" s="113">
        <v>0</v>
      </c>
      <c r="EL338" s="113">
        <v>0</v>
      </c>
      <c r="EM338" s="113">
        <v>959</v>
      </c>
      <c r="EN338" s="113">
        <v>0</v>
      </c>
      <c r="EO338" s="113">
        <v>0</v>
      </c>
      <c r="EP338" s="113">
        <v>0</v>
      </c>
      <c r="EQ338" s="113">
        <v>0</v>
      </c>
      <c r="ER338" s="113">
        <v>0</v>
      </c>
      <c r="ES338" s="30">
        <v>84</v>
      </c>
      <c r="ET338" s="30">
        <v>0</v>
      </c>
      <c r="EU338" s="30">
        <v>0</v>
      </c>
      <c r="EV338" s="30">
        <v>0</v>
      </c>
      <c r="EW338" s="113">
        <v>0</v>
      </c>
      <c r="EX338" s="113">
        <v>0</v>
      </c>
      <c r="EY338" s="30">
        <v>10</v>
      </c>
      <c r="EZ338" s="30">
        <v>0</v>
      </c>
      <c r="FA338" s="30">
        <v>0</v>
      </c>
      <c r="FB338" s="30">
        <v>0</v>
      </c>
      <c r="FC338" s="30">
        <v>0</v>
      </c>
      <c r="FD338" s="30">
        <v>0</v>
      </c>
      <c r="FE338" s="30">
        <v>7</v>
      </c>
      <c r="FF338" s="30">
        <v>0</v>
      </c>
      <c r="FG338" s="30">
        <v>0</v>
      </c>
      <c r="FH338" s="30">
        <v>0</v>
      </c>
      <c r="FI338" s="113">
        <v>0</v>
      </c>
      <c r="FJ338" s="113">
        <v>0</v>
      </c>
      <c r="FK338" s="30">
        <v>49</v>
      </c>
      <c r="FL338" s="113">
        <v>0</v>
      </c>
      <c r="FM338" s="113">
        <v>0</v>
      </c>
      <c r="FN338" s="30">
        <v>3884</v>
      </c>
      <c r="FO338" s="113">
        <v>0</v>
      </c>
      <c r="FP338" s="113">
        <v>0</v>
      </c>
      <c r="FQ338" s="30">
        <v>379</v>
      </c>
      <c r="FR338" s="113">
        <v>0</v>
      </c>
      <c r="FS338" s="113">
        <v>0</v>
      </c>
      <c r="FT338" s="113">
        <v>0</v>
      </c>
      <c r="FU338" s="113">
        <v>0</v>
      </c>
      <c r="FV338" s="113">
        <v>0</v>
      </c>
      <c r="FW338" s="30">
        <v>93</v>
      </c>
      <c r="FX338" s="32">
        <v>0</v>
      </c>
      <c r="FY338" s="30">
        <v>0</v>
      </c>
      <c r="FZ338" s="30">
        <v>0</v>
      </c>
    </row>
    <row r="339" spans="1:182" x14ac:dyDescent="0.2">
      <c r="A339" s="28">
        <v>41883</v>
      </c>
      <c r="B339" s="100">
        <f t="shared" ref="B339:B402" si="26">+E339+H339+K339+N339+Q339+W339+T339+Z339+AC339+AF339+AI339+AL339+AO339+AR339</f>
        <v>70331837.770000011</v>
      </c>
      <c r="C339" s="31">
        <v>230722.66</v>
      </c>
      <c r="D339" s="49">
        <v>327592.68</v>
      </c>
      <c r="E339" s="29">
        <f t="shared" si="20"/>
        <v>558315.34</v>
      </c>
      <c r="F339" s="49">
        <v>6020727.4800000004</v>
      </c>
      <c r="G339" s="49">
        <v>821118.01</v>
      </c>
      <c r="H339" s="30">
        <f t="shared" si="19"/>
        <v>6841845.4900000002</v>
      </c>
      <c r="I339" s="42" t="s">
        <v>75</v>
      </c>
      <c r="J339" s="42" t="s">
        <v>75</v>
      </c>
      <c r="K339" s="83">
        <v>14656702.219999999</v>
      </c>
      <c r="L339" s="31" t="s">
        <v>75</v>
      </c>
      <c r="M339" s="31" t="s">
        <v>75</v>
      </c>
      <c r="N339" s="48">
        <v>26140262.399999999</v>
      </c>
      <c r="O339" s="31" t="s">
        <v>75</v>
      </c>
      <c r="P339" s="31" t="s">
        <v>75</v>
      </c>
      <c r="Q339" s="31">
        <v>21610140.75</v>
      </c>
      <c r="R339" s="31" t="s">
        <v>75</v>
      </c>
      <c r="S339" s="31" t="s">
        <v>75</v>
      </c>
      <c r="T339" s="31">
        <v>136801.9</v>
      </c>
      <c r="U339" s="31">
        <v>5038.16</v>
      </c>
      <c r="V339" s="31">
        <v>5319.07</v>
      </c>
      <c r="W339" s="31">
        <f t="shared" si="21"/>
        <v>10357.23</v>
      </c>
      <c r="X339" s="31">
        <v>72773.440000000002</v>
      </c>
      <c r="Y339" s="31">
        <v>5963.85</v>
      </c>
      <c r="Z339" s="30">
        <f t="shared" si="22"/>
        <v>78737.290000000008</v>
      </c>
      <c r="AA339" s="31">
        <v>110296.50000000001</v>
      </c>
      <c r="AB339" s="31">
        <v>28769.789999999994</v>
      </c>
      <c r="AC339" s="30">
        <f t="shared" si="23"/>
        <v>139066.29</v>
      </c>
      <c r="AD339" s="49">
        <v>7257</v>
      </c>
      <c r="AE339" s="49">
        <v>12539.5</v>
      </c>
      <c r="AF339" s="30">
        <f t="shared" si="24"/>
        <v>19796.5</v>
      </c>
      <c r="AG339" s="42">
        <v>27581.850000000002</v>
      </c>
      <c r="AH339" s="83">
        <v>55943.010000000017</v>
      </c>
      <c r="AI339" s="32">
        <f t="shared" si="25"/>
        <v>83524.860000000015</v>
      </c>
      <c r="AJ339" s="31" t="s">
        <v>75</v>
      </c>
      <c r="AK339" s="31" t="s">
        <v>75</v>
      </c>
      <c r="AL339" s="31">
        <v>56287.5</v>
      </c>
      <c r="AM339" s="31"/>
      <c r="AN339" s="31"/>
      <c r="AO339" s="31"/>
      <c r="AP339" s="31"/>
      <c r="AQ339" s="31"/>
      <c r="AR339" s="31"/>
      <c r="AS339" s="31" t="s">
        <v>75</v>
      </c>
      <c r="AT339" s="31" t="s">
        <v>75</v>
      </c>
      <c r="AU339" s="35">
        <v>1594779.64</v>
      </c>
      <c r="AV339" s="31" t="s">
        <v>75</v>
      </c>
      <c r="AW339" s="31" t="s">
        <v>75</v>
      </c>
      <c r="AX339" s="36">
        <v>47880.01</v>
      </c>
      <c r="AY339" s="32">
        <v>8685507.9000000004</v>
      </c>
      <c r="AZ339" s="32">
        <v>927557.5</v>
      </c>
      <c r="BA339" s="29">
        <f t="shared" si="16"/>
        <v>9613065.4000000004</v>
      </c>
      <c r="BB339" s="31" t="s">
        <v>75</v>
      </c>
      <c r="BC339" s="31" t="s">
        <v>75</v>
      </c>
      <c r="BD339" s="31">
        <v>1475093.8444444444</v>
      </c>
      <c r="BE339" s="113">
        <v>0</v>
      </c>
      <c r="BF339" s="113">
        <v>0</v>
      </c>
      <c r="BG339" s="38">
        <v>164</v>
      </c>
      <c r="BH339" s="38">
        <v>0</v>
      </c>
      <c r="BI339" s="38">
        <v>0</v>
      </c>
      <c r="BJ339" s="38">
        <v>0</v>
      </c>
      <c r="BK339" s="113">
        <v>0</v>
      </c>
      <c r="BL339" s="113">
        <v>0</v>
      </c>
      <c r="BM339" s="38">
        <v>176</v>
      </c>
      <c r="BN339" s="38">
        <v>0</v>
      </c>
      <c r="BO339" s="38">
        <v>0</v>
      </c>
      <c r="BP339" s="38">
        <v>0</v>
      </c>
      <c r="BQ339" s="113">
        <v>0</v>
      </c>
      <c r="BR339" s="113">
        <v>0</v>
      </c>
      <c r="BS339" s="38">
        <v>307</v>
      </c>
      <c r="BT339" s="38">
        <v>0</v>
      </c>
      <c r="BU339" s="38">
        <v>0</v>
      </c>
      <c r="BV339" s="38">
        <v>0</v>
      </c>
      <c r="BW339" s="38"/>
      <c r="BX339" s="38"/>
      <c r="BY339" s="38"/>
      <c r="BZ339" s="113">
        <v>0</v>
      </c>
      <c r="CA339" s="113">
        <v>0</v>
      </c>
      <c r="CB339" s="113">
        <v>264</v>
      </c>
      <c r="CC339" s="113"/>
      <c r="CD339" s="113"/>
      <c r="CE339" s="113"/>
      <c r="CF339" s="113">
        <v>0</v>
      </c>
      <c r="CG339" s="113">
        <v>0</v>
      </c>
      <c r="CH339" s="30">
        <v>8</v>
      </c>
      <c r="CI339" s="113">
        <v>0</v>
      </c>
      <c r="CJ339" s="113">
        <v>0</v>
      </c>
      <c r="CK339" s="30">
        <v>21</v>
      </c>
      <c r="CL339" s="30">
        <v>0</v>
      </c>
      <c r="CM339" s="30">
        <v>0</v>
      </c>
      <c r="CN339" s="30">
        <v>0</v>
      </c>
      <c r="CO339" s="113">
        <v>0</v>
      </c>
      <c r="CP339" s="113">
        <v>0</v>
      </c>
      <c r="CQ339" s="30">
        <v>11</v>
      </c>
      <c r="CR339" s="30">
        <v>0</v>
      </c>
      <c r="CS339" s="30">
        <v>0</v>
      </c>
      <c r="CT339" s="30">
        <v>0</v>
      </c>
      <c r="CU339" s="113">
        <v>0</v>
      </c>
      <c r="CV339" s="113">
        <v>0</v>
      </c>
      <c r="CW339" s="30">
        <v>195</v>
      </c>
      <c r="CX339" s="30">
        <v>0</v>
      </c>
      <c r="CY339" s="30">
        <v>0</v>
      </c>
      <c r="CZ339" s="30">
        <v>0</v>
      </c>
      <c r="DA339" s="113">
        <v>0</v>
      </c>
      <c r="DB339" s="113">
        <v>0</v>
      </c>
      <c r="DC339" s="113">
        <v>1</v>
      </c>
      <c r="DD339" s="113">
        <v>0</v>
      </c>
      <c r="DE339" s="113">
        <v>0</v>
      </c>
      <c r="DF339" s="113">
        <v>0</v>
      </c>
      <c r="DG339" s="113">
        <v>0</v>
      </c>
      <c r="DH339" s="113">
        <v>0</v>
      </c>
      <c r="DI339" s="30">
        <v>4</v>
      </c>
      <c r="DJ339" s="30">
        <v>0</v>
      </c>
      <c r="DK339" s="30">
        <v>0</v>
      </c>
      <c r="DL339" s="30">
        <v>0</v>
      </c>
      <c r="DM339" s="113">
        <v>0</v>
      </c>
      <c r="DN339" s="113">
        <v>0</v>
      </c>
      <c r="DO339" s="113">
        <v>0</v>
      </c>
      <c r="DP339" s="113">
        <v>0</v>
      </c>
      <c r="DQ339" s="113">
        <v>0</v>
      </c>
      <c r="DR339" s="113">
        <v>0</v>
      </c>
      <c r="DS339" s="113">
        <v>0</v>
      </c>
      <c r="DT339" s="113">
        <v>0</v>
      </c>
      <c r="DU339" s="113">
        <v>0</v>
      </c>
      <c r="DV339" s="113">
        <v>0</v>
      </c>
      <c r="DW339" s="113">
        <v>0</v>
      </c>
      <c r="DX339" s="113">
        <v>0</v>
      </c>
      <c r="DY339" s="113">
        <v>0</v>
      </c>
      <c r="DZ339" s="113">
        <v>0</v>
      </c>
      <c r="EA339" s="113">
        <v>684</v>
      </c>
      <c r="EB339" s="113">
        <v>0</v>
      </c>
      <c r="EC339" s="113">
        <v>0</v>
      </c>
      <c r="ED339" s="113">
        <v>0</v>
      </c>
      <c r="EE339" s="113">
        <v>0</v>
      </c>
      <c r="EF339" s="113">
        <v>0</v>
      </c>
      <c r="EG339" s="113">
        <v>1460</v>
      </c>
      <c r="EH339" s="113">
        <v>0</v>
      </c>
      <c r="EI339" s="113">
        <v>0</v>
      </c>
      <c r="EJ339" s="113">
        <v>0</v>
      </c>
      <c r="EK339" s="113">
        <v>0</v>
      </c>
      <c r="EL339" s="113">
        <v>0</v>
      </c>
      <c r="EM339" s="113">
        <v>975</v>
      </c>
      <c r="EN339" s="113">
        <v>0</v>
      </c>
      <c r="EO339" s="113">
        <v>0</v>
      </c>
      <c r="EP339" s="113">
        <v>0</v>
      </c>
      <c r="EQ339" s="113">
        <v>0</v>
      </c>
      <c r="ER339" s="113">
        <v>0</v>
      </c>
      <c r="ES339" s="30">
        <v>55</v>
      </c>
      <c r="ET339" s="30">
        <v>0</v>
      </c>
      <c r="EU339" s="30">
        <v>0</v>
      </c>
      <c r="EV339" s="30">
        <v>1</v>
      </c>
      <c r="EW339" s="113">
        <v>0</v>
      </c>
      <c r="EX339" s="113">
        <v>0</v>
      </c>
      <c r="EY339" s="38">
        <v>9</v>
      </c>
      <c r="EZ339" s="38">
        <v>0</v>
      </c>
      <c r="FA339" s="38">
        <v>0</v>
      </c>
      <c r="FB339" s="38">
        <v>0</v>
      </c>
      <c r="FC339" s="38">
        <v>0</v>
      </c>
      <c r="FD339" s="38">
        <v>0</v>
      </c>
      <c r="FE339" s="38">
        <v>14</v>
      </c>
      <c r="FF339" s="38">
        <v>0</v>
      </c>
      <c r="FG339" s="38">
        <v>0</v>
      </c>
      <c r="FH339" s="38">
        <v>0</v>
      </c>
      <c r="FI339" s="113">
        <v>0</v>
      </c>
      <c r="FJ339" s="113">
        <v>0</v>
      </c>
      <c r="FK339" s="30">
        <v>63</v>
      </c>
      <c r="FL339" s="113">
        <v>0</v>
      </c>
      <c r="FM339" s="113">
        <v>0</v>
      </c>
      <c r="FN339" s="30">
        <v>3762</v>
      </c>
      <c r="FO339" s="113">
        <v>0</v>
      </c>
      <c r="FP339" s="113">
        <v>0</v>
      </c>
      <c r="FQ339" s="30">
        <v>508</v>
      </c>
      <c r="FR339" s="113">
        <v>0</v>
      </c>
      <c r="FS339" s="113">
        <v>0</v>
      </c>
      <c r="FT339" s="113">
        <v>0</v>
      </c>
      <c r="FU339" s="113">
        <v>0</v>
      </c>
      <c r="FV339" s="113">
        <v>0</v>
      </c>
      <c r="FW339" s="30">
        <v>421.99</v>
      </c>
      <c r="FX339" s="32">
        <v>0</v>
      </c>
      <c r="FY339" s="30">
        <v>0</v>
      </c>
      <c r="FZ339" s="30">
        <v>0</v>
      </c>
    </row>
    <row r="340" spans="1:182" x14ac:dyDescent="0.2">
      <c r="A340" s="28">
        <v>41913</v>
      </c>
      <c r="B340" s="100">
        <f t="shared" si="26"/>
        <v>83163611.299999997</v>
      </c>
      <c r="C340" s="31">
        <v>255435.86</v>
      </c>
      <c r="D340" s="49">
        <v>328308.42999999993</v>
      </c>
      <c r="E340" s="29">
        <f t="shared" si="20"/>
        <v>583744.28999999992</v>
      </c>
      <c r="F340" s="49">
        <v>10081376.739999998</v>
      </c>
      <c r="G340" s="49">
        <v>1265321.9699999995</v>
      </c>
      <c r="H340" s="30">
        <f t="shared" si="19"/>
        <v>11346698.709999997</v>
      </c>
      <c r="I340" s="42" t="s">
        <v>75</v>
      </c>
      <c r="J340" s="42" t="s">
        <v>75</v>
      </c>
      <c r="K340" s="83">
        <v>15988856.539999997</v>
      </c>
      <c r="L340" s="31" t="s">
        <v>75</v>
      </c>
      <c r="M340" s="31" t="s">
        <v>75</v>
      </c>
      <c r="N340" s="48">
        <v>28502234.670000002</v>
      </c>
      <c r="O340" s="31" t="s">
        <v>75</v>
      </c>
      <c r="P340" s="31" t="s">
        <v>75</v>
      </c>
      <c r="Q340" s="31">
        <v>26094463.640000001</v>
      </c>
      <c r="R340" s="31" t="s">
        <v>75</v>
      </c>
      <c r="S340" s="31" t="s">
        <v>75</v>
      </c>
      <c r="T340" s="31">
        <v>204551.62</v>
      </c>
      <c r="U340" s="31">
        <v>12382.49</v>
      </c>
      <c r="V340" s="31">
        <v>17803.760000000002</v>
      </c>
      <c r="W340" s="31">
        <f t="shared" si="21"/>
        <v>30186.25</v>
      </c>
      <c r="X340" s="31">
        <v>120545.67</v>
      </c>
      <c r="Y340" s="31">
        <v>5709</v>
      </c>
      <c r="Z340" s="30">
        <f t="shared" si="22"/>
        <v>126254.67</v>
      </c>
      <c r="AA340" s="31">
        <v>96143.41</v>
      </c>
      <c r="AB340" s="31">
        <v>19363.749999999996</v>
      </c>
      <c r="AC340" s="30">
        <f t="shared" si="23"/>
        <v>115507.16</v>
      </c>
      <c r="AD340" s="49">
        <v>11436.060000000001</v>
      </c>
      <c r="AE340" s="49">
        <v>23190.249999999996</v>
      </c>
      <c r="AF340" s="30">
        <f t="shared" si="24"/>
        <v>34626.31</v>
      </c>
      <c r="AG340" s="42">
        <v>24372.859999999997</v>
      </c>
      <c r="AH340" s="83">
        <v>55353.330000000009</v>
      </c>
      <c r="AI340" s="32">
        <f t="shared" si="25"/>
        <v>79726.19</v>
      </c>
      <c r="AJ340" s="31" t="s">
        <v>75</v>
      </c>
      <c r="AK340" s="31" t="s">
        <v>75</v>
      </c>
      <c r="AL340" s="31">
        <v>56761.25</v>
      </c>
      <c r="AM340" s="31"/>
      <c r="AN340" s="31"/>
      <c r="AO340" s="31"/>
      <c r="AP340" s="31"/>
      <c r="AQ340" s="31"/>
      <c r="AR340" s="31"/>
      <c r="AS340" s="31" t="s">
        <v>75</v>
      </c>
      <c r="AT340" s="31" t="s">
        <v>75</v>
      </c>
      <c r="AU340" s="35">
        <v>1657223.95</v>
      </c>
      <c r="AV340" s="31" t="s">
        <v>75</v>
      </c>
      <c r="AW340" s="31" t="s">
        <v>75</v>
      </c>
      <c r="AX340" s="36">
        <v>43040</v>
      </c>
      <c r="AY340" s="32">
        <v>9505737.1999999993</v>
      </c>
      <c r="AZ340" s="32">
        <v>1021621.5</v>
      </c>
      <c r="BA340" s="29">
        <f t="shared" si="16"/>
        <v>10527358.699999999</v>
      </c>
      <c r="BB340" s="31" t="s">
        <v>75</v>
      </c>
      <c r="BC340" s="31" t="s">
        <v>75</v>
      </c>
      <c r="BD340" s="31">
        <v>1533987.9111111111</v>
      </c>
      <c r="BE340" s="113">
        <v>0</v>
      </c>
      <c r="BF340" s="113">
        <v>0</v>
      </c>
      <c r="BG340" s="38">
        <v>230</v>
      </c>
      <c r="BH340" s="38">
        <v>0</v>
      </c>
      <c r="BI340" s="38">
        <v>0</v>
      </c>
      <c r="BJ340" s="38">
        <v>0</v>
      </c>
      <c r="BK340" s="113">
        <v>0</v>
      </c>
      <c r="BL340" s="113">
        <v>0</v>
      </c>
      <c r="BM340" s="38">
        <v>211</v>
      </c>
      <c r="BN340" s="38">
        <v>0</v>
      </c>
      <c r="BO340" s="38">
        <v>0</v>
      </c>
      <c r="BP340" s="38">
        <v>0</v>
      </c>
      <c r="BQ340" s="113">
        <v>0</v>
      </c>
      <c r="BR340" s="113">
        <v>0</v>
      </c>
      <c r="BS340" s="38">
        <v>230</v>
      </c>
      <c r="BT340" s="38">
        <v>0</v>
      </c>
      <c r="BU340" s="38">
        <v>0</v>
      </c>
      <c r="BV340" s="38">
        <v>0</v>
      </c>
      <c r="BW340" s="38"/>
      <c r="BX340" s="38"/>
      <c r="BY340" s="38"/>
      <c r="BZ340" s="113">
        <v>0</v>
      </c>
      <c r="CA340" s="113">
        <v>0</v>
      </c>
      <c r="CB340" s="113">
        <v>221</v>
      </c>
      <c r="CC340" s="113"/>
      <c r="CD340" s="113"/>
      <c r="CE340" s="113"/>
      <c r="CF340" s="113">
        <v>0</v>
      </c>
      <c r="CG340" s="113">
        <v>0</v>
      </c>
      <c r="CH340" s="30">
        <v>2</v>
      </c>
      <c r="CI340" s="113">
        <v>0</v>
      </c>
      <c r="CJ340" s="113">
        <v>0</v>
      </c>
      <c r="CK340" s="30">
        <v>14</v>
      </c>
      <c r="CL340" s="30">
        <v>0</v>
      </c>
      <c r="CM340" s="30">
        <v>0</v>
      </c>
      <c r="CN340" s="30">
        <v>0</v>
      </c>
      <c r="CO340" s="113">
        <v>0</v>
      </c>
      <c r="CP340" s="113">
        <v>0</v>
      </c>
      <c r="CQ340" s="30">
        <v>7</v>
      </c>
      <c r="CR340" s="30">
        <v>0</v>
      </c>
      <c r="CS340" s="30">
        <v>0</v>
      </c>
      <c r="CT340" s="30">
        <v>0</v>
      </c>
      <c r="CU340" s="113">
        <v>0</v>
      </c>
      <c r="CV340" s="113">
        <v>0</v>
      </c>
      <c r="CW340" s="30">
        <v>213</v>
      </c>
      <c r="CX340" s="30">
        <v>0</v>
      </c>
      <c r="CY340" s="30">
        <v>0</v>
      </c>
      <c r="CZ340" s="30">
        <v>0</v>
      </c>
      <c r="DA340" s="113">
        <v>0</v>
      </c>
      <c r="DB340" s="113">
        <v>0</v>
      </c>
      <c r="DC340" s="113">
        <v>0</v>
      </c>
      <c r="DD340" s="113">
        <v>0</v>
      </c>
      <c r="DE340" s="113">
        <v>0</v>
      </c>
      <c r="DF340" s="113">
        <v>0</v>
      </c>
      <c r="DG340" s="113">
        <v>0</v>
      </c>
      <c r="DH340" s="113">
        <v>0</v>
      </c>
      <c r="DI340" s="30">
        <v>5</v>
      </c>
      <c r="DJ340" s="30">
        <v>0</v>
      </c>
      <c r="DK340" s="30">
        <v>0</v>
      </c>
      <c r="DL340" s="30">
        <v>0</v>
      </c>
      <c r="DM340" s="113">
        <v>0</v>
      </c>
      <c r="DN340" s="113">
        <v>0</v>
      </c>
      <c r="DO340" s="113">
        <v>0</v>
      </c>
      <c r="DP340" s="113">
        <v>0</v>
      </c>
      <c r="DQ340" s="113">
        <v>0</v>
      </c>
      <c r="DR340" s="113">
        <v>0</v>
      </c>
      <c r="DS340" s="113">
        <v>0</v>
      </c>
      <c r="DT340" s="113">
        <v>0</v>
      </c>
      <c r="DU340" s="113">
        <v>0</v>
      </c>
      <c r="DV340" s="113">
        <v>0</v>
      </c>
      <c r="DW340" s="113">
        <v>0</v>
      </c>
      <c r="DX340" s="113">
        <v>0</v>
      </c>
      <c r="DY340" s="113">
        <v>0</v>
      </c>
      <c r="DZ340" s="113">
        <v>0</v>
      </c>
      <c r="EA340" s="113">
        <v>539</v>
      </c>
      <c r="EB340" s="113">
        <v>0</v>
      </c>
      <c r="EC340" s="113">
        <v>0</v>
      </c>
      <c r="ED340" s="113">
        <v>0</v>
      </c>
      <c r="EE340" s="113">
        <v>0</v>
      </c>
      <c r="EF340" s="113">
        <v>0</v>
      </c>
      <c r="EG340" s="115">
        <v>13</v>
      </c>
      <c r="EH340" s="113">
        <v>0</v>
      </c>
      <c r="EI340" s="113">
        <v>0</v>
      </c>
      <c r="EJ340" s="113">
        <v>0</v>
      </c>
      <c r="EK340" s="113">
        <v>0</v>
      </c>
      <c r="EL340" s="113">
        <v>0</v>
      </c>
      <c r="EM340" s="113">
        <v>1011</v>
      </c>
      <c r="EN340" s="113">
        <v>0</v>
      </c>
      <c r="EO340" s="113">
        <v>0</v>
      </c>
      <c r="EP340" s="113">
        <v>0</v>
      </c>
      <c r="EQ340" s="113">
        <v>0</v>
      </c>
      <c r="ER340" s="113">
        <v>0</v>
      </c>
      <c r="ES340" s="30">
        <v>161</v>
      </c>
      <c r="ET340" s="30">
        <v>0</v>
      </c>
      <c r="EU340" s="30">
        <v>0</v>
      </c>
      <c r="EV340" s="30">
        <v>1</v>
      </c>
      <c r="EW340" s="113">
        <v>0</v>
      </c>
      <c r="EX340" s="113">
        <v>0</v>
      </c>
      <c r="EY340" s="38">
        <v>10</v>
      </c>
      <c r="EZ340" s="38">
        <v>0</v>
      </c>
      <c r="FA340" s="38">
        <v>0</v>
      </c>
      <c r="FB340" s="38">
        <v>0</v>
      </c>
      <c r="FC340" s="38">
        <v>0</v>
      </c>
      <c r="FD340" s="38">
        <v>0</v>
      </c>
      <c r="FE340" s="38">
        <v>8</v>
      </c>
      <c r="FF340" s="38">
        <v>0</v>
      </c>
      <c r="FG340" s="38">
        <v>0</v>
      </c>
      <c r="FH340" s="38">
        <v>0</v>
      </c>
      <c r="FI340" s="113">
        <v>0</v>
      </c>
      <c r="FJ340" s="113">
        <v>0</v>
      </c>
      <c r="FK340" s="30">
        <v>64</v>
      </c>
      <c r="FL340" s="113">
        <v>0</v>
      </c>
      <c r="FM340" s="113">
        <v>0</v>
      </c>
      <c r="FN340" s="30">
        <v>4347</v>
      </c>
      <c r="FO340" s="113">
        <v>0</v>
      </c>
      <c r="FP340" s="113">
        <v>0</v>
      </c>
      <c r="FQ340" s="30">
        <v>441</v>
      </c>
      <c r="FR340" s="113">
        <v>0</v>
      </c>
      <c r="FS340" s="113">
        <v>0</v>
      </c>
      <c r="FT340" s="113">
        <v>0</v>
      </c>
      <c r="FU340" s="113">
        <v>0</v>
      </c>
      <c r="FV340" s="113">
        <v>0</v>
      </c>
      <c r="FW340" s="30">
        <v>164</v>
      </c>
      <c r="FX340" s="32">
        <v>0</v>
      </c>
      <c r="FY340" s="30">
        <v>0</v>
      </c>
      <c r="FZ340" s="30">
        <v>0</v>
      </c>
    </row>
    <row r="341" spans="1:182" x14ac:dyDescent="0.2">
      <c r="A341" s="28">
        <v>41944</v>
      </c>
      <c r="B341" s="100">
        <f t="shared" si="26"/>
        <v>92587860.280000001</v>
      </c>
      <c r="C341" s="31">
        <v>272195.69</v>
      </c>
      <c r="D341" s="49">
        <v>485496.64000000007</v>
      </c>
      <c r="E341" s="29">
        <f t="shared" si="20"/>
        <v>757692.33000000007</v>
      </c>
      <c r="F341" s="49">
        <v>12502144.010000002</v>
      </c>
      <c r="G341" s="49">
        <v>1685032.5299999998</v>
      </c>
      <c r="H341" s="30">
        <f t="shared" si="19"/>
        <v>14187176.540000001</v>
      </c>
      <c r="I341" s="42" t="s">
        <v>75</v>
      </c>
      <c r="J341" s="42" t="s">
        <v>75</v>
      </c>
      <c r="K341" s="83">
        <v>16699638.649999999</v>
      </c>
      <c r="L341" s="31" t="s">
        <v>75</v>
      </c>
      <c r="M341" s="31" t="s">
        <v>75</v>
      </c>
      <c r="N341" s="48">
        <v>32354794.039999999</v>
      </c>
      <c r="O341" s="31" t="s">
        <v>75</v>
      </c>
      <c r="P341" s="31" t="s">
        <v>75</v>
      </c>
      <c r="Q341" s="31">
        <v>27913924.25</v>
      </c>
      <c r="R341" s="31" t="s">
        <v>75</v>
      </c>
      <c r="S341" s="31" t="s">
        <v>75</v>
      </c>
      <c r="T341" s="31">
        <v>129453.34</v>
      </c>
      <c r="U341" s="31">
        <v>17607.829999999998</v>
      </c>
      <c r="V341" s="31">
        <v>11805.59</v>
      </c>
      <c r="W341" s="31">
        <f t="shared" si="21"/>
        <v>29413.42</v>
      </c>
      <c r="X341" s="31">
        <v>157388.02000000002</v>
      </c>
      <c r="Y341" s="31">
        <v>6153.9500000000007</v>
      </c>
      <c r="Z341" s="30">
        <f t="shared" si="22"/>
        <v>163541.97000000003</v>
      </c>
      <c r="AA341" s="31">
        <v>81757.36</v>
      </c>
      <c r="AB341" s="31">
        <v>20232.09</v>
      </c>
      <c r="AC341" s="30">
        <f t="shared" si="23"/>
        <v>101989.45</v>
      </c>
      <c r="AD341" s="49">
        <v>12959.729999999998</v>
      </c>
      <c r="AE341" s="49">
        <v>50406.259999999995</v>
      </c>
      <c r="AF341" s="30">
        <f t="shared" si="24"/>
        <v>63365.989999999991</v>
      </c>
      <c r="AG341" s="42">
        <v>26109.57</v>
      </c>
      <c r="AH341" s="83">
        <v>83550.729999999981</v>
      </c>
      <c r="AI341" s="32">
        <f t="shared" si="25"/>
        <v>109660.29999999999</v>
      </c>
      <c r="AJ341" s="31" t="s">
        <v>75</v>
      </c>
      <c r="AK341" s="31" t="s">
        <v>75</v>
      </c>
      <c r="AL341" s="31">
        <v>77210</v>
      </c>
      <c r="AM341" s="31"/>
      <c r="AN341" s="31"/>
      <c r="AO341" s="31"/>
      <c r="AP341" s="31"/>
      <c r="AQ341" s="31"/>
      <c r="AR341" s="31"/>
      <c r="AS341" s="31" t="s">
        <v>75</v>
      </c>
      <c r="AT341" s="31" t="s">
        <v>75</v>
      </c>
      <c r="AU341" s="35">
        <v>1517419.3</v>
      </c>
      <c r="AV341" s="31" t="s">
        <v>75</v>
      </c>
      <c r="AW341" s="31" t="s">
        <v>75</v>
      </c>
      <c r="AX341" s="36">
        <v>39437.21</v>
      </c>
      <c r="AY341" s="32">
        <v>8731407.4000000004</v>
      </c>
      <c r="AZ341" s="32">
        <v>1375365</v>
      </c>
      <c r="BA341" s="29">
        <f t="shared" si="16"/>
        <v>10106772.4</v>
      </c>
      <c r="BB341" s="31" t="s">
        <v>75</v>
      </c>
      <c r="BC341" s="31" t="s">
        <v>75</v>
      </c>
      <c r="BD341" s="31">
        <v>1425754.4</v>
      </c>
      <c r="BE341" s="113">
        <v>0</v>
      </c>
      <c r="BF341" s="113">
        <v>0</v>
      </c>
      <c r="BG341" s="38">
        <v>153</v>
      </c>
      <c r="BH341" s="38">
        <v>0</v>
      </c>
      <c r="BI341" s="38">
        <v>0</v>
      </c>
      <c r="BJ341" s="38">
        <v>0</v>
      </c>
      <c r="BK341" s="113">
        <v>0</v>
      </c>
      <c r="BL341" s="113">
        <v>0</v>
      </c>
      <c r="BM341" s="38">
        <v>273</v>
      </c>
      <c r="BN341" s="38">
        <v>0</v>
      </c>
      <c r="BO341" s="38">
        <v>0</v>
      </c>
      <c r="BP341" s="38">
        <v>0</v>
      </c>
      <c r="BQ341" s="113">
        <v>0</v>
      </c>
      <c r="BR341" s="113">
        <v>0</v>
      </c>
      <c r="BS341" s="38">
        <v>128</v>
      </c>
      <c r="BT341" s="38">
        <v>0</v>
      </c>
      <c r="BU341" s="38">
        <v>0</v>
      </c>
      <c r="BV341" s="38">
        <v>0</v>
      </c>
      <c r="BW341" s="38"/>
      <c r="BX341" s="38"/>
      <c r="BY341" s="38"/>
      <c r="BZ341" s="113">
        <v>0</v>
      </c>
      <c r="CA341" s="113">
        <v>0</v>
      </c>
      <c r="CB341" s="113">
        <v>208</v>
      </c>
      <c r="CC341" s="113"/>
      <c r="CD341" s="113"/>
      <c r="CE341" s="113"/>
      <c r="CF341" s="113">
        <v>0</v>
      </c>
      <c r="CG341" s="113">
        <v>0</v>
      </c>
      <c r="CH341" s="30">
        <v>4</v>
      </c>
      <c r="CI341" s="113">
        <v>0</v>
      </c>
      <c r="CJ341" s="113">
        <v>0</v>
      </c>
      <c r="CK341" s="30">
        <v>13</v>
      </c>
      <c r="CL341" s="30">
        <v>0</v>
      </c>
      <c r="CM341" s="30">
        <v>0</v>
      </c>
      <c r="CN341" s="30">
        <v>0</v>
      </c>
      <c r="CO341" s="113">
        <v>0</v>
      </c>
      <c r="CP341" s="113">
        <v>0</v>
      </c>
      <c r="CQ341" s="30">
        <v>3</v>
      </c>
      <c r="CR341" s="30">
        <v>0</v>
      </c>
      <c r="CS341" s="30">
        <v>0</v>
      </c>
      <c r="CT341" s="30">
        <v>0</v>
      </c>
      <c r="CU341" s="113">
        <v>0</v>
      </c>
      <c r="CV341" s="113">
        <v>0</v>
      </c>
      <c r="CW341" s="30">
        <v>122</v>
      </c>
      <c r="CX341" s="30">
        <v>0</v>
      </c>
      <c r="CY341" s="30">
        <v>0</v>
      </c>
      <c r="CZ341" s="30">
        <v>0</v>
      </c>
      <c r="DA341" s="113">
        <v>0</v>
      </c>
      <c r="DB341" s="113">
        <v>0</v>
      </c>
      <c r="DC341" s="113">
        <v>0</v>
      </c>
      <c r="DD341" s="113">
        <v>0</v>
      </c>
      <c r="DE341" s="113">
        <v>0</v>
      </c>
      <c r="DF341" s="113">
        <v>0</v>
      </c>
      <c r="DG341" s="113">
        <v>0</v>
      </c>
      <c r="DH341" s="113">
        <v>0</v>
      </c>
      <c r="DI341" s="30">
        <v>6</v>
      </c>
      <c r="DJ341" s="30">
        <v>0</v>
      </c>
      <c r="DK341" s="30">
        <v>0</v>
      </c>
      <c r="DL341" s="30">
        <v>0</v>
      </c>
      <c r="DM341" s="113">
        <v>0</v>
      </c>
      <c r="DN341" s="113">
        <v>0</v>
      </c>
      <c r="DO341" s="113">
        <v>0</v>
      </c>
      <c r="DP341" s="113">
        <v>0</v>
      </c>
      <c r="DQ341" s="113">
        <v>0</v>
      </c>
      <c r="DR341" s="113">
        <v>0</v>
      </c>
      <c r="DS341" s="113">
        <v>0</v>
      </c>
      <c r="DT341" s="113">
        <v>0</v>
      </c>
      <c r="DU341" s="113">
        <v>0</v>
      </c>
      <c r="DV341" s="113">
        <v>0</v>
      </c>
      <c r="DW341" s="113">
        <v>0</v>
      </c>
      <c r="DX341" s="113">
        <v>0</v>
      </c>
      <c r="DY341" s="113">
        <v>0</v>
      </c>
      <c r="DZ341" s="113">
        <v>0</v>
      </c>
      <c r="EA341" s="113">
        <v>644</v>
      </c>
      <c r="EB341" s="113">
        <v>0</v>
      </c>
      <c r="EC341" s="113">
        <v>0</v>
      </c>
      <c r="ED341" s="113">
        <v>0</v>
      </c>
      <c r="EE341" s="113">
        <v>0</v>
      </c>
      <c r="EF341" s="113">
        <v>0</v>
      </c>
      <c r="EG341" s="113">
        <v>1480</v>
      </c>
      <c r="EH341" s="113">
        <v>0</v>
      </c>
      <c r="EI341" s="113">
        <v>0</v>
      </c>
      <c r="EJ341" s="113">
        <v>0</v>
      </c>
      <c r="EK341" s="113">
        <v>0</v>
      </c>
      <c r="EL341" s="113">
        <v>0</v>
      </c>
      <c r="EM341" s="113">
        <v>878</v>
      </c>
      <c r="EN341" s="113">
        <v>0</v>
      </c>
      <c r="EO341" s="113">
        <v>0</v>
      </c>
      <c r="EP341" s="113">
        <v>0</v>
      </c>
      <c r="EQ341" s="113">
        <v>0</v>
      </c>
      <c r="ER341" s="113">
        <v>0</v>
      </c>
      <c r="ES341" s="30">
        <v>80</v>
      </c>
      <c r="ET341" s="30">
        <v>0</v>
      </c>
      <c r="EU341" s="30">
        <v>0</v>
      </c>
      <c r="EV341" s="30">
        <v>0</v>
      </c>
      <c r="EW341" s="113">
        <v>0</v>
      </c>
      <c r="EX341" s="113">
        <v>0</v>
      </c>
      <c r="EY341" s="38">
        <v>5</v>
      </c>
      <c r="EZ341" s="38">
        <v>0</v>
      </c>
      <c r="FA341" s="38">
        <v>0</v>
      </c>
      <c r="FB341" s="38">
        <v>0</v>
      </c>
      <c r="FC341" s="38">
        <v>0</v>
      </c>
      <c r="FD341" s="38">
        <v>0</v>
      </c>
      <c r="FE341" s="38">
        <v>10</v>
      </c>
      <c r="FF341" s="38">
        <v>0</v>
      </c>
      <c r="FG341" s="38">
        <v>0</v>
      </c>
      <c r="FH341" s="38">
        <v>0</v>
      </c>
      <c r="FI341" s="113">
        <v>0</v>
      </c>
      <c r="FJ341" s="113">
        <v>0</v>
      </c>
      <c r="FK341" s="30">
        <v>46</v>
      </c>
      <c r="FL341" s="113">
        <v>0</v>
      </c>
      <c r="FM341" s="113">
        <v>0</v>
      </c>
      <c r="FN341" s="30">
        <v>4516</v>
      </c>
      <c r="FO341" s="113">
        <v>0</v>
      </c>
      <c r="FP341" s="113">
        <v>0</v>
      </c>
      <c r="FQ341" s="30">
        <v>463</v>
      </c>
      <c r="FR341" s="113">
        <v>0</v>
      </c>
      <c r="FS341" s="113">
        <v>0</v>
      </c>
      <c r="FT341" s="113">
        <v>0</v>
      </c>
      <c r="FU341" s="113">
        <v>0</v>
      </c>
      <c r="FV341" s="113">
        <v>0</v>
      </c>
      <c r="FW341" s="30">
        <v>173</v>
      </c>
      <c r="FX341" s="32">
        <v>0</v>
      </c>
      <c r="FY341" s="30">
        <v>0</v>
      </c>
      <c r="FZ341" s="30">
        <v>2</v>
      </c>
    </row>
    <row r="342" spans="1:182" x14ac:dyDescent="0.2">
      <c r="A342" s="28">
        <v>41974</v>
      </c>
      <c r="B342" s="100">
        <f t="shared" si="26"/>
        <v>115034978.36999997</v>
      </c>
      <c r="C342" s="31">
        <v>302036.57</v>
      </c>
      <c r="D342" s="49">
        <v>548704.60000000009</v>
      </c>
      <c r="E342" s="29">
        <f t="shared" si="20"/>
        <v>850741.17000000016</v>
      </c>
      <c r="F342" s="48">
        <v>14525171.189999999</v>
      </c>
      <c r="G342" s="48">
        <v>2566914.44</v>
      </c>
      <c r="H342" s="30">
        <f t="shared" si="19"/>
        <v>17092085.629999999</v>
      </c>
      <c r="I342" s="42" t="s">
        <v>75</v>
      </c>
      <c r="J342" s="42" t="s">
        <v>75</v>
      </c>
      <c r="K342" s="83">
        <v>22167374.299999997</v>
      </c>
      <c r="L342" s="31" t="s">
        <v>75</v>
      </c>
      <c r="M342" s="31" t="s">
        <v>75</v>
      </c>
      <c r="N342" s="48">
        <v>43876798.310000002</v>
      </c>
      <c r="O342" s="31" t="s">
        <v>75</v>
      </c>
      <c r="P342" s="31" t="s">
        <v>75</v>
      </c>
      <c r="Q342" s="31">
        <v>30132488.100000001</v>
      </c>
      <c r="R342" s="31" t="s">
        <v>75</v>
      </c>
      <c r="S342" s="31" t="s">
        <v>75</v>
      </c>
      <c r="T342" s="31">
        <v>183734.36000000002</v>
      </c>
      <c r="U342" s="39">
        <v>41057.03</v>
      </c>
      <c r="V342" s="39">
        <v>22612.749999999996</v>
      </c>
      <c r="W342" s="31">
        <f t="shared" si="21"/>
        <v>63669.78</v>
      </c>
      <c r="X342" s="31">
        <v>136901.09000000003</v>
      </c>
      <c r="Y342" s="31">
        <v>8209.65</v>
      </c>
      <c r="Z342" s="30">
        <f t="shared" si="22"/>
        <v>145110.74000000002</v>
      </c>
      <c r="AA342" s="49">
        <v>102469.81999999999</v>
      </c>
      <c r="AB342" s="31">
        <v>41812.570000000007</v>
      </c>
      <c r="AC342" s="30">
        <f t="shared" si="23"/>
        <v>144282.39000000001</v>
      </c>
      <c r="AD342" s="49">
        <v>15884.15</v>
      </c>
      <c r="AE342" s="49">
        <v>91681.87000000001</v>
      </c>
      <c r="AF342" s="30">
        <f t="shared" si="24"/>
        <v>107566.02</v>
      </c>
      <c r="AG342" s="42">
        <v>40088.739999999991</v>
      </c>
      <c r="AH342" s="83">
        <v>146356.33000000005</v>
      </c>
      <c r="AI342" s="32">
        <f t="shared" si="25"/>
        <v>186445.07000000004</v>
      </c>
      <c r="AJ342" s="31" t="s">
        <v>75</v>
      </c>
      <c r="AK342" s="31" t="s">
        <v>75</v>
      </c>
      <c r="AL342" s="31">
        <v>84682.5</v>
      </c>
      <c r="AM342" s="31"/>
      <c r="AN342" s="31"/>
      <c r="AO342" s="31"/>
      <c r="AP342" s="31"/>
      <c r="AQ342" s="31"/>
      <c r="AR342" s="31"/>
      <c r="AS342" s="31" t="s">
        <v>75</v>
      </c>
      <c r="AT342" s="31" t="s">
        <v>75</v>
      </c>
      <c r="AU342" s="35">
        <v>1551121.86</v>
      </c>
      <c r="AV342" s="31" t="s">
        <v>75</v>
      </c>
      <c r="AW342" s="31" t="s">
        <v>75</v>
      </c>
      <c r="AX342" s="36">
        <v>30165.74</v>
      </c>
      <c r="AY342" s="30">
        <v>12013216.300000001</v>
      </c>
      <c r="AZ342" s="32">
        <v>2331201</v>
      </c>
      <c r="BA342" s="29">
        <f t="shared" si="16"/>
        <v>14344417.300000001</v>
      </c>
      <c r="BB342" s="31" t="s">
        <v>75</v>
      </c>
      <c r="BC342" s="31" t="s">
        <v>75</v>
      </c>
      <c r="BD342" s="31">
        <v>1974109.7777777778</v>
      </c>
      <c r="BE342" s="113">
        <v>0</v>
      </c>
      <c r="BF342" s="113">
        <v>0</v>
      </c>
      <c r="BG342" s="38">
        <v>117</v>
      </c>
      <c r="BH342" s="38">
        <v>0</v>
      </c>
      <c r="BI342" s="38">
        <v>0</v>
      </c>
      <c r="BJ342" s="38">
        <v>0</v>
      </c>
      <c r="BK342" s="113">
        <v>0</v>
      </c>
      <c r="BL342" s="113">
        <v>0</v>
      </c>
      <c r="BM342" s="38">
        <v>263</v>
      </c>
      <c r="BN342" s="38">
        <v>0</v>
      </c>
      <c r="BO342" s="38">
        <v>0</v>
      </c>
      <c r="BP342" s="38">
        <v>0</v>
      </c>
      <c r="BQ342" s="113">
        <v>0</v>
      </c>
      <c r="BR342" s="113">
        <v>0</v>
      </c>
      <c r="BS342" s="38">
        <v>279</v>
      </c>
      <c r="BT342" s="38">
        <v>0</v>
      </c>
      <c r="BU342" s="38">
        <v>0</v>
      </c>
      <c r="BV342" s="38">
        <v>0</v>
      </c>
      <c r="BW342" s="38"/>
      <c r="BX342" s="38"/>
      <c r="BY342" s="38"/>
      <c r="BZ342" s="113">
        <v>0</v>
      </c>
      <c r="CA342" s="113">
        <v>0</v>
      </c>
      <c r="CB342" s="113">
        <v>230</v>
      </c>
      <c r="CC342" s="113"/>
      <c r="CD342" s="113"/>
      <c r="CE342" s="113"/>
      <c r="CF342" s="113">
        <v>0</v>
      </c>
      <c r="CG342" s="113">
        <v>0</v>
      </c>
      <c r="CH342" s="30">
        <v>4</v>
      </c>
      <c r="CI342" s="113">
        <v>0</v>
      </c>
      <c r="CJ342" s="113">
        <v>0</v>
      </c>
      <c r="CK342" s="30">
        <v>22</v>
      </c>
      <c r="CL342" s="30">
        <v>0</v>
      </c>
      <c r="CM342" s="30">
        <v>0</v>
      </c>
      <c r="CN342" s="30">
        <v>0</v>
      </c>
      <c r="CO342" s="113">
        <v>0</v>
      </c>
      <c r="CP342" s="113">
        <v>0</v>
      </c>
      <c r="CQ342" s="30">
        <v>11</v>
      </c>
      <c r="CR342" s="30">
        <v>0</v>
      </c>
      <c r="CS342" s="30">
        <v>0</v>
      </c>
      <c r="CT342" s="30">
        <v>0</v>
      </c>
      <c r="CU342" s="113">
        <v>0</v>
      </c>
      <c r="CV342" s="113">
        <v>0</v>
      </c>
      <c r="CW342" s="30">
        <v>276</v>
      </c>
      <c r="CX342" s="30">
        <v>0</v>
      </c>
      <c r="CY342" s="30">
        <v>0</v>
      </c>
      <c r="CZ342" s="30">
        <v>0</v>
      </c>
      <c r="DA342" s="113">
        <v>0</v>
      </c>
      <c r="DB342" s="113">
        <v>0</v>
      </c>
      <c r="DC342" s="113">
        <v>1</v>
      </c>
      <c r="DD342" s="113">
        <v>0</v>
      </c>
      <c r="DE342" s="113">
        <v>0</v>
      </c>
      <c r="DF342" s="113">
        <v>0</v>
      </c>
      <c r="DG342" s="113">
        <v>0</v>
      </c>
      <c r="DH342" s="113">
        <v>0</v>
      </c>
      <c r="DI342" s="38">
        <v>2</v>
      </c>
      <c r="DJ342" s="38">
        <v>0</v>
      </c>
      <c r="DK342" s="38">
        <v>0</v>
      </c>
      <c r="DL342" s="38">
        <v>0</v>
      </c>
      <c r="DM342" s="113">
        <v>0</v>
      </c>
      <c r="DN342" s="113">
        <v>0</v>
      </c>
      <c r="DO342" s="113">
        <v>0</v>
      </c>
      <c r="DP342" s="38">
        <v>0</v>
      </c>
      <c r="DQ342" s="38">
        <v>0</v>
      </c>
      <c r="DR342" s="113">
        <v>0</v>
      </c>
      <c r="DS342" s="38">
        <v>0</v>
      </c>
      <c r="DT342" s="38">
        <v>0</v>
      </c>
      <c r="DU342" s="38">
        <v>1</v>
      </c>
      <c r="DV342" s="38">
        <v>0</v>
      </c>
      <c r="DW342" s="38">
        <v>0</v>
      </c>
      <c r="DX342" s="38">
        <v>0</v>
      </c>
      <c r="DY342" s="38">
        <v>0</v>
      </c>
      <c r="DZ342" s="38">
        <v>0</v>
      </c>
      <c r="EA342" s="38">
        <v>681</v>
      </c>
      <c r="EB342" s="38">
        <v>0</v>
      </c>
      <c r="EC342" s="38">
        <v>0</v>
      </c>
      <c r="ED342" s="38">
        <v>0</v>
      </c>
      <c r="EE342" s="38">
        <v>0</v>
      </c>
      <c r="EF342" s="38">
        <v>0</v>
      </c>
      <c r="EG342" s="38">
        <v>2403</v>
      </c>
      <c r="EH342" s="38">
        <v>0</v>
      </c>
      <c r="EI342" s="38">
        <v>0</v>
      </c>
      <c r="EJ342" s="38">
        <v>0</v>
      </c>
      <c r="EK342" s="38">
        <v>0</v>
      </c>
      <c r="EL342" s="38">
        <v>0</v>
      </c>
      <c r="EM342" s="38">
        <v>1231</v>
      </c>
      <c r="EN342" s="38">
        <v>0</v>
      </c>
      <c r="EO342" s="38">
        <v>0</v>
      </c>
      <c r="EP342" s="38">
        <v>0</v>
      </c>
      <c r="EQ342" s="38">
        <v>0</v>
      </c>
      <c r="ER342" s="38">
        <v>0</v>
      </c>
      <c r="ES342" s="38">
        <v>139</v>
      </c>
      <c r="ET342" s="38">
        <v>0</v>
      </c>
      <c r="EU342" s="38">
        <v>0</v>
      </c>
      <c r="EV342" s="38">
        <v>0</v>
      </c>
      <c r="EW342" s="38">
        <v>0</v>
      </c>
      <c r="EX342" s="38">
        <v>0</v>
      </c>
      <c r="EY342" s="38">
        <v>3</v>
      </c>
      <c r="EZ342" s="38">
        <v>0</v>
      </c>
      <c r="FA342" s="38">
        <v>0</v>
      </c>
      <c r="FB342" s="38">
        <v>0</v>
      </c>
      <c r="FC342" s="38">
        <v>0</v>
      </c>
      <c r="FD342" s="38">
        <v>0</v>
      </c>
      <c r="FE342" s="38">
        <v>14</v>
      </c>
      <c r="FF342" s="38">
        <v>0</v>
      </c>
      <c r="FG342" s="38">
        <v>0</v>
      </c>
      <c r="FH342" s="38">
        <v>0</v>
      </c>
      <c r="FI342" s="38">
        <v>0</v>
      </c>
      <c r="FJ342" s="38">
        <v>0</v>
      </c>
      <c r="FK342" s="30">
        <v>28</v>
      </c>
      <c r="FL342" s="38">
        <v>0</v>
      </c>
      <c r="FM342" s="38">
        <v>0</v>
      </c>
      <c r="FN342" s="30">
        <v>5961</v>
      </c>
      <c r="FO342" s="113">
        <v>0</v>
      </c>
      <c r="FP342" s="113">
        <v>0</v>
      </c>
      <c r="FQ342" s="30">
        <v>765</v>
      </c>
      <c r="FR342" s="113">
        <v>0</v>
      </c>
      <c r="FS342" s="113">
        <v>0</v>
      </c>
      <c r="FT342" s="113">
        <v>0</v>
      </c>
      <c r="FU342" s="113">
        <v>0</v>
      </c>
      <c r="FV342" s="113">
        <v>0</v>
      </c>
      <c r="FW342" s="30">
        <v>255</v>
      </c>
      <c r="FX342" s="32">
        <v>0</v>
      </c>
      <c r="FY342" s="30">
        <v>0</v>
      </c>
      <c r="FZ342" s="30">
        <v>1</v>
      </c>
    </row>
    <row r="343" spans="1:182" x14ac:dyDescent="0.2">
      <c r="A343" s="28">
        <v>42005</v>
      </c>
      <c r="B343" s="100">
        <f t="shared" si="26"/>
        <v>86595437.49000001</v>
      </c>
      <c r="C343" s="48">
        <v>115796.6</v>
      </c>
      <c r="D343" s="48">
        <v>169321.39999999997</v>
      </c>
      <c r="E343" s="29">
        <f t="shared" si="20"/>
        <v>285118</v>
      </c>
      <c r="F343" s="48">
        <v>7970219.5599999996</v>
      </c>
      <c r="G343" s="48">
        <v>1771587.33</v>
      </c>
      <c r="H343" s="30">
        <f t="shared" si="19"/>
        <v>9741806.8900000006</v>
      </c>
      <c r="I343" s="42" t="s">
        <v>75</v>
      </c>
      <c r="J343" s="42" t="s">
        <v>75</v>
      </c>
      <c r="K343" s="82">
        <v>16386524.030000001</v>
      </c>
      <c r="L343" s="31" t="s">
        <v>75</v>
      </c>
      <c r="M343" s="31" t="s">
        <v>75</v>
      </c>
      <c r="N343" s="48">
        <v>26882122.059999999</v>
      </c>
      <c r="O343" s="31" t="s">
        <v>75</v>
      </c>
      <c r="P343" s="31" t="s">
        <v>75</v>
      </c>
      <c r="Q343" s="48">
        <v>32733858.75</v>
      </c>
      <c r="R343" s="31" t="s">
        <v>75</v>
      </c>
      <c r="S343" s="31" t="s">
        <v>75</v>
      </c>
      <c r="T343" s="31">
        <v>187778.45</v>
      </c>
      <c r="U343" s="48">
        <v>3645.76</v>
      </c>
      <c r="V343" s="48">
        <v>4518</v>
      </c>
      <c r="W343" s="31">
        <f t="shared" si="21"/>
        <v>8163.76</v>
      </c>
      <c r="X343" s="48">
        <v>59659.360000000001</v>
      </c>
      <c r="Y343" s="48">
        <v>7832</v>
      </c>
      <c r="Z343" s="30">
        <f t="shared" si="22"/>
        <v>67491.360000000001</v>
      </c>
      <c r="AA343" s="48">
        <v>71583.11</v>
      </c>
      <c r="AB343" s="48">
        <v>22872.899999999994</v>
      </c>
      <c r="AC343" s="30">
        <f t="shared" si="23"/>
        <v>94456.01</v>
      </c>
      <c r="AD343" s="48">
        <v>7778.5999999999995</v>
      </c>
      <c r="AE343" s="48">
        <v>14439.730000000001</v>
      </c>
      <c r="AF343" s="30">
        <f t="shared" si="24"/>
        <v>22218.33</v>
      </c>
      <c r="AG343" s="82">
        <v>27332.58</v>
      </c>
      <c r="AH343" s="82">
        <v>86401.019999999975</v>
      </c>
      <c r="AI343" s="32">
        <f t="shared" si="25"/>
        <v>113733.59999999998</v>
      </c>
      <c r="AJ343" s="31" t="s">
        <v>75</v>
      </c>
      <c r="AK343" s="31" t="s">
        <v>75</v>
      </c>
      <c r="AL343" s="31">
        <v>72166.25</v>
      </c>
      <c r="AM343" s="31"/>
      <c r="AN343" s="31"/>
      <c r="AO343" s="31"/>
      <c r="AP343" s="31"/>
      <c r="AQ343" s="31"/>
      <c r="AR343" s="31"/>
      <c r="AS343" s="31" t="s">
        <v>75</v>
      </c>
      <c r="AT343" s="31" t="s">
        <v>75</v>
      </c>
      <c r="AU343" s="35">
        <v>1539506.59</v>
      </c>
      <c r="AV343" s="31" t="s">
        <v>75</v>
      </c>
      <c r="AW343" s="31" t="s">
        <v>75</v>
      </c>
      <c r="AX343" s="36">
        <v>47220.68</v>
      </c>
      <c r="AY343" s="32">
        <v>8877955</v>
      </c>
      <c r="AZ343" s="32">
        <v>1463360</v>
      </c>
      <c r="BA343" s="29">
        <f t="shared" si="16"/>
        <v>10341315</v>
      </c>
      <c r="BB343" s="31" t="s">
        <v>75</v>
      </c>
      <c r="BC343" s="31" t="s">
        <v>75</v>
      </c>
      <c r="BD343" s="31">
        <v>1083274.1333333335</v>
      </c>
      <c r="BE343" s="113">
        <v>0</v>
      </c>
      <c r="BF343" s="113">
        <v>0</v>
      </c>
      <c r="BG343" s="38">
        <v>122</v>
      </c>
      <c r="BH343" s="38">
        <v>0</v>
      </c>
      <c r="BI343" s="38">
        <v>0</v>
      </c>
      <c r="BJ343" s="38">
        <v>0</v>
      </c>
      <c r="BK343" s="113">
        <v>0</v>
      </c>
      <c r="BL343" s="113">
        <v>0</v>
      </c>
      <c r="BM343" s="38">
        <v>136</v>
      </c>
      <c r="BN343" s="38">
        <v>0</v>
      </c>
      <c r="BO343" s="38">
        <v>0</v>
      </c>
      <c r="BP343" s="38">
        <v>0</v>
      </c>
      <c r="BQ343" s="113">
        <v>0</v>
      </c>
      <c r="BR343" s="113">
        <v>0</v>
      </c>
      <c r="BS343" s="38">
        <v>131</v>
      </c>
      <c r="BT343" s="38">
        <v>0</v>
      </c>
      <c r="BU343" s="38">
        <v>0</v>
      </c>
      <c r="BV343" s="38">
        <v>0</v>
      </c>
      <c r="BW343" s="38"/>
      <c r="BX343" s="38"/>
      <c r="BY343" s="38"/>
      <c r="BZ343" s="113">
        <v>0</v>
      </c>
      <c r="CA343" s="113">
        <v>0</v>
      </c>
      <c r="CB343" s="113">
        <v>178</v>
      </c>
      <c r="CC343" s="113"/>
      <c r="CD343" s="113"/>
      <c r="CE343" s="113"/>
      <c r="CF343" s="113">
        <v>0</v>
      </c>
      <c r="CG343" s="113">
        <v>0</v>
      </c>
      <c r="CH343" s="30">
        <v>4</v>
      </c>
      <c r="CI343" s="113">
        <v>0</v>
      </c>
      <c r="CJ343" s="113">
        <v>0</v>
      </c>
      <c r="CK343" s="30">
        <v>17</v>
      </c>
      <c r="CL343" s="30">
        <v>0</v>
      </c>
      <c r="CM343" s="30">
        <v>0</v>
      </c>
      <c r="CN343" s="30">
        <v>0</v>
      </c>
      <c r="CO343" s="113">
        <v>0</v>
      </c>
      <c r="CP343" s="113">
        <v>0</v>
      </c>
      <c r="CQ343" s="38">
        <v>5</v>
      </c>
      <c r="CR343" s="38">
        <v>0</v>
      </c>
      <c r="CS343" s="38">
        <v>0</v>
      </c>
      <c r="CT343" s="38">
        <v>0</v>
      </c>
      <c r="CU343" s="114">
        <v>0</v>
      </c>
      <c r="CV343" s="114">
        <v>0</v>
      </c>
      <c r="CW343" s="38">
        <v>192</v>
      </c>
      <c r="CX343" s="38">
        <v>0</v>
      </c>
      <c r="CY343" s="38">
        <v>0</v>
      </c>
      <c r="CZ343" s="38">
        <v>0</v>
      </c>
      <c r="DA343" s="114">
        <v>0</v>
      </c>
      <c r="DB343" s="114">
        <v>0</v>
      </c>
      <c r="DC343" s="38">
        <v>2</v>
      </c>
      <c r="DD343" s="38">
        <v>0</v>
      </c>
      <c r="DE343" s="38">
        <v>0</v>
      </c>
      <c r="DF343" s="38">
        <v>0</v>
      </c>
      <c r="DG343" s="114">
        <v>0</v>
      </c>
      <c r="DH343" s="114">
        <v>0</v>
      </c>
      <c r="DI343" s="38">
        <v>6</v>
      </c>
      <c r="DJ343" s="38">
        <v>0</v>
      </c>
      <c r="DK343" s="38">
        <v>0</v>
      </c>
      <c r="DL343" s="38">
        <v>0</v>
      </c>
      <c r="DM343" s="113">
        <v>0</v>
      </c>
      <c r="DN343" s="113">
        <v>0</v>
      </c>
      <c r="DO343" s="113">
        <v>0</v>
      </c>
      <c r="DP343" s="38">
        <v>0</v>
      </c>
      <c r="DQ343" s="38">
        <v>0</v>
      </c>
      <c r="DR343" s="113">
        <v>0</v>
      </c>
      <c r="DS343" s="38">
        <v>0</v>
      </c>
      <c r="DT343" s="38">
        <v>0</v>
      </c>
      <c r="DU343" s="38">
        <v>0</v>
      </c>
      <c r="DV343" s="38">
        <v>0</v>
      </c>
      <c r="DW343" s="38">
        <v>0</v>
      </c>
      <c r="DX343" s="38">
        <v>0</v>
      </c>
      <c r="DY343" s="38">
        <v>0</v>
      </c>
      <c r="DZ343" s="38">
        <v>0</v>
      </c>
      <c r="EA343" s="38">
        <v>918</v>
      </c>
      <c r="EB343" s="38">
        <v>0</v>
      </c>
      <c r="EC343" s="38">
        <v>0</v>
      </c>
      <c r="ED343" s="38">
        <v>0</v>
      </c>
      <c r="EE343" s="38">
        <v>0</v>
      </c>
      <c r="EF343" s="38">
        <v>0</v>
      </c>
      <c r="EG343" s="38">
        <v>801</v>
      </c>
      <c r="EH343" s="38">
        <v>0</v>
      </c>
      <c r="EI343" s="38">
        <v>0</v>
      </c>
      <c r="EJ343" s="38">
        <v>0</v>
      </c>
      <c r="EK343" s="38">
        <v>0</v>
      </c>
      <c r="EL343" s="38">
        <v>0</v>
      </c>
      <c r="EM343" s="38">
        <v>863</v>
      </c>
      <c r="EN343" s="38">
        <v>0</v>
      </c>
      <c r="EO343" s="38">
        <v>0</v>
      </c>
      <c r="EP343" s="38">
        <v>0</v>
      </c>
      <c r="EQ343" s="38">
        <v>0</v>
      </c>
      <c r="ER343" s="38">
        <v>0</v>
      </c>
      <c r="ES343" s="38">
        <v>145</v>
      </c>
      <c r="ET343" s="38">
        <v>0</v>
      </c>
      <c r="EU343" s="38">
        <v>0</v>
      </c>
      <c r="EV343" s="38">
        <v>0</v>
      </c>
      <c r="EW343" s="38">
        <v>0</v>
      </c>
      <c r="EX343" s="38">
        <v>0</v>
      </c>
      <c r="EY343" s="38">
        <v>2</v>
      </c>
      <c r="EZ343" s="38">
        <v>0</v>
      </c>
      <c r="FA343" s="38">
        <v>0</v>
      </c>
      <c r="FB343" s="38">
        <v>0</v>
      </c>
      <c r="FC343" s="38">
        <v>0</v>
      </c>
      <c r="FD343" s="38">
        <v>0</v>
      </c>
      <c r="FE343" s="38">
        <v>13</v>
      </c>
      <c r="FF343" s="38">
        <v>0</v>
      </c>
      <c r="FG343" s="38">
        <v>0</v>
      </c>
      <c r="FH343" s="38">
        <v>0</v>
      </c>
      <c r="FI343" s="38">
        <v>0</v>
      </c>
      <c r="FJ343" s="38">
        <v>0</v>
      </c>
      <c r="FK343" s="30">
        <v>25</v>
      </c>
      <c r="FL343" s="38">
        <v>0</v>
      </c>
      <c r="FM343" s="38">
        <v>0</v>
      </c>
      <c r="FN343" s="30">
        <v>4783</v>
      </c>
      <c r="FO343" s="113">
        <v>0</v>
      </c>
      <c r="FP343" s="113">
        <v>0</v>
      </c>
      <c r="FQ343" s="30">
        <v>544</v>
      </c>
      <c r="FR343" s="113">
        <v>0</v>
      </c>
      <c r="FS343" s="113">
        <v>0</v>
      </c>
      <c r="FT343" s="113">
        <v>0</v>
      </c>
      <c r="FU343" s="113">
        <v>0</v>
      </c>
      <c r="FV343" s="113">
        <v>0</v>
      </c>
      <c r="FW343" s="30">
        <v>195</v>
      </c>
      <c r="FX343" s="32">
        <v>0</v>
      </c>
      <c r="FY343" s="30">
        <v>0</v>
      </c>
      <c r="FZ343" s="30">
        <v>3</v>
      </c>
    </row>
    <row r="344" spans="1:182" x14ac:dyDescent="0.2">
      <c r="A344" s="28">
        <v>42036</v>
      </c>
      <c r="B344" s="100">
        <f t="shared" si="26"/>
        <v>83346008.969999999</v>
      </c>
      <c r="C344" s="49">
        <v>177251.94</v>
      </c>
      <c r="D344" s="49">
        <v>240225.62000000011</v>
      </c>
      <c r="E344" s="29">
        <f t="shared" si="20"/>
        <v>417477.56000000011</v>
      </c>
      <c r="F344" s="49">
        <v>7236510.6699999999</v>
      </c>
      <c r="G344" s="49">
        <v>1626763.0900000005</v>
      </c>
      <c r="H344" s="30">
        <f t="shared" si="19"/>
        <v>8863273.7599999998</v>
      </c>
      <c r="I344" s="42" t="s">
        <v>75</v>
      </c>
      <c r="J344" s="42" t="s">
        <v>75</v>
      </c>
      <c r="K344" s="83">
        <v>17161204.810000002</v>
      </c>
      <c r="L344" s="31" t="s">
        <v>75</v>
      </c>
      <c r="M344" s="31" t="s">
        <v>75</v>
      </c>
      <c r="N344" s="49">
        <v>27712904.48</v>
      </c>
      <c r="O344" s="31" t="s">
        <v>75</v>
      </c>
      <c r="P344" s="31" t="s">
        <v>75</v>
      </c>
      <c r="Q344" s="48">
        <v>28718508.41</v>
      </c>
      <c r="R344" s="31" t="s">
        <v>75</v>
      </c>
      <c r="S344" s="31" t="s">
        <v>75</v>
      </c>
      <c r="T344" s="31">
        <v>124938.97</v>
      </c>
      <c r="U344" s="49">
        <v>1986.3400000000001</v>
      </c>
      <c r="V344" s="49">
        <v>814.25</v>
      </c>
      <c r="W344" s="31">
        <f t="shared" si="21"/>
        <v>2800.59</v>
      </c>
      <c r="X344" s="49">
        <v>24562.510000000002</v>
      </c>
      <c r="Y344" s="49">
        <v>2047.95</v>
      </c>
      <c r="Z344" s="30">
        <f t="shared" si="22"/>
        <v>26610.460000000003</v>
      </c>
      <c r="AA344" s="49">
        <v>142987.83000000005</v>
      </c>
      <c r="AB344" s="49">
        <v>21767.930000000004</v>
      </c>
      <c r="AC344" s="30">
        <f t="shared" si="23"/>
        <v>164755.76000000004</v>
      </c>
      <c r="AD344" s="49">
        <v>4686.6499999999996</v>
      </c>
      <c r="AE344" s="49">
        <v>19435.62</v>
      </c>
      <c r="AF344" s="30">
        <f t="shared" si="24"/>
        <v>24122.269999999997</v>
      </c>
      <c r="AG344" s="83">
        <v>21451.82</v>
      </c>
      <c r="AH344" s="83">
        <v>49863.83</v>
      </c>
      <c r="AI344" s="32">
        <f t="shared" si="25"/>
        <v>71315.649999999994</v>
      </c>
      <c r="AJ344" s="31" t="s">
        <v>75</v>
      </c>
      <c r="AK344" s="31" t="s">
        <v>75</v>
      </c>
      <c r="AL344" s="31">
        <v>58096.25</v>
      </c>
      <c r="AM344" s="31"/>
      <c r="AN344" s="31"/>
      <c r="AO344" s="31"/>
      <c r="AP344" s="31"/>
      <c r="AQ344" s="31"/>
      <c r="AR344" s="31"/>
      <c r="AS344" s="31" t="s">
        <v>75</v>
      </c>
      <c r="AT344" s="31" t="s">
        <v>75</v>
      </c>
      <c r="AU344" s="35">
        <v>1316179.92</v>
      </c>
      <c r="AV344" s="31" t="s">
        <v>75</v>
      </c>
      <c r="AW344" s="31" t="s">
        <v>75</v>
      </c>
      <c r="AX344" s="36">
        <v>37781.120000000003</v>
      </c>
      <c r="AY344" s="30">
        <v>8997541.6999999993</v>
      </c>
      <c r="AZ344" s="32">
        <v>524233.5</v>
      </c>
      <c r="BA344" s="29">
        <f t="shared" si="16"/>
        <v>9521775.1999999993</v>
      </c>
      <c r="BB344" s="31" t="s">
        <v>75</v>
      </c>
      <c r="BC344" s="31" t="s">
        <v>75</v>
      </c>
      <c r="BD344" s="31">
        <v>1473516.5111111111</v>
      </c>
      <c r="BE344" s="113">
        <v>0</v>
      </c>
      <c r="BF344" s="113">
        <v>0</v>
      </c>
      <c r="BG344" s="38">
        <v>100</v>
      </c>
      <c r="BH344" s="38">
        <v>0</v>
      </c>
      <c r="BI344" s="38">
        <v>0</v>
      </c>
      <c r="BJ344" s="38">
        <v>0</v>
      </c>
      <c r="BK344" s="113">
        <v>0</v>
      </c>
      <c r="BL344" s="113">
        <v>0</v>
      </c>
      <c r="BM344" s="38">
        <v>245</v>
      </c>
      <c r="BN344" s="38">
        <v>0</v>
      </c>
      <c r="BO344" s="38">
        <v>0</v>
      </c>
      <c r="BP344" s="38">
        <v>0</v>
      </c>
      <c r="BQ344" s="113">
        <v>0</v>
      </c>
      <c r="BR344" s="113">
        <v>0</v>
      </c>
      <c r="BS344" s="38">
        <v>200</v>
      </c>
      <c r="BT344" s="38">
        <v>0</v>
      </c>
      <c r="BU344" s="38">
        <v>0</v>
      </c>
      <c r="BV344" s="38">
        <v>1</v>
      </c>
      <c r="BW344" s="38"/>
      <c r="BX344" s="38"/>
      <c r="BY344" s="38"/>
      <c r="BZ344" s="113">
        <v>0</v>
      </c>
      <c r="CA344" s="113">
        <v>0</v>
      </c>
      <c r="CB344" s="113">
        <v>156</v>
      </c>
      <c r="CC344" s="113"/>
      <c r="CD344" s="113"/>
      <c r="CE344" s="113"/>
      <c r="CF344" s="113">
        <v>0</v>
      </c>
      <c r="CG344" s="113">
        <v>0</v>
      </c>
      <c r="CH344" s="30">
        <v>2</v>
      </c>
      <c r="CI344" s="113">
        <v>0</v>
      </c>
      <c r="CJ344" s="113">
        <v>0</v>
      </c>
      <c r="CK344" s="30">
        <v>17</v>
      </c>
      <c r="CL344" s="30">
        <v>0</v>
      </c>
      <c r="CM344" s="30">
        <v>0</v>
      </c>
      <c r="CN344" s="30">
        <v>0</v>
      </c>
      <c r="CO344" s="113">
        <v>0</v>
      </c>
      <c r="CP344" s="113">
        <v>0</v>
      </c>
      <c r="CQ344" s="30">
        <v>13</v>
      </c>
      <c r="CR344" s="30">
        <v>0</v>
      </c>
      <c r="CS344" s="30">
        <v>0</v>
      </c>
      <c r="CT344" s="30">
        <v>0</v>
      </c>
      <c r="CU344" s="113">
        <v>0</v>
      </c>
      <c r="CV344" s="113">
        <v>0</v>
      </c>
      <c r="CW344" s="30">
        <v>169</v>
      </c>
      <c r="CX344" s="30">
        <v>0</v>
      </c>
      <c r="CY344" s="30">
        <v>0</v>
      </c>
      <c r="CZ344" s="30">
        <v>0</v>
      </c>
      <c r="DA344" s="113">
        <v>0</v>
      </c>
      <c r="DB344" s="113">
        <v>0</v>
      </c>
      <c r="DC344" s="30">
        <v>2</v>
      </c>
      <c r="DD344" s="30">
        <v>0</v>
      </c>
      <c r="DE344" s="30">
        <v>0</v>
      </c>
      <c r="DF344" s="30">
        <v>0</v>
      </c>
      <c r="DG344" s="113">
        <v>0</v>
      </c>
      <c r="DH344" s="113">
        <v>0</v>
      </c>
      <c r="DI344" s="30">
        <v>4</v>
      </c>
      <c r="DJ344" s="30">
        <v>0</v>
      </c>
      <c r="DK344" s="30">
        <v>0</v>
      </c>
      <c r="DL344" s="30">
        <v>0</v>
      </c>
      <c r="DM344" s="113">
        <v>0</v>
      </c>
      <c r="DN344" s="113">
        <v>0</v>
      </c>
      <c r="DO344" s="113">
        <v>0</v>
      </c>
      <c r="DP344" s="38">
        <v>0</v>
      </c>
      <c r="DQ344" s="38">
        <v>0</v>
      </c>
      <c r="DR344" s="113">
        <v>0</v>
      </c>
      <c r="DS344" s="38">
        <v>0</v>
      </c>
      <c r="DT344" s="38">
        <v>0</v>
      </c>
      <c r="DU344" s="38">
        <v>0</v>
      </c>
      <c r="DV344" s="38">
        <v>0</v>
      </c>
      <c r="DW344" s="38">
        <v>0</v>
      </c>
      <c r="DX344" s="38">
        <v>0</v>
      </c>
      <c r="DY344" s="38">
        <v>0</v>
      </c>
      <c r="DZ344" s="38">
        <v>0</v>
      </c>
      <c r="EA344" s="38">
        <v>834</v>
      </c>
      <c r="EB344" s="38">
        <v>0</v>
      </c>
      <c r="EC344" s="38">
        <v>0</v>
      </c>
      <c r="ED344" s="38">
        <v>0</v>
      </c>
      <c r="EE344" s="38">
        <v>0</v>
      </c>
      <c r="EF344" s="38">
        <v>0</v>
      </c>
      <c r="EG344" s="38">
        <v>1356</v>
      </c>
      <c r="EH344" s="38">
        <v>0</v>
      </c>
      <c r="EI344" s="38">
        <v>0</v>
      </c>
      <c r="EJ344" s="38">
        <v>0</v>
      </c>
      <c r="EK344" s="38">
        <v>0</v>
      </c>
      <c r="EL344" s="38">
        <v>0</v>
      </c>
      <c r="EM344" s="38">
        <v>658</v>
      </c>
      <c r="EN344" s="38">
        <v>0</v>
      </c>
      <c r="EO344" s="38">
        <v>0</v>
      </c>
      <c r="EP344" s="38">
        <v>0</v>
      </c>
      <c r="EQ344" s="38">
        <v>0</v>
      </c>
      <c r="ER344" s="38">
        <v>0</v>
      </c>
      <c r="ES344" s="38">
        <v>99</v>
      </c>
      <c r="ET344" s="38">
        <v>0</v>
      </c>
      <c r="EU344" s="38">
        <v>0</v>
      </c>
      <c r="EV344" s="38">
        <v>0</v>
      </c>
      <c r="EW344" s="38">
        <v>0</v>
      </c>
      <c r="EX344" s="38">
        <v>0</v>
      </c>
      <c r="EY344" s="38">
        <v>3</v>
      </c>
      <c r="EZ344" s="38">
        <v>0</v>
      </c>
      <c r="FA344" s="38">
        <v>0</v>
      </c>
      <c r="FB344" s="38">
        <v>0</v>
      </c>
      <c r="FC344" s="38">
        <v>0</v>
      </c>
      <c r="FD344" s="38">
        <v>0</v>
      </c>
      <c r="FE344" s="38">
        <v>11</v>
      </c>
      <c r="FF344" s="38">
        <v>0</v>
      </c>
      <c r="FG344" s="38">
        <v>0</v>
      </c>
      <c r="FH344" s="38">
        <v>0</v>
      </c>
      <c r="FI344" s="38">
        <v>0</v>
      </c>
      <c r="FJ344" s="38">
        <v>0</v>
      </c>
      <c r="FK344" s="30">
        <v>20</v>
      </c>
      <c r="FL344" s="38">
        <v>0</v>
      </c>
      <c r="FM344" s="38">
        <v>0</v>
      </c>
      <c r="FN344" s="30">
        <v>4467</v>
      </c>
      <c r="FO344" s="113">
        <v>0</v>
      </c>
      <c r="FP344" s="113">
        <v>0</v>
      </c>
      <c r="FQ344" s="30">
        <v>336</v>
      </c>
      <c r="FR344" s="113">
        <v>0</v>
      </c>
      <c r="FS344" s="113">
        <v>0</v>
      </c>
      <c r="FT344" s="113">
        <v>0</v>
      </c>
      <c r="FU344" s="113">
        <v>0</v>
      </c>
      <c r="FV344" s="113">
        <v>0</v>
      </c>
      <c r="FW344" s="30">
        <v>127</v>
      </c>
      <c r="FX344" s="32">
        <v>0</v>
      </c>
      <c r="FY344" s="30">
        <v>0</v>
      </c>
      <c r="FZ344" s="30">
        <v>0</v>
      </c>
    </row>
    <row r="345" spans="1:182" x14ac:dyDescent="0.2">
      <c r="A345" s="28">
        <v>42064</v>
      </c>
      <c r="B345" s="100">
        <f t="shared" si="26"/>
        <v>86505237.980000004</v>
      </c>
      <c r="C345" s="49">
        <v>191205.55</v>
      </c>
      <c r="D345" s="49">
        <v>314452.96000000008</v>
      </c>
      <c r="E345" s="29">
        <f t="shared" si="20"/>
        <v>505658.51000000007</v>
      </c>
      <c r="F345" s="49">
        <v>7795876.5300000003</v>
      </c>
      <c r="G345" s="49">
        <v>1368115.9899999998</v>
      </c>
      <c r="H345" s="30">
        <f t="shared" si="19"/>
        <v>9163992.5199999996</v>
      </c>
      <c r="I345" s="42" t="s">
        <v>75</v>
      </c>
      <c r="J345" s="42" t="s">
        <v>75</v>
      </c>
      <c r="K345" s="83">
        <v>18661713.370000001</v>
      </c>
      <c r="L345" s="31" t="s">
        <v>75</v>
      </c>
      <c r="M345" s="31" t="s">
        <v>75</v>
      </c>
      <c r="N345" s="49">
        <v>29846179.620000001</v>
      </c>
      <c r="O345" s="31" t="s">
        <v>75</v>
      </c>
      <c r="P345" s="31" t="s">
        <v>75</v>
      </c>
      <c r="Q345" s="48">
        <v>27672591.66</v>
      </c>
      <c r="R345" s="31" t="s">
        <v>75</v>
      </c>
      <c r="S345" s="31" t="s">
        <v>75</v>
      </c>
      <c r="T345" s="31">
        <v>224703.54</v>
      </c>
      <c r="U345" s="49">
        <v>1861.5700000000002</v>
      </c>
      <c r="V345" s="49">
        <v>1695.38</v>
      </c>
      <c r="W345" s="31">
        <f t="shared" si="21"/>
        <v>3556.9500000000003</v>
      </c>
      <c r="X345" s="49">
        <v>78253.429999999993</v>
      </c>
      <c r="Y345" s="49">
        <v>2057.5</v>
      </c>
      <c r="Z345" s="30">
        <f t="shared" si="22"/>
        <v>80310.929999999993</v>
      </c>
      <c r="AA345" s="49">
        <v>161659.87</v>
      </c>
      <c r="AB345" s="49">
        <v>19394.690000000002</v>
      </c>
      <c r="AC345" s="30">
        <f t="shared" si="23"/>
        <v>181054.56</v>
      </c>
      <c r="AD345" s="49">
        <v>5372.83</v>
      </c>
      <c r="AE345" s="49">
        <v>16527.160000000003</v>
      </c>
      <c r="AF345" s="30">
        <f t="shared" si="24"/>
        <v>21899.990000000005</v>
      </c>
      <c r="AG345" s="83">
        <v>28857.550000000003</v>
      </c>
      <c r="AH345" s="83">
        <v>63621.280000000013</v>
      </c>
      <c r="AI345" s="32">
        <f t="shared" si="25"/>
        <v>92478.830000000016</v>
      </c>
      <c r="AJ345" s="31" t="s">
        <v>75</v>
      </c>
      <c r="AK345" s="31" t="s">
        <v>75</v>
      </c>
      <c r="AL345" s="31">
        <v>51097.5</v>
      </c>
      <c r="AM345" s="31"/>
      <c r="AN345" s="31"/>
      <c r="AO345" s="31"/>
      <c r="AP345" s="31"/>
      <c r="AQ345" s="31"/>
      <c r="AR345" s="31"/>
      <c r="AS345" s="31" t="s">
        <v>75</v>
      </c>
      <c r="AT345" s="31" t="s">
        <v>75</v>
      </c>
      <c r="AU345" s="35">
        <v>1873367.2</v>
      </c>
      <c r="AV345" s="31" t="s">
        <v>75</v>
      </c>
      <c r="AW345" s="31" t="s">
        <v>75</v>
      </c>
      <c r="AX345" s="36">
        <v>54707.75</v>
      </c>
      <c r="AY345" s="32">
        <v>11172808.9</v>
      </c>
      <c r="AZ345" s="32">
        <v>1056565.5</v>
      </c>
      <c r="BA345" s="29">
        <f t="shared" si="16"/>
        <v>12229374.4</v>
      </c>
      <c r="BB345" s="31" t="s">
        <v>75</v>
      </c>
      <c r="BC345" s="31" t="s">
        <v>75</v>
      </c>
      <c r="BD345" s="31">
        <v>1810410.888888889</v>
      </c>
      <c r="BE345" s="113">
        <v>0</v>
      </c>
      <c r="BF345" s="113">
        <v>0</v>
      </c>
      <c r="BG345" s="38">
        <v>169</v>
      </c>
      <c r="BH345" s="38">
        <v>0</v>
      </c>
      <c r="BI345" s="38">
        <v>0</v>
      </c>
      <c r="BJ345" s="38">
        <v>0</v>
      </c>
      <c r="BK345" s="113">
        <v>0</v>
      </c>
      <c r="BL345" s="113">
        <v>0</v>
      </c>
      <c r="BM345" s="38">
        <v>314</v>
      </c>
      <c r="BN345" s="38">
        <v>0</v>
      </c>
      <c r="BO345" s="38">
        <v>0</v>
      </c>
      <c r="BP345" s="38">
        <v>0</v>
      </c>
      <c r="BQ345" s="113">
        <v>0</v>
      </c>
      <c r="BR345" s="113">
        <v>0</v>
      </c>
      <c r="BS345" s="38">
        <v>184</v>
      </c>
      <c r="BT345" s="38">
        <v>0</v>
      </c>
      <c r="BU345" s="38">
        <v>0</v>
      </c>
      <c r="BV345" s="38">
        <v>0</v>
      </c>
      <c r="BW345" s="38"/>
      <c r="BX345" s="38"/>
      <c r="BY345" s="38"/>
      <c r="BZ345" s="113">
        <v>0</v>
      </c>
      <c r="CA345" s="113">
        <v>0</v>
      </c>
      <c r="CB345" s="113">
        <v>268</v>
      </c>
      <c r="CC345" s="113"/>
      <c r="CD345" s="113"/>
      <c r="CE345" s="113"/>
      <c r="CF345" s="113">
        <v>0</v>
      </c>
      <c r="CG345" s="113">
        <v>0</v>
      </c>
      <c r="CH345" s="30">
        <v>4</v>
      </c>
      <c r="CI345" s="113">
        <v>0</v>
      </c>
      <c r="CJ345" s="113">
        <v>0</v>
      </c>
      <c r="CK345" s="30">
        <v>27</v>
      </c>
      <c r="CL345" s="30">
        <v>0</v>
      </c>
      <c r="CM345" s="30">
        <v>0</v>
      </c>
      <c r="CN345" s="30">
        <v>0</v>
      </c>
      <c r="CO345" s="113">
        <v>0</v>
      </c>
      <c r="CP345" s="113">
        <v>0</v>
      </c>
      <c r="CQ345" s="30">
        <v>4</v>
      </c>
      <c r="CR345" s="30">
        <v>0</v>
      </c>
      <c r="CS345" s="30">
        <v>0</v>
      </c>
      <c r="CT345" s="30">
        <v>0</v>
      </c>
      <c r="CU345" s="113">
        <v>0</v>
      </c>
      <c r="CV345" s="113">
        <v>0</v>
      </c>
      <c r="CW345" s="30">
        <v>200</v>
      </c>
      <c r="CX345" s="30">
        <v>0</v>
      </c>
      <c r="CY345" s="30">
        <v>0</v>
      </c>
      <c r="CZ345" s="30">
        <v>0</v>
      </c>
      <c r="DA345" s="113">
        <v>0</v>
      </c>
      <c r="DB345" s="113">
        <v>0</v>
      </c>
      <c r="DC345" s="30">
        <v>3</v>
      </c>
      <c r="DD345" s="30">
        <v>0</v>
      </c>
      <c r="DE345" s="30">
        <v>0</v>
      </c>
      <c r="DF345" s="30">
        <v>0</v>
      </c>
      <c r="DG345" s="113">
        <v>0</v>
      </c>
      <c r="DH345" s="113">
        <v>0</v>
      </c>
      <c r="DI345" s="30">
        <v>5</v>
      </c>
      <c r="DJ345" s="30">
        <v>0</v>
      </c>
      <c r="DK345" s="30">
        <v>0</v>
      </c>
      <c r="DL345" s="30">
        <v>0</v>
      </c>
      <c r="DM345" s="113">
        <v>0</v>
      </c>
      <c r="DN345" s="113">
        <v>0</v>
      </c>
      <c r="DO345" s="113">
        <v>0</v>
      </c>
      <c r="DP345" s="38">
        <v>0</v>
      </c>
      <c r="DQ345" s="38">
        <v>0</v>
      </c>
      <c r="DR345" s="113">
        <v>0</v>
      </c>
      <c r="DS345" s="38">
        <v>0</v>
      </c>
      <c r="DT345" s="38">
        <v>0</v>
      </c>
      <c r="DU345" s="38">
        <v>0</v>
      </c>
      <c r="DV345" s="38">
        <v>0</v>
      </c>
      <c r="DW345" s="38">
        <v>0</v>
      </c>
      <c r="DX345" s="38">
        <v>0</v>
      </c>
      <c r="DY345" s="38">
        <v>0</v>
      </c>
      <c r="DZ345" s="38">
        <v>0</v>
      </c>
      <c r="EA345" s="38">
        <v>1278</v>
      </c>
      <c r="EB345" s="38">
        <v>0</v>
      </c>
      <c r="EC345" s="38">
        <v>0</v>
      </c>
      <c r="ED345" s="38">
        <v>0</v>
      </c>
      <c r="EE345" s="38">
        <v>0</v>
      </c>
      <c r="EF345" s="38">
        <v>0</v>
      </c>
      <c r="EG345" s="38">
        <v>1242</v>
      </c>
      <c r="EH345" s="38">
        <v>0</v>
      </c>
      <c r="EI345" s="38">
        <v>0</v>
      </c>
      <c r="EJ345" s="38">
        <v>0</v>
      </c>
      <c r="EK345" s="38">
        <v>0</v>
      </c>
      <c r="EL345" s="38">
        <v>0</v>
      </c>
      <c r="EM345" s="38">
        <v>1139</v>
      </c>
      <c r="EN345" s="38">
        <v>0</v>
      </c>
      <c r="EO345" s="38">
        <v>0</v>
      </c>
      <c r="EP345" s="38">
        <v>0</v>
      </c>
      <c r="EQ345" s="38">
        <v>0</v>
      </c>
      <c r="ER345" s="38">
        <v>0</v>
      </c>
      <c r="ES345" s="38">
        <v>50</v>
      </c>
      <c r="ET345" s="38">
        <v>0</v>
      </c>
      <c r="EU345" s="38">
        <v>0</v>
      </c>
      <c r="EV345" s="38">
        <v>1</v>
      </c>
      <c r="EW345" s="38">
        <v>0</v>
      </c>
      <c r="EX345" s="38">
        <v>0</v>
      </c>
      <c r="EY345" s="38">
        <v>8</v>
      </c>
      <c r="EZ345" s="38">
        <v>0</v>
      </c>
      <c r="FA345" s="38">
        <v>0</v>
      </c>
      <c r="FB345" s="38">
        <v>0</v>
      </c>
      <c r="FC345" s="38">
        <v>0</v>
      </c>
      <c r="FD345" s="38">
        <v>0</v>
      </c>
      <c r="FE345" s="38">
        <v>26</v>
      </c>
      <c r="FF345" s="38">
        <v>0</v>
      </c>
      <c r="FG345" s="38">
        <v>0</v>
      </c>
      <c r="FH345" s="38">
        <v>0</v>
      </c>
      <c r="FI345" s="38">
        <v>0</v>
      </c>
      <c r="FJ345" s="38">
        <v>0</v>
      </c>
      <c r="FK345" s="30">
        <v>27</v>
      </c>
      <c r="FL345" s="38">
        <v>0</v>
      </c>
      <c r="FM345" s="38">
        <v>0</v>
      </c>
      <c r="FN345" s="30">
        <v>6137</v>
      </c>
      <c r="FO345" s="113">
        <v>0</v>
      </c>
      <c r="FP345" s="113">
        <v>0</v>
      </c>
      <c r="FQ345" s="30">
        <v>576</v>
      </c>
      <c r="FR345" s="113">
        <v>0</v>
      </c>
      <c r="FS345" s="113">
        <v>0</v>
      </c>
      <c r="FT345" s="113">
        <v>0</v>
      </c>
      <c r="FU345" s="113">
        <v>0</v>
      </c>
      <c r="FV345" s="113">
        <v>0</v>
      </c>
      <c r="FW345" s="30">
        <v>115</v>
      </c>
      <c r="FX345" s="32">
        <v>0</v>
      </c>
      <c r="FY345" s="30">
        <v>0</v>
      </c>
      <c r="FZ345" s="30">
        <v>-2</v>
      </c>
    </row>
    <row r="346" spans="1:182" x14ac:dyDescent="0.2">
      <c r="A346" s="28">
        <v>42095</v>
      </c>
      <c r="B346" s="100">
        <f t="shared" si="26"/>
        <v>75732549.879999995</v>
      </c>
      <c r="C346" s="49">
        <v>216157.07</v>
      </c>
      <c r="D346" s="49">
        <v>245423.18000000002</v>
      </c>
      <c r="E346" s="29">
        <f t="shared" si="20"/>
        <v>461580.25</v>
      </c>
      <c r="F346" s="49">
        <v>6128143.9699999997</v>
      </c>
      <c r="G346" s="49">
        <v>907075.62999999989</v>
      </c>
      <c r="H346" s="30">
        <f t="shared" si="19"/>
        <v>7035219.5999999996</v>
      </c>
      <c r="I346" s="42" t="s">
        <v>75</v>
      </c>
      <c r="J346" s="42" t="s">
        <v>75</v>
      </c>
      <c r="K346" s="83">
        <v>16582151.389999999</v>
      </c>
      <c r="L346" s="31" t="s">
        <v>75</v>
      </c>
      <c r="M346" s="31" t="s">
        <v>75</v>
      </c>
      <c r="N346" s="49">
        <v>27202683.469999999</v>
      </c>
      <c r="O346" s="31" t="s">
        <v>75</v>
      </c>
      <c r="P346" s="31" t="s">
        <v>75</v>
      </c>
      <c r="Q346" s="48">
        <v>24029084</v>
      </c>
      <c r="R346" s="31" t="s">
        <v>75</v>
      </c>
      <c r="S346" s="31" t="s">
        <v>75</v>
      </c>
      <c r="T346" s="31">
        <v>168931.96000000002</v>
      </c>
      <c r="U346" s="49">
        <v>1648.51</v>
      </c>
      <c r="V346" s="49">
        <v>1791.83</v>
      </c>
      <c r="W346" s="31">
        <f t="shared" si="21"/>
        <v>3440.34</v>
      </c>
      <c r="X346" s="49">
        <v>19379.91</v>
      </c>
      <c r="Y346" s="49">
        <v>596.15</v>
      </c>
      <c r="Z346" s="30">
        <f t="shared" si="22"/>
        <v>19976.060000000001</v>
      </c>
      <c r="AA346" s="49">
        <v>100570.3</v>
      </c>
      <c r="AB346" s="49">
        <v>20085.560000000001</v>
      </c>
      <c r="AC346" s="30">
        <f t="shared" si="23"/>
        <v>120655.86</v>
      </c>
      <c r="AD346" s="49">
        <v>4538.8600000000006</v>
      </c>
      <c r="AE346" s="49">
        <v>14864.109999999999</v>
      </c>
      <c r="AF346" s="30">
        <f t="shared" si="24"/>
        <v>19402.97</v>
      </c>
      <c r="AG346" s="83">
        <v>17739.52</v>
      </c>
      <c r="AH346" s="83">
        <v>46516.959999999977</v>
      </c>
      <c r="AI346" s="32">
        <f t="shared" si="25"/>
        <v>64256.479999999981</v>
      </c>
      <c r="AJ346" s="31" t="s">
        <v>75</v>
      </c>
      <c r="AK346" s="31" t="s">
        <v>75</v>
      </c>
      <c r="AL346" s="31">
        <v>25167.5</v>
      </c>
      <c r="AM346" s="31"/>
      <c r="AN346" s="31"/>
      <c r="AO346" s="31"/>
      <c r="AP346" s="31"/>
      <c r="AQ346" s="31"/>
      <c r="AR346" s="31"/>
      <c r="AS346" s="31" t="s">
        <v>75</v>
      </c>
      <c r="AT346" s="31" t="s">
        <v>75</v>
      </c>
      <c r="AU346" s="35">
        <v>1484002.81</v>
      </c>
      <c r="AV346" s="31" t="s">
        <v>75</v>
      </c>
      <c r="AW346" s="31" t="s">
        <v>75</v>
      </c>
      <c r="AX346" s="36">
        <v>44620.34</v>
      </c>
      <c r="AY346" s="30">
        <v>8067849.7999999998</v>
      </c>
      <c r="AZ346" s="32">
        <v>1229455</v>
      </c>
      <c r="BA346" s="29">
        <f t="shared" si="16"/>
        <v>9297304.8000000007</v>
      </c>
      <c r="BB346" s="31" t="s">
        <v>75</v>
      </c>
      <c r="BC346" s="31" t="s">
        <v>75</v>
      </c>
      <c r="BD346" s="31">
        <v>1348383.2</v>
      </c>
      <c r="BE346" s="113">
        <v>0</v>
      </c>
      <c r="BF346" s="113">
        <v>0</v>
      </c>
      <c r="BG346" s="38">
        <v>108</v>
      </c>
      <c r="BH346" s="38">
        <v>0</v>
      </c>
      <c r="BI346" s="38">
        <v>0</v>
      </c>
      <c r="BJ346" s="38">
        <v>0</v>
      </c>
      <c r="BK346" s="113">
        <v>0</v>
      </c>
      <c r="BL346" s="113">
        <v>0</v>
      </c>
      <c r="BM346" s="38">
        <v>314</v>
      </c>
      <c r="BN346" s="38">
        <v>0</v>
      </c>
      <c r="BO346" s="38">
        <v>0</v>
      </c>
      <c r="BP346" s="38">
        <v>0</v>
      </c>
      <c r="BQ346" s="113">
        <v>0</v>
      </c>
      <c r="BR346" s="113">
        <v>0</v>
      </c>
      <c r="BS346" s="38">
        <v>166</v>
      </c>
      <c r="BT346" s="38">
        <v>0</v>
      </c>
      <c r="BU346" s="38">
        <v>0</v>
      </c>
      <c r="BV346" s="38">
        <v>2</v>
      </c>
      <c r="BW346" s="38"/>
      <c r="BX346" s="38"/>
      <c r="BY346" s="38"/>
      <c r="BZ346" s="113">
        <v>0</v>
      </c>
      <c r="CA346" s="113">
        <v>0</v>
      </c>
      <c r="CB346" s="113">
        <v>171</v>
      </c>
      <c r="CC346" s="113"/>
      <c r="CD346" s="113"/>
      <c r="CE346" s="113"/>
      <c r="CF346" s="113">
        <v>0</v>
      </c>
      <c r="CG346" s="113">
        <v>0</v>
      </c>
      <c r="CH346" s="30">
        <v>7</v>
      </c>
      <c r="CI346" s="113">
        <v>0</v>
      </c>
      <c r="CJ346" s="113">
        <v>0</v>
      </c>
      <c r="CK346" s="30">
        <v>25</v>
      </c>
      <c r="CL346" s="30">
        <v>0</v>
      </c>
      <c r="CM346" s="30">
        <v>0</v>
      </c>
      <c r="CN346" s="30">
        <v>0</v>
      </c>
      <c r="CO346" s="113">
        <v>0</v>
      </c>
      <c r="CP346" s="113">
        <v>0</v>
      </c>
      <c r="CQ346" s="30">
        <v>4</v>
      </c>
      <c r="CR346" s="30">
        <v>0</v>
      </c>
      <c r="CS346" s="30">
        <v>0</v>
      </c>
      <c r="CT346" s="30">
        <v>0</v>
      </c>
      <c r="CU346" s="113">
        <v>0</v>
      </c>
      <c r="CV346" s="113">
        <v>0</v>
      </c>
      <c r="CW346" s="30">
        <v>171</v>
      </c>
      <c r="CX346" s="30">
        <v>0</v>
      </c>
      <c r="CY346" s="30">
        <v>0</v>
      </c>
      <c r="CZ346" s="30">
        <v>0</v>
      </c>
      <c r="DA346" s="113">
        <v>0</v>
      </c>
      <c r="DB346" s="113">
        <v>0</v>
      </c>
      <c r="DC346" s="30">
        <v>0</v>
      </c>
      <c r="DD346" s="30">
        <v>0</v>
      </c>
      <c r="DE346" s="30">
        <v>0</v>
      </c>
      <c r="DF346" s="30">
        <v>0</v>
      </c>
      <c r="DG346" s="113">
        <v>0</v>
      </c>
      <c r="DH346" s="113">
        <v>0</v>
      </c>
      <c r="DI346" s="30">
        <v>3</v>
      </c>
      <c r="DJ346" s="30">
        <v>0</v>
      </c>
      <c r="DK346" s="30">
        <v>0</v>
      </c>
      <c r="DL346" s="30">
        <v>0</v>
      </c>
      <c r="DM346" s="113">
        <v>0</v>
      </c>
      <c r="DN346" s="113">
        <v>0</v>
      </c>
      <c r="DO346" s="113">
        <v>0</v>
      </c>
      <c r="DP346" s="38">
        <v>0</v>
      </c>
      <c r="DQ346" s="38">
        <v>0</v>
      </c>
      <c r="DR346" s="113">
        <v>0</v>
      </c>
      <c r="DS346" s="38">
        <v>0</v>
      </c>
      <c r="DT346" s="38">
        <v>0</v>
      </c>
      <c r="DU346" s="38">
        <v>0</v>
      </c>
      <c r="DV346" s="38">
        <v>0</v>
      </c>
      <c r="DW346" s="38">
        <v>0</v>
      </c>
      <c r="DX346" s="38">
        <v>0</v>
      </c>
      <c r="DY346" s="38">
        <v>0</v>
      </c>
      <c r="DZ346" s="38">
        <v>0</v>
      </c>
      <c r="EA346" s="38">
        <v>835</v>
      </c>
      <c r="EB346" s="38">
        <v>0</v>
      </c>
      <c r="EC346" s="38">
        <v>0</v>
      </c>
      <c r="ED346" s="38">
        <v>0</v>
      </c>
      <c r="EE346" s="38">
        <v>0</v>
      </c>
      <c r="EF346" s="38">
        <v>0</v>
      </c>
      <c r="EG346" s="38">
        <v>1248</v>
      </c>
      <c r="EH346" s="38">
        <v>0</v>
      </c>
      <c r="EI346" s="38">
        <v>0</v>
      </c>
      <c r="EJ346" s="38">
        <v>0</v>
      </c>
      <c r="EK346" s="38">
        <v>0</v>
      </c>
      <c r="EL346" s="38">
        <v>0</v>
      </c>
      <c r="EM346" s="38">
        <v>952</v>
      </c>
      <c r="EN346" s="38">
        <v>0</v>
      </c>
      <c r="EO346" s="38">
        <v>0</v>
      </c>
      <c r="EP346" s="38">
        <v>0</v>
      </c>
      <c r="EQ346" s="38">
        <v>0</v>
      </c>
      <c r="ER346" s="38">
        <v>0</v>
      </c>
      <c r="ES346" s="38">
        <v>88</v>
      </c>
      <c r="ET346" s="38">
        <v>0</v>
      </c>
      <c r="EU346" s="38">
        <v>0</v>
      </c>
      <c r="EV346" s="38">
        <v>0</v>
      </c>
      <c r="EW346" s="38">
        <v>0</v>
      </c>
      <c r="EX346" s="38">
        <v>0</v>
      </c>
      <c r="EY346" s="38">
        <v>19</v>
      </c>
      <c r="EZ346" s="38">
        <v>0</v>
      </c>
      <c r="FA346" s="38">
        <v>0</v>
      </c>
      <c r="FB346" s="38">
        <v>0</v>
      </c>
      <c r="FC346" s="38">
        <v>0</v>
      </c>
      <c r="FD346" s="38">
        <v>0</v>
      </c>
      <c r="FE346" s="38">
        <v>12</v>
      </c>
      <c r="FF346" s="38">
        <v>0</v>
      </c>
      <c r="FG346" s="38">
        <v>0</v>
      </c>
      <c r="FH346" s="38">
        <v>0</v>
      </c>
      <c r="FI346" s="38">
        <v>0</v>
      </c>
      <c r="FJ346" s="38">
        <v>0</v>
      </c>
      <c r="FK346" s="30">
        <v>14</v>
      </c>
      <c r="FL346" s="38">
        <v>0</v>
      </c>
      <c r="FM346" s="38">
        <v>0</v>
      </c>
      <c r="FN346" s="30">
        <v>3930</v>
      </c>
      <c r="FO346" s="113">
        <v>0</v>
      </c>
      <c r="FP346" s="113">
        <v>0</v>
      </c>
      <c r="FQ346" s="30">
        <v>319</v>
      </c>
      <c r="FR346" s="113">
        <v>0</v>
      </c>
      <c r="FS346" s="113">
        <v>0</v>
      </c>
      <c r="FT346" s="113">
        <v>0</v>
      </c>
      <c r="FU346" s="113">
        <v>0</v>
      </c>
      <c r="FV346" s="113">
        <v>0</v>
      </c>
      <c r="FW346" s="30">
        <v>81</v>
      </c>
      <c r="FX346" s="32">
        <v>0</v>
      </c>
      <c r="FY346" s="30">
        <v>0</v>
      </c>
      <c r="FZ346" s="30">
        <v>0</v>
      </c>
    </row>
    <row r="347" spans="1:182" x14ac:dyDescent="0.2">
      <c r="A347" s="28">
        <v>42125</v>
      </c>
      <c r="B347" s="100">
        <f t="shared" si="26"/>
        <v>65846253.890000008</v>
      </c>
      <c r="C347" s="49">
        <v>213736.68</v>
      </c>
      <c r="D347" s="49">
        <v>249022.44000000003</v>
      </c>
      <c r="E347" s="29">
        <f t="shared" si="20"/>
        <v>462759.12</v>
      </c>
      <c r="F347" s="49">
        <v>5086869.57</v>
      </c>
      <c r="G347" s="49">
        <v>949627.5</v>
      </c>
      <c r="H347" s="30">
        <f t="shared" si="19"/>
        <v>6036497.0700000003</v>
      </c>
      <c r="I347" s="42" t="s">
        <v>75</v>
      </c>
      <c r="J347" s="42" t="s">
        <v>75</v>
      </c>
      <c r="K347" s="83">
        <v>11445493.209999999</v>
      </c>
      <c r="L347" s="31" t="s">
        <v>75</v>
      </c>
      <c r="M347" s="31" t="s">
        <v>75</v>
      </c>
      <c r="N347" s="49">
        <v>24680159.07</v>
      </c>
      <c r="O347" s="31" t="s">
        <v>75</v>
      </c>
      <c r="P347" s="31" t="s">
        <v>75</v>
      </c>
      <c r="Q347" s="48">
        <v>22778202.93</v>
      </c>
      <c r="R347" s="31" t="s">
        <v>75</v>
      </c>
      <c r="S347" s="31" t="s">
        <v>75</v>
      </c>
      <c r="T347" s="31">
        <v>163253.45000000001</v>
      </c>
      <c r="U347" s="49">
        <v>1758.23</v>
      </c>
      <c r="V347" s="49">
        <v>1582.3600000000001</v>
      </c>
      <c r="W347" s="31">
        <f t="shared" si="21"/>
        <v>3340.59</v>
      </c>
      <c r="X347" s="49">
        <v>35928.370000000003</v>
      </c>
      <c r="Y347" s="49">
        <v>904.8</v>
      </c>
      <c r="Z347" s="30">
        <f t="shared" si="22"/>
        <v>36833.170000000006</v>
      </c>
      <c r="AA347" s="49">
        <v>113396.39000000001</v>
      </c>
      <c r="AB347" s="49">
        <v>14985.69</v>
      </c>
      <c r="AC347" s="30">
        <f t="shared" si="23"/>
        <v>128382.08000000002</v>
      </c>
      <c r="AD347" s="49">
        <v>7367.89</v>
      </c>
      <c r="AE347" s="49">
        <v>22154.31</v>
      </c>
      <c r="AF347" s="30">
        <f t="shared" si="24"/>
        <v>29522.2</v>
      </c>
      <c r="AG347" s="83">
        <v>19132.189999999999</v>
      </c>
      <c r="AH347" s="83">
        <v>32626.309999999994</v>
      </c>
      <c r="AI347" s="32">
        <f t="shared" si="25"/>
        <v>51758.499999999993</v>
      </c>
      <c r="AJ347" s="31" t="s">
        <v>75</v>
      </c>
      <c r="AK347" s="31" t="s">
        <v>75</v>
      </c>
      <c r="AL347" s="31">
        <v>30052.5</v>
      </c>
      <c r="AM347" s="31"/>
      <c r="AN347" s="31"/>
      <c r="AO347" s="31"/>
      <c r="AP347" s="31"/>
      <c r="AQ347" s="31"/>
      <c r="AR347" s="31"/>
      <c r="AS347" s="31" t="s">
        <v>75</v>
      </c>
      <c r="AT347" s="31" t="s">
        <v>75</v>
      </c>
      <c r="AU347" s="35">
        <v>1444727.97</v>
      </c>
      <c r="AV347" s="31" t="s">
        <v>75</v>
      </c>
      <c r="AW347" s="31" t="s">
        <v>75</v>
      </c>
      <c r="AX347" s="36">
        <v>48543.27</v>
      </c>
      <c r="AY347" s="32">
        <v>8192230.2000000002</v>
      </c>
      <c r="AZ347" s="32">
        <v>3239779.5</v>
      </c>
      <c r="BA347" s="29">
        <f t="shared" si="16"/>
        <v>11432009.699999999</v>
      </c>
      <c r="BB347" s="31" t="s">
        <v>75</v>
      </c>
      <c r="BC347" s="31" t="s">
        <v>75</v>
      </c>
      <c r="BD347" s="31">
        <v>1325549.0666666667</v>
      </c>
      <c r="BE347" s="113">
        <v>0</v>
      </c>
      <c r="BF347" s="113">
        <v>0</v>
      </c>
      <c r="BG347" s="38">
        <v>61</v>
      </c>
      <c r="BH347" s="38">
        <v>0</v>
      </c>
      <c r="BI347" s="38">
        <v>0</v>
      </c>
      <c r="BJ347" s="38">
        <v>0</v>
      </c>
      <c r="BK347" s="113">
        <v>0</v>
      </c>
      <c r="BL347" s="113">
        <v>0</v>
      </c>
      <c r="BM347" s="38">
        <v>302</v>
      </c>
      <c r="BN347" s="38">
        <v>0</v>
      </c>
      <c r="BO347" s="38">
        <v>0</v>
      </c>
      <c r="BP347" s="38">
        <v>0</v>
      </c>
      <c r="BQ347" s="113">
        <v>0</v>
      </c>
      <c r="BR347" s="113">
        <v>0</v>
      </c>
      <c r="BS347" s="38">
        <v>153</v>
      </c>
      <c r="BT347" s="38">
        <v>0</v>
      </c>
      <c r="BU347" s="38">
        <v>0</v>
      </c>
      <c r="BV347" s="38">
        <v>1</v>
      </c>
      <c r="BW347" s="38"/>
      <c r="BX347" s="38"/>
      <c r="BY347" s="38"/>
      <c r="BZ347" s="113">
        <v>0</v>
      </c>
      <c r="CA347" s="113">
        <v>0</v>
      </c>
      <c r="CB347" s="113">
        <v>146</v>
      </c>
      <c r="CC347" s="113"/>
      <c r="CD347" s="113"/>
      <c r="CE347" s="113"/>
      <c r="CF347" s="113">
        <v>0</v>
      </c>
      <c r="CG347" s="113">
        <v>0</v>
      </c>
      <c r="CH347" s="30">
        <v>4</v>
      </c>
      <c r="CI347" s="113">
        <v>0</v>
      </c>
      <c r="CJ347" s="113">
        <v>0</v>
      </c>
      <c r="CK347" s="30">
        <v>10</v>
      </c>
      <c r="CL347" s="30">
        <v>0</v>
      </c>
      <c r="CM347" s="30">
        <v>0</v>
      </c>
      <c r="CN347" s="30">
        <v>0</v>
      </c>
      <c r="CO347" s="113">
        <v>0</v>
      </c>
      <c r="CP347" s="113">
        <v>0</v>
      </c>
      <c r="CQ347" s="30">
        <v>9</v>
      </c>
      <c r="CR347" s="30">
        <v>0</v>
      </c>
      <c r="CS347" s="30">
        <v>0</v>
      </c>
      <c r="CT347" s="30">
        <v>0</v>
      </c>
      <c r="CU347" s="113">
        <v>0</v>
      </c>
      <c r="CV347" s="113">
        <v>0</v>
      </c>
      <c r="CW347" s="30">
        <v>138</v>
      </c>
      <c r="CX347" s="30">
        <v>0</v>
      </c>
      <c r="CY347" s="30">
        <v>0</v>
      </c>
      <c r="CZ347" s="30">
        <v>0</v>
      </c>
      <c r="DA347" s="113">
        <v>0</v>
      </c>
      <c r="DB347" s="113">
        <v>0</v>
      </c>
      <c r="DC347" s="30">
        <v>0</v>
      </c>
      <c r="DD347" s="30">
        <v>0</v>
      </c>
      <c r="DE347" s="30">
        <v>0</v>
      </c>
      <c r="DF347" s="30">
        <v>0</v>
      </c>
      <c r="DG347" s="113">
        <v>0</v>
      </c>
      <c r="DH347" s="113">
        <v>0</v>
      </c>
      <c r="DI347" s="30">
        <v>3</v>
      </c>
      <c r="DJ347" s="30">
        <v>0</v>
      </c>
      <c r="DK347" s="30">
        <v>0</v>
      </c>
      <c r="DL347" s="30">
        <v>0</v>
      </c>
      <c r="DM347" s="113">
        <v>0</v>
      </c>
      <c r="DN347" s="113">
        <v>0</v>
      </c>
      <c r="DO347" s="113">
        <v>0</v>
      </c>
      <c r="DP347" s="38">
        <v>0</v>
      </c>
      <c r="DQ347" s="38">
        <v>0</v>
      </c>
      <c r="DR347" s="113">
        <v>0</v>
      </c>
      <c r="DS347" s="38">
        <v>0</v>
      </c>
      <c r="DT347" s="38">
        <v>0</v>
      </c>
      <c r="DU347" s="38">
        <v>1</v>
      </c>
      <c r="DV347" s="38">
        <v>0</v>
      </c>
      <c r="DW347" s="38">
        <v>0</v>
      </c>
      <c r="DX347" s="38">
        <v>0</v>
      </c>
      <c r="DY347" s="38">
        <v>0</v>
      </c>
      <c r="DZ347" s="38">
        <v>0</v>
      </c>
      <c r="EA347" s="38">
        <v>1011.9</v>
      </c>
      <c r="EB347" s="38">
        <v>0</v>
      </c>
      <c r="EC347" s="38">
        <v>0</v>
      </c>
      <c r="ED347" s="38">
        <v>0</v>
      </c>
      <c r="EE347" s="38">
        <v>0</v>
      </c>
      <c r="EF347" s="38">
        <v>0</v>
      </c>
      <c r="EG347" s="38">
        <v>796</v>
      </c>
      <c r="EH347" s="38">
        <v>0</v>
      </c>
      <c r="EI347" s="38">
        <v>0</v>
      </c>
      <c r="EJ347" s="38">
        <v>0</v>
      </c>
      <c r="EK347" s="38">
        <v>0</v>
      </c>
      <c r="EL347" s="38">
        <v>0</v>
      </c>
      <c r="EM347" s="38">
        <v>838</v>
      </c>
      <c r="EN347" s="38">
        <v>0</v>
      </c>
      <c r="EO347" s="38">
        <v>0</v>
      </c>
      <c r="EP347" s="38">
        <v>0</v>
      </c>
      <c r="EQ347" s="38">
        <v>0</v>
      </c>
      <c r="ER347" s="38">
        <v>0</v>
      </c>
      <c r="ES347" s="38">
        <v>48</v>
      </c>
      <c r="ET347" s="38">
        <v>0</v>
      </c>
      <c r="EU347" s="38">
        <v>0</v>
      </c>
      <c r="EV347" s="38">
        <v>0</v>
      </c>
      <c r="EW347" s="38">
        <v>0</v>
      </c>
      <c r="EX347" s="38">
        <v>0</v>
      </c>
      <c r="EY347" s="38">
        <v>14</v>
      </c>
      <c r="EZ347" s="38">
        <v>0</v>
      </c>
      <c r="FA347" s="38">
        <v>0</v>
      </c>
      <c r="FB347" s="38">
        <v>0</v>
      </c>
      <c r="FC347" s="38">
        <v>0</v>
      </c>
      <c r="FD347" s="38">
        <v>0</v>
      </c>
      <c r="FE347" s="38">
        <v>11</v>
      </c>
      <c r="FF347" s="38">
        <v>0</v>
      </c>
      <c r="FG347" s="38">
        <v>0</v>
      </c>
      <c r="FH347" s="38">
        <v>0</v>
      </c>
      <c r="FI347" s="38">
        <v>0</v>
      </c>
      <c r="FJ347" s="38">
        <v>0</v>
      </c>
      <c r="FK347" s="30">
        <v>6</v>
      </c>
      <c r="FL347" s="38">
        <v>0</v>
      </c>
      <c r="FM347" s="38">
        <v>0</v>
      </c>
      <c r="FN347" s="30">
        <v>2492</v>
      </c>
      <c r="FO347" s="113">
        <v>0</v>
      </c>
      <c r="FP347" s="113">
        <v>0</v>
      </c>
      <c r="FQ347" s="30">
        <v>287</v>
      </c>
      <c r="FR347" s="113">
        <v>0</v>
      </c>
      <c r="FS347" s="113">
        <v>0</v>
      </c>
      <c r="FT347" s="113">
        <v>0</v>
      </c>
      <c r="FU347" s="113">
        <v>0</v>
      </c>
      <c r="FV347" s="113">
        <v>0</v>
      </c>
      <c r="FW347" s="30">
        <v>37</v>
      </c>
      <c r="FX347" s="32">
        <v>0</v>
      </c>
      <c r="FY347" s="30">
        <v>0</v>
      </c>
      <c r="FZ347" s="30">
        <v>3</v>
      </c>
    </row>
    <row r="348" spans="1:182" x14ac:dyDescent="0.2">
      <c r="A348" s="28">
        <v>42156</v>
      </c>
      <c r="B348" s="100">
        <f t="shared" si="26"/>
        <v>59249461.899999999</v>
      </c>
      <c r="C348" s="49">
        <v>208353.24</v>
      </c>
      <c r="D348" s="49">
        <v>395669.79000000015</v>
      </c>
      <c r="E348" s="29">
        <f t="shared" si="20"/>
        <v>604023.03000000014</v>
      </c>
      <c r="F348" s="49">
        <v>3889800.24</v>
      </c>
      <c r="G348" s="49">
        <v>734097.11</v>
      </c>
      <c r="H348" s="30">
        <f t="shared" si="19"/>
        <v>4623897.3500000006</v>
      </c>
      <c r="I348" s="42" t="s">
        <v>75</v>
      </c>
      <c r="J348" s="42" t="s">
        <v>75</v>
      </c>
      <c r="K348" s="83">
        <v>9848328.2299999986</v>
      </c>
      <c r="L348" s="31" t="s">
        <v>75</v>
      </c>
      <c r="M348" s="31" t="s">
        <v>75</v>
      </c>
      <c r="N348" s="49">
        <v>23089547.359999996</v>
      </c>
      <c r="O348" s="31" t="s">
        <v>75</v>
      </c>
      <c r="P348" s="31" t="s">
        <v>75</v>
      </c>
      <c r="Q348" s="48">
        <v>20639209.079999998</v>
      </c>
      <c r="R348" s="31" t="s">
        <v>75</v>
      </c>
      <c r="S348" s="31" t="s">
        <v>75</v>
      </c>
      <c r="T348" s="31">
        <v>138313.26</v>
      </c>
      <c r="U348" s="49">
        <v>1591.1100000000001</v>
      </c>
      <c r="V348" s="49">
        <v>1300.29</v>
      </c>
      <c r="W348" s="31">
        <f t="shared" si="21"/>
        <v>2891.4</v>
      </c>
      <c r="X348" s="49">
        <v>31389.159999999996</v>
      </c>
      <c r="Y348" s="49">
        <v>692.8</v>
      </c>
      <c r="Z348" s="30">
        <f t="shared" si="22"/>
        <v>32081.959999999995</v>
      </c>
      <c r="AA348" s="49">
        <v>137193.15999999997</v>
      </c>
      <c r="AB348" s="49">
        <v>15647.18</v>
      </c>
      <c r="AC348" s="30">
        <f t="shared" si="23"/>
        <v>152840.33999999997</v>
      </c>
      <c r="AD348" s="49">
        <v>3161.33</v>
      </c>
      <c r="AE348" s="49">
        <v>17945.95</v>
      </c>
      <c r="AF348" s="30">
        <f t="shared" si="24"/>
        <v>21107.279999999999</v>
      </c>
      <c r="AG348" s="83">
        <v>16051.529999999999</v>
      </c>
      <c r="AH348" s="83">
        <v>50032.329999999973</v>
      </c>
      <c r="AI348" s="32">
        <f t="shared" si="25"/>
        <v>66083.859999999971</v>
      </c>
      <c r="AJ348" s="31" t="s">
        <v>75</v>
      </c>
      <c r="AK348" s="31" t="s">
        <v>75</v>
      </c>
      <c r="AL348" s="31">
        <v>31138.75</v>
      </c>
      <c r="AM348" s="31"/>
      <c r="AN348" s="31"/>
      <c r="AO348" s="31"/>
      <c r="AP348" s="31"/>
      <c r="AQ348" s="31"/>
      <c r="AR348" s="31"/>
      <c r="AS348" s="31" t="s">
        <v>75</v>
      </c>
      <c r="AT348" s="31" t="s">
        <v>75</v>
      </c>
      <c r="AU348" s="35">
        <v>1037860.64</v>
      </c>
      <c r="AV348" s="31" t="s">
        <v>75</v>
      </c>
      <c r="AW348" s="31" t="s">
        <v>75</v>
      </c>
      <c r="AX348" s="36">
        <v>33455.449999999997</v>
      </c>
      <c r="AY348" s="30">
        <v>8825199.5</v>
      </c>
      <c r="AZ348" s="32">
        <v>404195.5</v>
      </c>
      <c r="BA348" s="29">
        <f t="shared" si="16"/>
        <v>9229395</v>
      </c>
      <c r="BB348" s="31" t="s">
        <v>75</v>
      </c>
      <c r="BC348" s="31" t="s">
        <v>75</v>
      </c>
      <c r="BD348" s="31">
        <v>1443061.8666666667</v>
      </c>
      <c r="BE348" s="113">
        <v>0</v>
      </c>
      <c r="BF348" s="113">
        <v>0</v>
      </c>
      <c r="BG348" s="38">
        <v>138</v>
      </c>
      <c r="BH348" s="38">
        <v>0</v>
      </c>
      <c r="BI348" s="38">
        <v>0</v>
      </c>
      <c r="BJ348" s="38">
        <v>0</v>
      </c>
      <c r="BK348" s="113">
        <v>0</v>
      </c>
      <c r="BL348" s="113">
        <v>0</v>
      </c>
      <c r="BM348" s="38">
        <v>256</v>
      </c>
      <c r="BN348" s="38">
        <v>0</v>
      </c>
      <c r="BO348" s="38">
        <v>0</v>
      </c>
      <c r="BP348" s="38">
        <v>0</v>
      </c>
      <c r="BQ348" s="113">
        <v>0</v>
      </c>
      <c r="BR348" s="113">
        <v>0</v>
      </c>
      <c r="BS348" s="38">
        <v>128</v>
      </c>
      <c r="BT348" s="38">
        <v>0</v>
      </c>
      <c r="BU348" s="38">
        <v>0</v>
      </c>
      <c r="BV348" s="38">
        <v>1</v>
      </c>
      <c r="BW348" s="38"/>
      <c r="BX348" s="38"/>
      <c r="BY348" s="38"/>
      <c r="BZ348" s="113">
        <v>0</v>
      </c>
      <c r="CA348" s="113">
        <v>0</v>
      </c>
      <c r="CB348" s="113">
        <v>180</v>
      </c>
      <c r="CC348" s="113"/>
      <c r="CD348" s="113"/>
      <c r="CE348" s="113"/>
      <c r="CF348" s="113">
        <v>0</v>
      </c>
      <c r="CG348" s="113">
        <v>0</v>
      </c>
      <c r="CH348" s="30">
        <v>4</v>
      </c>
      <c r="CI348" s="113">
        <v>0</v>
      </c>
      <c r="CJ348" s="113">
        <v>0</v>
      </c>
      <c r="CK348" s="30">
        <v>16</v>
      </c>
      <c r="CL348" s="30">
        <v>0</v>
      </c>
      <c r="CM348" s="30">
        <v>0</v>
      </c>
      <c r="CN348" s="30">
        <v>0</v>
      </c>
      <c r="CO348" s="113">
        <v>0</v>
      </c>
      <c r="CP348" s="113">
        <v>0</v>
      </c>
      <c r="CQ348" s="30">
        <v>9</v>
      </c>
      <c r="CR348" s="30">
        <v>0</v>
      </c>
      <c r="CS348" s="30">
        <v>0</v>
      </c>
      <c r="CT348" s="30">
        <v>0</v>
      </c>
      <c r="CU348" s="113">
        <v>0</v>
      </c>
      <c r="CV348" s="113">
        <v>0</v>
      </c>
      <c r="CW348" s="30">
        <v>233</v>
      </c>
      <c r="CX348" s="30">
        <v>0</v>
      </c>
      <c r="CY348" s="30">
        <v>0</v>
      </c>
      <c r="CZ348" s="30">
        <v>0</v>
      </c>
      <c r="DA348" s="113">
        <v>0</v>
      </c>
      <c r="DB348" s="113">
        <v>0</v>
      </c>
      <c r="DC348" s="30">
        <v>1</v>
      </c>
      <c r="DD348" s="30">
        <v>0</v>
      </c>
      <c r="DE348" s="30">
        <v>0</v>
      </c>
      <c r="DF348" s="30">
        <v>0</v>
      </c>
      <c r="DG348" s="113">
        <v>0</v>
      </c>
      <c r="DH348" s="113">
        <v>0</v>
      </c>
      <c r="DI348" s="30">
        <v>3</v>
      </c>
      <c r="DJ348" s="30">
        <v>0</v>
      </c>
      <c r="DK348" s="30">
        <v>0</v>
      </c>
      <c r="DL348" s="30">
        <v>0</v>
      </c>
      <c r="DM348" s="113">
        <v>0</v>
      </c>
      <c r="DN348" s="113">
        <v>0</v>
      </c>
      <c r="DO348" s="113">
        <v>0</v>
      </c>
      <c r="DP348" s="38">
        <v>0</v>
      </c>
      <c r="DQ348" s="38">
        <v>0</v>
      </c>
      <c r="DR348" s="113">
        <v>0</v>
      </c>
      <c r="DS348" s="38">
        <v>0</v>
      </c>
      <c r="DT348" s="38">
        <v>0</v>
      </c>
      <c r="DU348" s="38">
        <v>0</v>
      </c>
      <c r="DV348" s="38">
        <v>0</v>
      </c>
      <c r="DW348" s="38">
        <v>0</v>
      </c>
      <c r="DX348" s="38">
        <v>0</v>
      </c>
      <c r="DY348" s="38">
        <v>0</v>
      </c>
      <c r="DZ348" s="38">
        <v>0</v>
      </c>
      <c r="EA348" s="38">
        <v>1020</v>
      </c>
      <c r="EB348" s="38">
        <v>0</v>
      </c>
      <c r="EC348" s="38">
        <v>0</v>
      </c>
      <c r="ED348" s="38">
        <v>0</v>
      </c>
      <c r="EE348" s="38">
        <v>0</v>
      </c>
      <c r="EF348" s="38">
        <v>0</v>
      </c>
      <c r="EG348" s="38">
        <v>1092</v>
      </c>
      <c r="EH348" s="38">
        <v>0</v>
      </c>
      <c r="EI348" s="38">
        <v>0</v>
      </c>
      <c r="EJ348" s="38">
        <v>0</v>
      </c>
      <c r="EK348" s="38">
        <v>0</v>
      </c>
      <c r="EL348" s="38">
        <v>0</v>
      </c>
      <c r="EM348" s="38">
        <v>884</v>
      </c>
      <c r="EN348" s="38">
        <v>0</v>
      </c>
      <c r="EO348" s="38">
        <v>0</v>
      </c>
      <c r="EP348" s="38">
        <v>0</v>
      </c>
      <c r="EQ348" s="38">
        <v>0</v>
      </c>
      <c r="ER348" s="38">
        <v>0</v>
      </c>
      <c r="ES348" s="38">
        <v>53</v>
      </c>
      <c r="ET348" s="38">
        <v>0</v>
      </c>
      <c r="EU348" s="38">
        <v>0</v>
      </c>
      <c r="EV348" s="38">
        <v>1</v>
      </c>
      <c r="EW348" s="38">
        <v>0</v>
      </c>
      <c r="EX348" s="38">
        <v>0</v>
      </c>
      <c r="EY348" s="38">
        <v>12</v>
      </c>
      <c r="EZ348" s="38">
        <v>0</v>
      </c>
      <c r="FA348" s="38">
        <v>0</v>
      </c>
      <c r="FB348" s="38">
        <v>0</v>
      </c>
      <c r="FC348" s="38">
        <v>0</v>
      </c>
      <c r="FD348" s="38">
        <v>0</v>
      </c>
      <c r="FE348" s="38">
        <v>6</v>
      </c>
      <c r="FF348" s="38">
        <v>0</v>
      </c>
      <c r="FG348" s="38">
        <v>0</v>
      </c>
      <c r="FH348" s="38">
        <v>0</v>
      </c>
      <c r="FI348" s="38">
        <v>0</v>
      </c>
      <c r="FJ348" s="38">
        <v>0</v>
      </c>
      <c r="FK348" s="30">
        <v>12</v>
      </c>
      <c r="FL348" s="38">
        <v>0</v>
      </c>
      <c r="FM348" s="38">
        <v>0</v>
      </c>
      <c r="FN348" s="30">
        <v>2507</v>
      </c>
      <c r="FO348" s="113">
        <v>0</v>
      </c>
      <c r="FP348" s="113">
        <v>0</v>
      </c>
      <c r="FQ348" s="30">
        <v>243</v>
      </c>
      <c r="FR348" s="113">
        <v>0</v>
      </c>
      <c r="FS348" s="113">
        <v>0</v>
      </c>
      <c r="FT348" s="113">
        <v>0</v>
      </c>
      <c r="FU348" s="113">
        <v>0</v>
      </c>
      <c r="FV348" s="113">
        <v>0</v>
      </c>
      <c r="FW348" s="30">
        <v>34</v>
      </c>
      <c r="FX348" s="32">
        <v>0</v>
      </c>
      <c r="FY348" s="30">
        <v>0</v>
      </c>
      <c r="FZ348" s="30">
        <v>27</v>
      </c>
    </row>
    <row r="349" spans="1:182" x14ac:dyDescent="0.2">
      <c r="A349" s="28">
        <v>42186</v>
      </c>
      <c r="B349" s="100">
        <f t="shared" si="26"/>
        <v>70534879.910000011</v>
      </c>
      <c r="C349" s="49">
        <v>198333.95</v>
      </c>
      <c r="D349" s="49">
        <v>264710.31</v>
      </c>
      <c r="E349" s="29">
        <f t="shared" si="20"/>
        <v>463044.26</v>
      </c>
      <c r="F349" s="49">
        <v>4853281.01</v>
      </c>
      <c r="G349" s="49">
        <v>830996.57000000007</v>
      </c>
      <c r="H349" s="30">
        <f t="shared" si="19"/>
        <v>5684277.5800000001</v>
      </c>
      <c r="I349" s="42" t="s">
        <v>75</v>
      </c>
      <c r="J349" s="42" t="s">
        <v>75</v>
      </c>
      <c r="K349" s="83">
        <v>15211723.570000002</v>
      </c>
      <c r="L349" s="31" t="s">
        <v>75</v>
      </c>
      <c r="M349" s="31" t="s">
        <v>75</v>
      </c>
      <c r="N349" s="49">
        <v>25806207.299999997</v>
      </c>
      <c r="O349" s="31" t="s">
        <v>75</v>
      </c>
      <c r="P349" s="31" t="s">
        <v>75</v>
      </c>
      <c r="Q349" s="48">
        <v>22907485.710000001</v>
      </c>
      <c r="R349" s="31" t="s">
        <v>75</v>
      </c>
      <c r="S349" s="31" t="s">
        <v>75</v>
      </c>
      <c r="T349" s="31">
        <v>64122.78</v>
      </c>
      <c r="U349" s="49">
        <v>2503.8000000000002</v>
      </c>
      <c r="V349" s="49">
        <v>858.87</v>
      </c>
      <c r="W349" s="31">
        <f t="shared" si="21"/>
        <v>3362.67</v>
      </c>
      <c r="X349" s="49">
        <v>74981.279999999999</v>
      </c>
      <c r="Y349" s="49">
        <v>2352.5</v>
      </c>
      <c r="Z349" s="30">
        <f t="shared" si="22"/>
        <v>77333.78</v>
      </c>
      <c r="AA349" s="49">
        <v>169414.85</v>
      </c>
      <c r="AB349" s="49">
        <v>20118.590000000004</v>
      </c>
      <c r="AC349" s="30">
        <f t="shared" si="23"/>
        <v>189533.44</v>
      </c>
      <c r="AD349" s="49">
        <v>6438.6</v>
      </c>
      <c r="AE349" s="49">
        <v>7451.4899999999989</v>
      </c>
      <c r="AF349" s="30">
        <f t="shared" si="24"/>
        <v>13890.09</v>
      </c>
      <c r="AG349" s="83">
        <v>25159.22</v>
      </c>
      <c r="AH349" s="83">
        <v>41789.510000000009</v>
      </c>
      <c r="AI349" s="32">
        <f t="shared" si="25"/>
        <v>66948.73000000001</v>
      </c>
      <c r="AJ349" s="31" t="s">
        <v>75</v>
      </c>
      <c r="AK349" s="31" t="s">
        <v>75</v>
      </c>
      <c r="AL349" s="31">
        <v>46950</v>
      </c>
      <c r="AM349" s="31"/>
      <c r="AN349" s="31"/>
      <c r="AO349" s="31"/>
      <c r="AP349" s="31"/>
      <c r="AQ349" s="31"/>
      <c r="AR349" s="31"/>
      <c r="AS349" s="31" t="s">
        <v>75</v>
      </c>
      <c r="AT349" s="31" t="s">
        <v>75</v>
      </c>
      <c r="AU349" s="35">
        <v>1428600.62</v>
      </c>
      <c r="AV349" s="31" t="s">
        <v>75</v>
      </c>
      <c r="AW349" s="31" t="s">
        <v>75</v>
      </c>
      <c r="AX349" s="36">
        <v>36470.18</v>
      </c>
      <c r="AY349" s="32">
        <v>8512509.1999999993</v>
      </c>
      <c r="AZ349" s="32">
        <v>1444943</v>
      </c>
      <c r="BA349" s="29">
        <f t="shared" si="16"/>
        <v>9957452.1999999993</v>
      </c>
      <c r="BB349" s="31" t="s">
        <v>75</v>
      </c>
      <c r="BC349" s="31" t="s">
        <v>75</v>
      </c>
      <c r="BD349" s="31">
        <v>1427219.0222222223</v>
      </c>
      <c r="BE349" s="113">
        <v>0</v>
      </c>
      <c r="BF349" s="113">
        <v>0</v>
      </c>
      <c r="BG349" s="38">
        <v>93</v>
      </c>
      <c r="BH349" s="38">
        <v>0</v>
      </c>
      <c r="BI349" s="38">
        <v>0</v>
      </c>
      <c r="BJ349" s="38">
        <v>0</v>
      </c>
      <c r="BK349" s="113">
        <v>0</v>
      </c>
      <c r="BL349" s="113">
        <v>0</v>
      </c>
      <c r="BM349" s="38">
        <v>295</v>
      </c>
      <c r="BN349" s="38">
        <v>0</v>
      </c>
      <c r="BO349" s="38">
        <v>0</v>
      </c>
      <c r="BP349" s="38">
        <v>0</v>
      </c>
      <c r="BQ349" s="113">
        <v>0</v>
      </c>
      <c r="BR349" s="113">
        <v>0</v>
      </c>
      <c r="BS349" s="38">
        <v>137</v>
      </c>
      <c r="BT349" s="38">
        <v>0</v>
      </c>
      <c r="BU349" s="38">
        <v>0</v>
      </c>
      <c r="BV349" s="38">
        <v>0</v>
      </c>
      <c r="BW349" s="38"/>
      <c r="BX349" s="38"/>
      <c r="BY349" s="38"/>
      <c r="BZ349" s="113">
        <v>0</v>
      </c>
      <c r="CA349" s="113">
        <v>0</v>
      </c>
      <c r="CB349" s="113">
        <v>185</v>
      </c>
      <c r="CC349" s="113"/>
      <c r="CD349" s="113"/>
      <c r="CE349" s="113"/>
      <c r="CF349" s="113">
        <v>0</v>
      </c>
      <c r="CG349" s="113">
        <v>0</v>
      </c>
      <c r="CH349" s="30">
        <v>1</v>
      </c>
      <c r="CI349" s="113">
        <v>0</v>
      </c>
      <c r="CJ349" s="113">
        <v>0</v>
      </c>
      <c r="CK349" s="30">
        <v>16</v>
      </c>
      <c r="CL349" s="30">
        <v>0</v>
      </c>
      <c r="CM349" s="30">
        <v>0</v>
      </c>
      <c r="CN349" s="30">
        <v>0</v>
      </c>
      <c r="CO349" s="113">
        <v>0</v>
      </c>
      <c r="CP349" s="113">
        <v>0</v>
      </c>
      <c r="CQ349" s="30">
        <v>8</v>
      </c>
      <c r="CR349" s="30">
        <v>0</v>
      </c>
      <c r="CS349" s="30">
        <v>0</v>
      </c>
      <c r="CT349" s="30">
        <v>0</v>
      </c>
      <c r="CU349" s="113">
        <v>0</v>
      </c>
      <c r="CV349" s="113">
        <v>0</v>
      </c>
      <c r="CW349" s="30">
        <v>195</v>
      </c>
      <c r="CX349" s="30">
        <v>0</v>
      </c>
      <c r="CY349" s="30">
        <v>0</v>
      </c>
      <c r="CZ349" s="30">
        <v>0</v>
      </c>
      <c r="DA349" s="113">
        <v>0</v>
      </c>
      <c r="DB349" s="113">
        <v>0</v>
      </c>
      <c r="DC349" s="30">
        <v>2</v>
      </c>
      <c r="DD349" s="30">
        <v>0</v>
      </c>
      <c r="DE349" s="30">
        <v>0</v>
      </c>
      <c r="DF349" s="30">
        <v>0</v>
      </c>
      <c r="DG349" s="113">
        <v>0</v>
      </c>
      <c r="DH349" s="113">
        <v>0</v>
      </c>
      <c r="DI349" s="113">
        <v>0</v>
      </c>
      <c r="DJ349" s="113">
        <v>0</v>
      </c>
      <c r="DK349" s="113">
        <v>0</v>
      </c>
      <c r="DL349" s="113">
        <v>0</v>
      </c>
      <c r="DM349" s="113">
        <v>0</v>
      </c>
      <c r="DN349" s="113">
        <v>0</v>
      </c>
      <c r="DO349" s="113">
        <v>0</v>
      </c>
      <c r="DP349" s="38">
        <v>0</v>
      </c>
      <c r="DQ349" s="38">
        <v>0</v>
      </c>
      <c r="DR349" s="113">
        <v>0</v>
      </c>
      <c r="DS349" s="38">
        <v>0</v>
      </c>
      <c r="DT349" s="38">
        <v>0</v>
      </c>
      <c r="DU349" s="38">
        <v>15</v>
      </c>
      <c r="DV349" s="38">
        <v>0</v>
      </c>
      <c r="DW349" s="38">
        <v>0</v>
      </c>
      <c r="DX349" s="38">
        <v>0</v>
      </c>
      <c r="DY349" s="38">
        <v>0</v>
      </c>
      <c r="DZ349" s="38">
        <v>0</v>
      </c>
      <c r="EA349" s="38">
        <v>991</v>
      </c>
      <c r="EB349" s="38">
        <v>0</v>
      </c>
      <c r="EC349" s="38">
        <v>0</v>
      </c>
      <c r="ED349" s="38">
        <v>0</v>
      </c>
      <c r="EE349" s="38">
        <v>0</v>
      </c>
      <c r="EF349" s="38">
        <v>0</v>
      </c>
      <c r="EG349" s="38">
        <v>938</v>
      </c>
      <c r="EH349" s="38">
        <v>0</v>
      </c>
      <c r="EI349" s="38">
        <v>0</v>
      </c>
      <c r="EJ349" s="38">
        <v>0</v>
      </c>
      <c r="EK349" s="38">
        <v>0</v>
      </c>
      <c r="EL349" s="38">
        <v>0</v>
      </c>
      <c r="EM349" s="38">
        <v>789</v>
      </c>
      <c r="EN349" s="38">
        <v>0</v>
      </c>
      <c r="EO349" s="38">
        <v>0</v>
      </c>
      <c r="EP349" s="38">
        <v>0</v>
      </c>
      <c r="EQ349" s="38">
        <v>0</v>
      </c>
      <c r="ER349" s="38">
        <v>0</v>
      </c>
      <c r="ES349" s="38">
        <v>62</v>
      </c>
      <c r="ET349" s="38">
        <v>0</v>
      </c>
      <c r="EU349" s="38">
        <v>0</v>
      </c>
      <c r="EV349" s="38">
        <v>0</v>
      </c>
      <c r="EW349" s="38">
        <v>0</v>
      </c>
      <c r="EX349" s="38">
        <v>0</v>
      </c>
      <c r="EY349" s="38">
        <v>14</v>
      </c>
      <c r="EZ349" s="38">
        <v>0</v>
      </c>
      <c r="FA349" s="38">
        <v>0</v>
      </c>
      <c r="FB349" s="38">
        <v>0</v>
      </c>
      <c r="FC349" s="38">
        <v>0</v>
      </c>
      <c r="FD349" s="38">
        <v>0</v>
      </c>
      <c r="FE349" s="38">
        <v>13</v>
      </c>
      <c r="FF349" s="38">
        <v>0</v>
      </c>
      <c r="FG349" s="38">
        <v>0</v>
      </c>
      <c r="FH349" s="38">
        <v>0</v>
      </c>
      <c r="FI349" s="38">
        <v>0</v>
      </c>
      <c r="FJ349" s="38">
        <v>0</v>
      </c>
      <c r="FK349" s="30">
        <v>31</v>
      </c>
      <c r="FL349" s="38">
        <v>0</v>
      </c>
      <c r="FM349" s="38">
        <v>0</v>
      </c>
      <c r="FN349" s="30">
        <v>2979</v>
      </c>
      <c r="FO349" s="113">
        <v>0</v>
      </c>
      <c r="FP349" s="113">
        <v>0</v>
      </c>
      <c r="FQ349" s="30">
        <v>341</v>
      </c>
      <c r="FR349" s="113">
        <v>0</v>
      </c>
      <c r="FS349" s="113">
        <v>0</v>
      </c>
      <c r="FT349" s="113">
        <v>0</v>
      </c>
      <c r="FU349" s="113">
        <v>0</v>
      </c>
      <c r="FV349" s="113">
        <v>0</v>
      </c>
      <c r="FW349" s="30">
        <v>28</v>
      </c>
      <c r="FX349" s="32">
        <v>0</v>
      </c>
      <c r="FY349" s="30">
        <v>0</v>
      </c>
      <c r="FZ349" s="30">
        <v>109</v>
      </c>
    </row>
    <row r="350" spans="1:182" x14ac:dyDescent="0.2">
      <c r="A350" s="28">
        <v>42217</v>
      </c>
      <c r="B350" s="100">
        <f t="shared" si="26"/>
        <v>61508967.000000015</v>
      </c>
      <c r="C350" s="49">
        <v>191141.92</v>
      </c>
      <c r="D350" s="49">
        <v>235863.71999999997</v>
      </c>
      <c r="E350" s="29">
        <f t="shared" si="20"/>
        <v>427005.64</v>
      </c>
      <c r="F350" s="49">
        <v>5153069.8</v>
      </c>
      <c r="G350" s="49">
        <v>865875.61</v>
      </c>
      <c r="H350" s="30">
        <f t="shared" si="19"/>
        <v>6018945.4100000001</v>
      </c>
      <c r="I350" s="42" t="s">
        <v>75</v>
      </c>
      <c r="J350" s="42" t="s">
        <v>75</v>
      </c>
      <c r="K350" s="83">
        <v>10492983.68</v>
      </c>
      <c r="L350" s="31" t="s">
        <v>75</v>
      </c>
      <c r="M350" s="31" t="s">
        <v>75</v>
      </c>
      <c r="N350" s="49">
        <v>22962640.5</v>
      </c>
      <c r="O350" s="31" t="s">
        <v>75</v>
      </c>
      <c r="P350" s="31" t="s">
        <v>75</v>
      </c>
      <c r="Q350" s="48">
        <v>21105425.400000002</v>
      </c>
      <c r="R350" s="31" t="s">
        <v>75</v>
      </c>
      <c r="S350" s="31" t="s">
        <v>75</v>
      </c>
      <c r="T350" s="31">
        <v>230327.41</v>
      </c>
      <c r="U350" s="49">
        <v>2056.83</v>
      </c>
      <c r="V350" s="49">
        <v>2057.06</v>
      </c>
      <c r="W350" s="31">
        <f t="shared" si="21"/>
        <v>4113.8899999999994</v>
      </c>
      <c r="X350" s="49">
        <v>32178.269999999997</v>
      </c>
      <c r="Y350" s="49">
        <v>7627.9</v>
      </c>
      <c r="Z350" s="30">
        <f t="shared" si="22"/>
        <v>39806.17</v>
      </c>
      <c r="AA350" s="49">
        <v>80652.69</v>
      </c>
      <c r="AB350" s="49">
        <v>25916.12</v>
      </c>
      <c r="AC350" s="30">
        <f t="shared" si="23"/>
        <v>106568.81</v>
      </c>
      <c r="AD350" s="49">
        <v>6549.94</v>
      </c>
      <c r="AE350" s="49">
        <v>21612.73</v>
      </c>
      <c r="AF350" s="30">
        <f t="shared" si="24"/>
        <v>28162.67</v>
      </c>
      <c r="AG350" s="83">
        <v>17726.16</v>
      </c>
      <c r="AH350" s="83">
        <v>47913.760000000017</v>
      </c>
      <c r="AI350" s="32">
        <f t="shared" si="25"/>
        <v>65639.920000000013</v>
      </c>
      <c r="AJ350" s="31" t="s">
        <v>75</v>
      </c>
      <c r="AK350" s="31" t="s">
        <v>75</v>
      </c>
      <c r="AL350" s="31">
        <v>27347.5</v>
      </c>
      <c r="AM350" s="31"/>
      <c r="AN350" s="31"/>
      <c r="AO350" s="31"/>
      <c r="AP350" s="31"/>
      <c r="AQ350" s="31"/>
      <c r="AR350" s="31"/>
      <c r="AS350" s="31" t="s">
        <v>75</v>
      </c>
      <c r="AT350" s="31" t="s">
        <v>75</v>
      </c>
      <c r="AU350" s="35">
        <v>1310663.8899999999</v>
      </c>
      <c r="AV350" s="31" t="s">
        <v>75</v>
      </c>
      <c r="AW350" s="31" t="s">
        <v>75</v>
      </c>
      <c r="AX350" s="36">
        <v>36720.17</v>
      </c>
      <c r="AY350" s="30">
        <v>8870053</v>
      </c>
      <c r="AZ350" s="32">
        <v>862235</v>
      </c>
      <c r="BA350" s="29">
        <f t="shared" si="16"/>
        <v>9732288</v>
      </c>
      <c r="BB350" s="31" t="s">
        <v>75</v>
      </c>
      <c r="BC350" s="31" t="s">
        <v>75</v>
      </c>
      <c r="BD350" s="31">
        <v>1575497.3333333333</v>
      </c>
      <c r="BE350" s="113">
        <v>0</v>
      </c>
      <c r="BF350" s="113">
        <v>0</v>
      </c>
      <c r="BG350" s="38">
        <v>66</v>
      </c>
      <c r="BH350" s="38">
        <v>0</v>
      </c>
      <c r="BI350" s="38">
        <v>0</v>
      </c>
      <c r="BJ350" s="38">
        <v>0</v>
      </c>
      <c r="BK350" s="113">
        <v>0</v>
      </c>
      <c r="BL350" s="113">
        <v>0</v>
      </c>
      <c r="BM350" s="38">
        <v>225</v>
      </c>
      <c r="BN350" s="38">
        <v>0</v>
      </c>
      <c r="BO350" s="38">
        <v>0</v>
      </c>
      <c r="BP350" s="38">
        <v>0</v>
      </c>
      <c r="BQ350" s="113">
        <v>0</v>
      </c>
      <c r="BR350" s="113">
        <v>0</v>
      </c>
      <c r="BS350" s="38">
        <v>115</v>
      </c>
      <c r="BT350" s="38">
        <v>0</v>
      </c>
      <c r="BU350" s="38">
        <v>0</v>
      </c>
      <c r="BV350" s="38">
        <v>0</v>
      </c>
      <c r="BW350" s="38"/>
      <c r="BX350" s="38"/>
      <c r="BY350" s="38"/>
      <c r="BZ350" s="113">
        <v>0</v>
      </c>
      <c r="CA350" s="113">
        <v>0</v>
      </c>
      <c r="CB350" s="113">
        <v>171</v>
      </c>
      <c r="CC350" s="113"/>
      <c r="CD350" s="113"/>
      <c r="CE350" s="113"/>
      <c r="CF350" s="113">
        <v>0</v>
      </c>
      <c r="CG350" s="113">
        <v>0</v>
      </c>
      <c r="CH350" s="30">
        <v>2</v>
      </c>
      <c r="CI350" s="113">
        <v>0</v>
      </c>
      <c r="CJ350" s="113">
        <v>0</v>
      </c>
      <c r="CK350" s="30">
        <v>11</v>
      </c>
      <c r="CL350" s="30">
        <v>0</v>
      </c>
      <c r="CM350" s="30">
        <v>0</v>
      </c>
      <c r="CN350" s="30">
        <v>0</v>
      </c>
      <c r="CO350" s="113">
        <v>0</v>
      </c>
      <c r="CP350" s="113">
        <v>0</v>
      </c>
      <c r="CQ350" s="30">
        <v>3</v>
      </c>
      <c r="CR350" s="30">
        <v>0</v>
      </c>
      <c r="CS350" s="30">
        <v>0</v>
      </c>
      <c r="CT350" s="30">
        <v>0</v>
      </c>
      <c r="CU350" s="113">
        <v>0</v>
      </c>
      <c r="CV350" s="113">
        <v>0</v>
      </c>
      <c r="CW350" s="30">
        <v>193</v>
      </c>
      <c r="CX350" s="30">
        <v>0</v>
      </c>
      <c r="CY350" s="30">
        <v>0</v>
      </c>
      <c r="CZ350" s="30">
        <v>0</v>
      </c>
      <c r="DA350" s="113">
        <v>0</v>
      </c>
      <c r="DB350" s="113">
        <v>0</v>
      </c>
      <c r="DC350" s="30">
        <v>0</v>
      </c>
      <c r="DD350" s="30">
        <v>0</v>
      </c>
      <c r="DE350" s="30">
        <v>0</v>
      </c>
      <c r="DF350" s="30">
        <v>0</v>
      </c>
      <c r="DG350" s="113">
        <v>0</v>
      </c>
      <c r="DH350" s="113">
        <v>0</v>
      </c>
      <c r="DI350" s="30">
        <v>3</v>
      </c>
      <c r="DJ350" s="30">
        <v>0</v>
      </c>
      <c r="DK350" s="30">
        <v>0</v>
      </c>
      <c r="DL350" s="30">
        <v>0</v>
      </c>
      <c r="DM350" s="113">
        <v>0</v>
      </c>
      <c r="DN350" s="113">
        <v>0</v>
      </c>
      <c r="DO350" s="113">
        <v>0</v>
      </c>
      <c r="DP350" s="38">
        <v>0</v>
      </c>
      <c r="DQ350" s="38">
        <v>0</v>
      </c>
      <c r="DR350" s="113">
        <v>0</v>
      </c>
      <c r="DS350" s="38">
        <v>0</v>
      </c>
      <c r="DT350" s="38">
        <v>0</v>
      </c>
      <c r="DU350" s="38">
        <v>5</v>
      </c>
      <c r="DV350" s="38">
        <v>0</v>
      </c>
      <c r="DW350" s="38">
        <v>0</v>
      </c>
      <c r="DX350" s="38">
        <v>0</v>
      </c>
      <c r="DY350" s="38">
        <v>0</v>
      </c>
      <c r="DZ350" s="38">
        <v>0</v>
      </c>
      <c r="EA350" s="38">
        <v>725</v>
      </c>
      <c r="EB350" s="38">
        <v>0</v>
      </c>
      <c r="EC350" s="38">
        <v>0</v>
      </c>
      <c r="ED350" s="38">
        <v>0</v>
      </c>
      <c r="EE350" s="38">
        <v>0</v>
      </c>
      <c r="EF350" s="38">
        <v>0</v>
      </c>
      <c r="EG350" s="38">
        <v>958</v>
      </c>
      <c r="EH350" s="38">
        <v>0</v>
      </c>
      <c r="EI350" s="38">
        <v>0</v>
      </c>
      <c r="EJ350" s="38">
        <v>0</v>
      </c>
      <c r="EK350" s="38">
        <v>0</v>
      </c>
      <c r="EL350" s="38">
        <v>0</v>
      </c>
      <c r="EM350" s="38">
        <v>815</v>
      </c>
      <c r="EN350" s="38">
        <v>0</v>
      </c>
      <c r="EO350" s="38">
        <v>0</v>
      </c>
      <c r="EP350" s="38">
        <v>0</v>
      </c>
      <c r="EQ350" s="38">
        <v>0</v>
      </c>
      <c r="ER350" s="38">
        <v>0</v>
      </c>
      <c r="ES350" s="38">
        <v>45</v>
      </c>
      <c r="ET350" s="38">
        <v>0</v>
      </c>
      <c r="EU350" s="38">
        <v>0</v>
      </c>
      <c r="EV350" s="38">
        <v>0</v>
      </c>
      <c r="EW350" s="38">
        <v>0</v>
      </c>
      <c r="EX350" s="38">
        <v>0</v>
      </c>
      <c r="EY350" s="38">
        <v>3</v>
      </c>
      <c r="EZ350" s="38">
        <v>0</v>
      </c>
      <c r="FA350" s="38">
        <v>0</v>
      </c>
      <c r="FB350" s="38">
        <v>0</v>
      </c>
      <c r="FC350" s="38">
        <v>0</v>
      </c>
      <c r="FD350" s="38">
        <v>0</v>
      </c>
      <c r="FE350" s="38">
        <v>4</v>
      </c>
      <c r="FF350" s="38">
        <v>0</v>
      </c>
      <c r="FG350" s="38">
        <v>0</v>
      </c>
      <c r="FH350" s="38">
        <v>0</v>
      </c>
      <c r="FI350" s="38">
        <v>0</v>
      </c>
      <c r="FJ350" s="38">
        <v>0</v>
      </c>
      <c r="FK350" s="30">
        <v>15</v>
      </c>
      <c r="FL350" s="38">
        <v>0</v>
      </c>
      <c r="FM350" s="38">
        <v>0</v>
      </c>
      <c r="FN350" s="30">
        <v>2326</v>
      </c>
      <c r="FO350" s="113">
        <v>0</v>
      </c>
      <c r="FP350" s="113">
        <v>0</v>
      </c>
      <c r="FQ350" s="30">
        <v>215.2</v>
      </c>
      <c r="FR350" s="113">
        <v>0</v>
      </c>
      <c r="FS350" s="113">
        <v>0</v>
      </c>
      <c r="FT350" s="113">
        <v>0</v>
      </c>
      <c r="FU350" s="113">
        <v>0</v>
      </c>
      <c r="FV350" s="113">
        <v>0</v>
      </c>
      <c r="FW350" s="30">
        <v>58</v>
      </c>
      <c r="FX350" s="32">
        <v>0</v>
      </c>
      <c r="FY350" s="30">
        <v>0</v>
      </c>
      <c r="FZ350" s="30">
        <v>149</v>
      </c>
    </row>
    <row r="351" spans="1:182" x14ac:dyDescent="0.2">
      <c r="A351" s="28">
        <v>42248</v>
      </c>
      <c r="B351" s="100">
        <f t="shared" si="26"/>
        <v>79462639.370000005</v>
      </c>
      <c r="C351" s="49">
        <v>171415.53</v>
      </c>
      <c r="D351" s="49">
        <v>303878.32</v>
      </c>
      <c r="E351" s="29">
        <f t="shared" si="20"/>
        <v>475293.85</v>
      </c>
      <c r="F351" s="49">
        <v>6112405.9500000002</v>
      </c>
      <c r="G351" s="49">
        <v>1228369.1399999997</v>
      </c>
      <c r="H351" s="30">
        <f t="shared" si="19"/>
        <v>7340775.0899999999</v>
      </c>
      <c r="I351" s="42" t="s">
        <v>75</v>
      </c>
      <c r="J351" s="42" t="s">
        <v>75</v>
      </c>
      <c r="K351" s="83">
        <v>23047050.91</v>
      </c>
      <c r="L351" s="31" t="s">
        <v>75</v>
      </c>
      <c r="M351" s="31" t="s">
        <v>75</v>
      </c>
      <c r="N351" s="49">
        <v>25778398.710000001</v>
      </c>
      <c r="O351" s="31" t="s">
        <v>75</v>
      </c>
      <c r="P351" s="31" t="s">
        <v>75</v>
      </c>
      <c r="Q351" s="48">
        <v>22384060.100000001</v>
      </c>
      <c r="R351" s="31" t="s">
        <v>75</v>
      </c>
      <c r="S351" s="31" t="s">
        <v>75</v>
      </c>
      <c r="T351" s="31">
        <v>147916.79</v>
      </c>
      <c r="U351" s="49">
        <v>3896.31</v>
      </c>
      <c r="V351" s="49">
        <v>2164.2600000000002</v>
      </c>
      <c r="W351" s="31">
        <f t="shared" si="21"/>
        <v>6060.57</v>
      </c>
      <c r="X351" s="49">
        <v>42743.509999999995</v>
      </c>
      <c r="Y351" s="49">
        <v>5856.9</v>
      </c>
      <c r="Z351" s="30">
        <f t="shared" si="22"/>
        <v>48600.409999999996</v>
      </c>
      <c r="AA351" s="49">
        <v>80736.66</v>
      </c>
      <c r="AB351" s="49">
        <v>14258.400000000001</v>
      </c>
      <c r="AC351" s="30">
        <f t="shared" si="23"/>
        <v>94995.06</v>
      </c>
      <c r="AD351" s="49">
        <v>6652.95</v>
      </c>
      <c r="AE351" s="49">
        <v>29723.749999999996</v>
      </c>
      <c r="AF351" s="30">
        <f t="shared" si="24"/>
        <v>36376.699999999997</v>
      </c>
      <c r="AG351" s="83">
        <v>16088.2</v>
      </c>
      <c r="AH351" s="83">
        <v>54860.479999999981</v>
      </c>
      <c r="AI351" s="32">
        <f t="shared" si="25"/>
        <v>70948.679999999978</v>
      </c>
      <c r="AJ351" s="31" t="s">
        <v>75</v>
      </c>
      <c r="AK351" s="31" t="s">
        <v>75</v>
      </c>
      <c r="AL351" s="31">
        <v>32162.5</v>
      </c>
      <c r="AM351" s="31"/>
      <c r="AN351" s="31"/>
      <c r="AO351" s="31"/>
      <c r="AP351" s="31"/>
      <c r="AQ351" s="31"/>
      <c r="AR351" s="31"/>
      <c r="AS351" s="31" t="s">
        <v>75</v>
      </c>
      <c r="AT351" s="31" t="s">
        <v>75</v>
      </c>
      <c r="AU351" s="35">
        <v>1515028.75</v>
      </c>
      <c r="AV351" s="31" t="s">
        <v>75</v>
      </c>
      <c r="AW351" s="31" t="s">
        <v>75</v>
      </c>
      <c r="AX351" s="36">
        <v>46634.6</v>
      </c>
      <c r="AY351" s="32">
        <v>7688848.9000000004</v>
      </c>
      <c r="AZ351" s="32">
        <v>1357043.5</v>
      </c>
      <c r="BA351" s="29">
        <f t="shared" si="16"/>
        <v>9045892.4000000004</v>
      </c>
      <c r="BB351" s="31" t="s">
        <v>75</v>
      </c>
      <c r="BC351" s="31" t="s">
        <v>75</v>
      </c>
      <c r="BD351" s="31">
        <v>1299180.5333333332</v>
      </c>
      <c r="BE351" s="113">
        <v>0</v>
      </c>
      <c r="BF351" s="113">
        <v>0</v>
      </c>
      <c r="BG351" s="38">
        <v>87</v>
      </c>
      <c r="BH351" s="38">
        <v>0</v>
      </c>
      <c r="BI351" s="38">
        <v>0</v>
      </c>
      <c r="BJ351" s="38">
        <v>0</v>
      </c>
      <c r="BK351" s="113">
        <v>0</v>
      </c>
      <c r="BL351" s="113">
        <v>0</v>
      </c>
      <c r="BM351" s="38">
        <v>169</v>
      </c>
      <c r="BN351" s="38">
        <v>0</v>
      </c>
      <c r="BO351" s="38">
        <v>0</v>
      </c>
      <c r="BP351" s="38">
        <v>0</v>
      </c>
      <c r="BQ351" s="113">
        <v>0</v>
      </c>
      <c r="BR351" s="113">
        <v>0</v>
      </c>
      <c r="BS351" s="38">
        <v>85</v>
      </c>
      <c r="BT351" s="38">
        <v>0</v>
      </c>
      <c r="BU351" s="38">
        <v>0</v>
      </c>
      <c r="BV351" s="38">
        <v>0</v>
      </c>
      <c r="BW351" s="38"/>
      <c r="BX351" s="38"/>
      <c r="BY351" s="38"/>
      <c r="BZ351" s="113">
        <v>0</v>
      </c>
      <c r="CA351" s="113">
        <v>0</v>
      </c>
      <c r="CB351" s="113">
        <v>176</v>
      </c>
      <c r="CC351" s="113"/>
      <c r="CD351" s="113"/>
      <c r="CE351" s="113"/>
      <c r="CF351" s="113">
        <v>0</v>
      </c>
      <c r="CG351" s="113">
        <v>0</v>
      </c>
      <c r="CH351" s="30">
        <v>2</v>
      </c>
      <c r="CI351" s="113">
        <v>0</v>
      </c>
      <c r="CJ351" s="113">
        <v>0</v>
      </c>
      <c r="CK351" s="30">
        <v>3</v>
      </c>
      <c r="CL351" s="30">
        <v>0</v>
      </c>
      <c r="CM351" s="30">
        <v>0</v>
      </c>
      <c r="CN351" s="30">
        <v>0</v>
      </c>
      <c r="CO351" s="113">
        <v>0</v>
      </c>
      <c r="CP351" s="113">
        <v>0</v>
      </c>
      <c r="CQ351" s="30">
        <v>9</v>
      </c>
      <c r="CR351" s="30">
        <v>0</v>
      </c>
      <c r="CS351" s="30">
        <v>0</v>
      </c>
      <c r="CT351" s="30">
        <v>0</v>
      </c>
      <c r="CU351" s="113">
        <v>0</v>
      </c>
      <c r="CV351" s="113">
        <v>0</v>
      </c>
      <c r="CW351" s="30">
        <v>187</v>
      </c>
      <c r="CX351" s="30">
        <v>0</v>
      </c>
      <c r="CY351" s="30">
        <v>0</v>
      </c>
      <c r="CZ351" s="30">
        <v>0</v>
      </c>
      <c r="DA351" s="113">
        <v>0</v>
      </c>
      <c r="DB351" s="113">
        <v>0</v>
      </c>
      <c r="DC351" s="30">
        <v>1</v>
      </c>
      <c r="DD351" s="30">
        <v>0</v>
      </c>
      <c r="DE351" s="30">
        <v>0</v>
      </c>
      <c r="DF351" s="30">
        <v>0</v>
      </c>
      <c r="DG351" s="113">
        <v>0</v>
      </c>
      <c r="DH351" s="113">
        <v>0</v>
      </c>
      <c r="DI351" s="113">
        <v>0</v>
      </c>
      <c r="DJ351" s="113">
        <v>0</v>
      </c>
      <c r="DK351" s="113">
        <v>0</v>
      </c>
      <c r="DL351" s="113">
        <v>0</v>
      </c>
      <c r="DM351" s="113">
        <v>0</v>
      </c>
      <c r="DN351" s="113">
        <v>0</v>
      </c>
      <c r="DO351" s="113">
        <v>0</v>
      </c>
      <c r="DP351" s="38">
        <v>0</v>
      </c>
      <c r="DQ351" s="38">
        <v>0</v>
      </c>
      <c r="DR351" s="113">
        <v>0</v>
      </c>
      <c r="DS351" s="38">
        <v>0</v>
      </c>
      <c r="DT351" s="38">
        <v>0</v>
      </c>
      <c r="DU351" s="38">
        <v>0</v>
      </c>
      <c r="DV351" s="38">
        <v>0</v>
      </c>
      <c r="DW351" s="38">
        <v>0</v>
      </c>
      <c r="DX351" s="38">
        <v>0</v>
      </c>
      <c r="DY351" s="38">
        <v>0</v>
      </c>
      <c r="DZ351" s="38">
        <v>0</v>
      </c>
      <c r="EA351" s="38">
        <v>967</v>
      </c>
      <c r="EB351" s="38">
        <v>0</v>
      </c>
      <c r="EC351" s="38">
        <v>0</v>
      </c>
      <c r="ED351" s="38">
        <v>0</v>
      </c>
      <c r="EE351" s="38">
        <v>0</v>
      </c>
      <c r="EF351" s="38">
        <v>0</v>
      </c>
      <c r="EG351" s="38">
        <v>872</v>
      </c>
      <c r="EH351" s="38">
        <v>0</v>
      </c>
      <c r="EI351" s="38">
        <v>0</v>
      </c>
      <c r="EJ351" s="38">
        <v>0</v>
      </c>
      <c r="EK351" s="38">
        <v>0</v>
      </c>
      <c r="EL351" s="38">
        <v>0</v>
      </c>
      <c r="EM351" s="38">
        <v>764</v>
      </c>
      <c r="EN351" s="38">
        <v>0</v>
      </c>
      <c r="EO351" s="38">
        <v>0</v>
      </c>
      <c r="EP351" s="38">
        <v>0</v>
      </c>
      <c r="EQ351" s="38">
        <v>0</v>
      </c>
      <c r="ER351" s="38">
        <v>0</v>
      </c>
      <c r="ES351" s="38">
        <v>58</v>
      </c>
      <c r="ET351" s="38">
        <v>0</v>
      </c>
      <c r="EU351" s="38">
        <v>0</v>
      </c>
      <c r="EV351" s="38">
        <v>0</v>
      </c>
      <c r="EW351" s="38">
        <v>0</v>
      </c>
      <c r="EX351" s="38">
        <v>0</v>
      </c>
      <c r="EY351" s="38">
        <v>3</v>
      </c>
      <c r="EZ351" s="38">
        <v>0</v>
      </c>
      <c r="FA351" s="38">
        <v>0</v>
      </c>
      <c r="FB351" s="38">
        <v>0</v>
      </c>
      <c r="FC351" s="38">
        <v>0</v>
      </c>
      <c r="FD351" s="38">
        <v>0</v>
      </c>
      <c r="FE351" s="38">
        <v>13</v>
      </c>
      <c r="FF351" s="38">
        <v>0</v>
      </c>
      <c r="FG351" s="38">
        <v>0</v>
      </c>
      <c r="FH351" s="38">
        <v>0</v>
      </c>
      <c r="FI351" s="38">
        <v>0</v>
      </c>
      <c r="FJ351" s="38">
        <v>0</v>
      </c>
      <c r="FK351" s="30">
        <v>38</v>
      </c>
      <c r="FL351" s="38">
        <v>0</v>
      </c>
      <c r="FM351" s="38">
        <v>0</v>
      </c>
      <c r="FN351" s="30">
        <v>2157</v>
      </c>
      <c r="FO351" s="113">
        <v>0</v>
      </c>
      <c r="FP351" s="113">
        <v>0</v>
      </c>
      <c r="FQ351" s="30">
        <v>368</v>
      </c>
      <c r="FR351" s="113">
        <v>0</v>
      </c>
      <c r="FS351" s="113">
        <v>0</v>
      </c>
      <c r="FT351" s="113">
        <v>0</v>
      </c>
      <c r="FU351" s="113">
        <v>0</v>
      </c>
      <c r="FV351" s="113">
        <v>0</v>
      </c>
      <c r="FW351" s="30">
        <v>91</v>
      </c>
      <c r="FX351" s="32">
        <v>0</v>
      </c>
      <c r="FY351" s="30">
        <v>0</v>
      </c>
      <c r="FZ351" s="30">
        <v>75</v>
      </c>
    </row>
    <row r="352" spans="1:182" x14ac:dyDescent="0.2">
      <c r="A352" s="28">
        <v>42278</v>
      </c>
      <c r="B352" s="100">
        <f t="shared" si="26"/>
        <v>82526413.280000001</v>
      </c>
      <c r="C352" s="49">
        <v>210431.7</v>
      </c>
      <c r="D352" s="49">
        <v>442704.45000000007</v>
      </c>
      <c r="E352" s="29">
        <f t="shared" si="20"/>
        <v>653136.15000000014</v>
      </c>
      <c r="F352" s="49">
        <v>6623948.3899999997</v>
      </c>
      <c r="G352" s="49">
        <v>1389854.53</v>
      </c>
      <c r="H352" s="30">
        <f t="shared" si="19"/>
        <v>8013802.9199999999</v>
      </c>
      <c r="I352" s="42" t="s">
        <v>75</v>
      </c>
      <c r="J352" s="42" t="s">
        <v>75</v>
      </c>
      <c r="K352" s="83">
        <v>19148108.840000004</v>
      </c>
      <c r="L352" s="31" t="s">
        <v>75</v>
      </c>
      <c r="M352" s="31" t="s">
        <v>75</v>
      </c>
      <c r="N352" s="49">
        <v>25154907.98</v>
      </c>
      <c r="O352" s="31" t="s">
        <v>75</v>
      </c>
      <c r="P352" s="31" t="s">
        <v>75</v>
      </c>
      <c r="Q352" s="48">
        <v>29046026.699999999</v>
      </c>
      <c r="R352" s="31" t="s">
        <v>75</v>
      </c>
      <c r="S352" s="31" t="s">
        <v>75</v>
      </c>
      <c r="T352" s="31">
        <v>154332.24</v>
      </c>
      <c r="U352" s="49">
        <v>4362.8700000000008</v>
      </c>
      <c r="V352" s="49">
        <v>3750.8</v>
      </c>
      <c r="W352" s="31">
        <f t="shared" si="21"/>
        <v>8113.670000000001</v>
      </c>
      <c r="X352" s="49">
        <v>88179.95</v>
      </c>
      <c r="Y352" s="49">
        <v>1287.0999999999999</v>
      </c>
      <c r="Z352" s="30">
        <f t="shared" si="22"/>
        <v>89467.05</v>
      </c>
      <c r="AA352" s="49">
        <v>85974.830000000016</v>
      </c>
      <c r="AB352" s="49">
        <v>18223.84</v>
      </c>
      <c r="AC352" s="30">
        <f t="shared" si="23"/>
        <v>104198.67000000001</v>
      </c>
      <c r="AD352" s="49">
        <v>9064.9599999999991</v>
      </c>
      <c r="AE352" s="49">
        <v>32116.220000000005</v>
      </c>
      <c r="AF352" s="30">
        <f t="shared" si="24"/>
        <v>41181.180000000008</v>
      </c>
      <c r="AG352" s="83">
        <v>20806.309999999998</v>
      </c>
      <c r="AH352" s="83">
        <v>56435.970000000016</v>
      </c>
      <c r="AI352" s="32">
        <f t="shared" si="25"/>
        <v>77242.280000000013</v>
      </c>
      <c r="AJ352" s="31" t="s">
        <v>75</v>
      </c>
      <c r="AK352" s="31" t="s">
        <v>75</v>
      </c>
      <c r="AL352" s="31">
        <v>35895.599999999999</v>
      </c>
      <c r="AM352" s="31"/>
      <c r="AN352" s="31"/>
      <c r="AO352" s="31"/>
      <c r="AP352" s="31"/>
      <c r="AQ352" s="31"/>
      <c r="AR352" s="31"/>
      <c r="AS352" s="31" t="s">
        <v>75</v>
      </c>
      <c r="AT352" s="31" t="s">
        <v>75</v>
      </c>
      <c r="AU352" s="35">
        <v>1525713.86</v>
      </c>
      <c r="AV352" s="31" t="s">
        <v>75</v>
      </c>
      <c r="AW352" s="31" t="s">
        <v>75</v>
      </c>
      <c r="AX352" s="36">
        <v>44910.32</v>
      </c>
      <c r="AY352" s="32">
        <v>9084591.9000000004</v>
      </c>
      <c r="AZ352" s="32">
        <v>756585</v>
      </c>
      <c r="BA352" s="29">
        <f t="shared" si="16"/>
        <v>9841176.9000000004</v>
      </c>
      <c r="BB352" s="31" t="s">
        <v>75</v>
      </c>
      <c r="BC352" s="31" t="s">
        <v>75</v>
      </c>
      <c r="BD352" s="31">
        <v>1577256.3777777778</v>
      </c>
      <c r="BE352" s="113">
        <v>0</v>
      </c>
      <c r="BF352" s="113">
        <v>0</v>
      </c>
      <c r="BG352" s="38">
        <v>72</v>
      </c>
      <c r="BH352" s="38">
        <v>0</v>
      </c>
      <c r="BI352" s="38">
        <v>0</v>
      </c>
      <c r="BJ352" s="38">
        <v>0</v>
      </c>
      <c r="BK352" s="113">
        <v>0</v>
      </c>
      <c r="BL352" s="113">
        <v>0</v>
      </c>
      <c r="BM352" s="38">
        <v>196</v>
      </c>
      <c r="BN352" s="38">
        <v>0</v>
      </c>
      <c r="BO352" s="38">
        <v>0</v>
      </c>
      <c r="BP352" s="38">
        <v>0</v>
      </c>
      <c r="BQ352" s="113">
        <v>0</v>
      </c>
      <c r="BR352" s="113">
        <v>0</v>
      </c>
      <c r="BS352" s="38">
        <v>73</v>
      </c>
      <c r="BT352" s="38">
        <v>0</v>
      </c>
      <c r="BU352" s="38">
        <v>0</v>
      </c>
      <c r="BV352" s="38">
        <v>1</v>
      </c>
      <c r="BW352" s="38"/>
      <c r="BX352" s="38"/>
      <c r="BY352" s="38"/>
      <c r="BZ352" s="113">
        <v>0</v>
      </c>
      <c r="CA352" s="113">
        <v>0</v>
      </c>
      <c r="CB352" s="113">
        <v>150</v>
      </c>
      <c r="CC352" s="113"/>
      <c r="CD352" s="113"/>
      <c r="CE352" s="113"/>
      <c r="CF352" s="113">
        <v>0</v>
      </c>
      <c r="CG352" s="113">
        <v>0</v>
      </c>
      <c r="CH352" s="30">
        <v>4</v>
      </c>
      <c r="CI352" s="113">
        <v>0</v>
      </c>
      <c r="CJ352" s="113">
        <v>0</v>
      </c>
      <c r="CK352" s="30">
        <v>11</v>
      </c>
      <c r="CL352" s="30">
        <v>0</v>
      </c>
      <c r="CM352" s="30">
        <v>0</v>
      </c>
      <c r="CN352" s="30">
        <v>0</v>
      </c>
      <c r="CO352" s="113">
        <v>0</v>
      </c>
      <c r="CP352" s="113">
        <v>0</v>
      </c>
      <c r="CQ352" s="30">
        <v>4</v>
      </c>
      <c r="CR352" s="30">
        <v>0</v>
      </c>
      <c r="CS352" s="30">
        <v>0</v>
      </c>
      <c r="CT352" s="30">
        <v>0</v>
      </c>
      <c r="CU352" s="113">
        <v>0</v>
      </c>
      <c r="CV352" s="113">
        <v>0</v>
      </c>
      <c r="CW352" s="30">
        <v>252</v>
      </c>
      <c r="CX352" s="30">
        <v>0</v>
      </c>
      <c r="CY352" s="30">
        <v>0</v>
      </c>
      <c r="CZ352" s="30">
        <v>0</v>
      </c>
      <c r="DA352" s="113">
        <v>0</v>
      </c>
      <c r="DB352" s="113">
        <v>0</v>
      </c>
      <c r="DC352" s="30">
        <v>0</v>
      </c>
      <c r="DD352" s="30">
        <v>0</v>
      </c>
      <c r="DE352" s="30">
        <v>0</v>
      </c>
      <c r="DF352" s="30">
        <v>0</v>
      </c>
      <c r="DG352" s="113">
        <v>0</v>
      </c>
      <c r="DH352" s="113">
        <v>0</v>
      </c>
      <c r="DI352" s="30">
        <v>1</v>
      </c>
      <c r="DJ352" s="30">
        <v>0</v>
      </c>
      <c r="DK352" s="30">
        <v>0</v>
      </c>
      <c r="DL352" s="30">
        <v>0</v>
      </c>
      <c r="DM352" s="113">
        <v>0</v>
      </c>
      <c r="DN352" s="113">
        <v>0</v>
      </c>
      <c r="DO352" s="113">
        <v>0</v>
      </c>
      <c r="DP352" s="38">
        <v>0</v>
      </c>
      <c r="DQ352" s="38">
        <v>0</v>
      </c>
      <c r="DR352" s="113">
        <v>0</v>
      </c>
      <c r="DS352" s="38">
        <v>0</v>
      </c>
      <c r="DT352" s="38">
        <v>0</v>
      </c>
      <c r="DU352" s="38">
        <v>101</v>
      </c>
      <c r="DV352" s="38">
        <v>0</v>
      </c>
      <c r="DW352" s="38">
        <v>0</v>
      </c>
      <c r="DX352" s="38">
        <v>0</v>
      </c>
      <c r="DY352" s="38">
        <v>0</v>
      </c>
      <c r="DZ352" s="38">
        <v>0</v>
      </c>
      <c r="EA352" s="38">
        <v>1166</v>
      </c>
      <c r="EB352" s="38">
        <v>0</v>
      </c>
      <c r="EC352" s="38">
        <v>0</v>
      </c>
      <c r="ED352" s="38">
        <v>0</v>
      </c>
      <c r="EE352" s="38">
        <v>0</v>
      </c>
      <c r="EF352" s="38">
        <v>0</v>
      </c>
      <c r="EG352" s="38">
        <v>1115</v>
      </c>
      <c r="EH352" s="38">
        <v>0</v>
      </c>
      <c r="EI352" s="38">
        <v>0</v>
      </c>
      <c r="EJ352" s="38">
        <v>0</v>
      </c>
      <c r="EK352" s="38">
        <v>0</v>
      </c>
      <c r="EL352" s="38">
        <v>0</v>
      </c>
      <c r="EM352" s="38">
        <v>680</v>
      </c>
      <c r="EN352" s="38">
        <v>0</v>
      </c>
      <c r="EO352" s="38">
        <v>0</v>
      </c>
      <c r="EP352" s="38">
        <v>0</v>
      </c>
      <c r="EQ352" s="38">
        <v>0</v>
      </c>
      <c r="ER352" s="38">
        <v>0</v>
      </c>
      <c r="ES352" s="38">
        <v>57</v>
      </c>
      <c r="ET352" s="38">
        <v>0</v>
      </c>
      <c r="EU352" s="38">
        <v>0</v>
      </c>
      <c r="EV352" s="38">
        <v>0</v>
      </c>
      <c r="EW352" s="38">
        <v>0</v>
      </c>
      <c r="EX352" s="38">
        <v>0</v>
      </c>
      <c r="EY352" s="38">
        <v>3</v>
      </c>
      <c r="EZ352" s="38">
        <v>0</v>
      </c>
      <c r="FA352" s="38">
        <v>0</v>
      </c>
      <c r="FB352" s="38">
        <v>0</v>
      </c>
      <c r="FC352" s="38">
        <v>0</v>
      </c>
      <c r="FD352" s="38">
        <v>0</v>
      </c>
      <c r="FE352" s="38">
        <v>13</v>
      </c>
      <c r="FF352" s="38">
        <v>0</v>
      </c>
      <c r="FG352" s="38">
        <v>0</v>
      </c>
      <c r="FH352" s="38">
        <v>0</v>
      </c>
      <c r="FI352" s="38">
        <v>0</v>
      </c>
      <c r="FJ352" s="38">
        <v>0</v>
      </c>
      <c r="FK352" s="30">
        <v>17</v>
      </c>
      <c r="FL352" s="38">
        <v>0</v>
      </c>
      <c r="FM352" s="38">
        <v>0</v>
      </c>
      <c r="FN352" s="30">
        <v>2658</v>
      </c>
      <c r="FO352" s="113">
        <v>0</v>
      </c>
      <c r="FP352" s="113">
        <v>0</v>
      </c>
      <c r="FQ352" s="30">
        <v>267</v>
      </c>
      <c r="FR352" s="113">
        <v>0</v>
      </c>
      <c r="FS352" s="113">
        <v>0</v>
      </c>
      <c r="FT352" s="113">
        <v>0</v>
      </c>
      <c r="FU352" s="113">
        <v>0</v>
      </c>
      <c r="FV352" s="113">
        <v>0</v>
      </c>
      <c r="FW352" s="30">
        <v>81</v>
      </c>
      <c r="FX352" s="32">
        <v>0</v>
      </c>
      <c r="FY352" s="30">
        <v>0</v>
      </c>
      <c r="FZ352" s="30">
        <v>75</v>
      </c>
    </row>
    <row r="353" spans="1:182" x14ac:dyDescent="0.2">
      <c r="A353" s="28">
        <v>42309</v>
      </c>
      <c r="B353" s="100">
        <f t="shared" si="26"/>
        <v>93761121.820000008</v>
      </c>
      <c r="C353" s="49">
        <v>261632.29</v>
      </c>
      <c r="D353" s="49">
        <v>606786.03000000014</v>
      </c>
      <c r="E353" s="29">
        <f t="shared" si="20"/>
        <v>868418.32000000018</v>
      </c>
      <c r="F353" s="49">
        <v>12734848.98</v>
      </c>
      <c r="G353" s="49">
        <v>2343974.42</v>
      </c>
      <c r="H353" s="30">
        <f t="shared" si="19"/>
        <v>15078823.4</v>
      </c>
      <c r="I353" s="42" t="s">
        <v>75</v>
      </c>
      <c r="J353" s="42" t="s">
        <v>75</v>
      </c>
      <c r="K353" s="83">
        <v>17685342.91</v>
      </c>
      <c r="L353" s="31" t="s">
        <v>75</v>
      </c>
      <c r="M353" s="31" t="s">
        <v>75</v>
      </c>
      <c r="N353" s="49">
        <v>29640768.840000004</v>
      </c>
      <c r="O353" s="31" t="s">
        <v>75</v>
      </c>
      <c r="P353" s="31" t="s">
        <v>75</v>
      </c>
      <c r="Q353" s="48">
        <v>29729232.789999999</v>
      </c>
      <c r="R353" s="31" t="s">
        <v>75</v>
      </c>
      <c r="S353" s="31" t="s">
        <v>75</v>
      </c>
      <c r="T353" s="31">
        <v>145153.68</v>
      </c>
      <c r="U353" s="49">
        <v>18919.169999999998</v>
      </c>
      <c r="V353" s="49">
        <v>8799.2999999999993</v>
      </c>
      <c r="W353" s="31">
        <f t="shared" si="21"/>
        <v>27718.469999999998</v>
      </c>
      <c r="X353" s="49">
        <v>122824.23000000001</v>
      </c>
      <c r="Y353" s="49">
        <v>1352.8</v>
      </c>
      <c r="Z353" s="30">
        <f t="shared" si="22"/>
        <v>124177.03000000001</v>
      </c>
      <c r="AA353" s="49">
        <v>116228.23000000001</v>
      </c>
      <c r="AB353" s="49">
        <v>32546.589999999997</v>
      </c>
      <c r="AC353" s="30">
        <f t="shared" si="23"/>
        <v>148774.82</v>
      </c>
      <c r="AD353" s="50">
        <v>19361.490000000002</v>
      </c>
      <c r="AE353" s="49">
        <v>105432.23999999999</v>
      </c>
      <c r="AF353" s="30">
        <f t="shared" si="24"/>
        <v>124793.73</v>
      </c>
      <c r="AG353" s="83">
        <v>26921.43</v>
      </c>
      <c r="AH353" s="83">
        <v>94092.549999999916</v>
      </c>
      <c r="AI353" s="32">
        <f t="shared" si="25"/>
        <v>121013.97999999992</v>
      </c>
      <c r="AJ353" s="31" t="s">
        <v>75</v>
      </c>
      <c r="AK353" s="31" t="s">
        <v>75</v>
      </c>
      <c r="AL353" s="31">
        <v>66903.850000000006</v>
      </c>
      <c r="AM353" s="31"/>
      <c r="AN353" s="31"/>
      <c r="AO353" s="31"/>
      <c r="AP353" s="31"/>
      <c r="AQ353" s="31"/>
      <c r="AR353" s="31"/>
      <c r="AS353" s="31" t="s">
        <v>75</v>
      </c>
      <c r="AT353" s="31" t="s">
        <v>75</v>
      </c>
      <c r="AU353" s="35">
        <v>1071180.8600000001</v>
      </c>
      <c r="AV353" s="31" t="s">
        <v>75</v>
      </c>
      <c r="AW353" s="31" t="s">
        <v>75</v>
      </c>
      <c r="AX353" s="36">
        <v>26133.73</v>
      </c>
      <c r="AY353" s="32">
        <v>8887984.6999999993</v>
      </c>
      <c r="AZ353" s="32">
        <v>3521105</v>
      </c>
      <c r="BA353" s="29">
        <f t="shared" si="16"/>
        <v>12409089.699999999</v>
      </c>
      <c r="BB353" s="31" t="s">
        <v>75</v>
      </c>
      <c r="BC353" s="31" t="s">
        <v>75</v>
      </c>
      <c r="BD353" s="31">
        <v>1478613.7333333334</v>
      </c>
      <c r="BE353" s="113">
        <v>0</v>
      </c>
      <c r="BF353" s="113">
        <v>0</v>
      </c>
      <c r="BG353" s="38">
        <v>70</v>
      </c>
      <c r="BH353" s="38">
        <v>0</v>
      </c>
      <c r="BI353" s="38">
        <v>0</v>
      </c>
      <c r="BJ353" s="38">
        <v>0</v>
      </c>
      <c r="BK353" s="113">
        <v>0</v>
      </c>
      <c r="BL353" s="113">
        <v>0</v>
      </c>
      <c r="BM353" s="38">
        <v>181</v>
      </c>
      <c r="BN353" s="38">
        <v>0</v>
      </c>
      <c r="BO353" s="38">
        <v>0</v>
      </c>
      <c r="BP353" s="38">
        <v>0</v>
      </c>
      <c r="BQ353" s="113">
        <v>0</v>
      </c>
      <c r="BR353" s="113">
        <v>0</v>
      </c>
      <c r="BS353" s="38">
        <v>44</v>
      </c>
      <c r="BT353" s="38">
        <v>0</v>
      </c>
      <c r="BU353" s="38">
        <v>0</v>
      </c>
      <c r="BV353" s="38">
        <v>1</v>
      </c>
      <c r="BW353" s="38"/>
      <c r="BX353" s="38"/>
      <c r="BY353" s="38"/>
      <c r="BZ353" s="113">
        <v>0</v>
      </c>
      <c r="CA353" s="113">
        <v>0</v>
      </c>
      <c r="CB353" s="113">
        <v>157</v>
      </c>
      <c r="CC353" s="113"/>
      <c r="CD353" s="113"/>
      <c r="CE353" s="113"/>
      <c r="CF353" s="113">
        <v>0</v>
      </c>
      <c r="CG353" s="113">
        <v>0</v>
      </c>
      <c r="CH353" s="30">
        <v>2</v>
      </c>
      <c r="CI353" s="113">
        <v>0</v>
      </c>
      <c r="CJ353" s="113">
        <v>0</v>
      </c>
      <c r="CK353" s="30">
        <v>11</v>
      </c>
      <c r="CL353" s="30">
        <v>0</v>
      </c>
      <c r="CM353" s="30">
        <v>0</v>
      </c>
      <c r="CN353" s="30">
        <v>0</v>
      </c>
      <c r="CO353" s="113">
        <v>0</v>
      </c>
      <c r="CP353" s="113">
        <v>0</v>
      </c>
      <c r="CQ353" s="30">
        <v>4</v>
      </c>
      <c r="CR353" s="30">
        <v>0</v>
      </c>
      <c r="CS353" s="30">
        <v>0</v>
      </c>
      <c r="CT353" s="30">
        <v>0</v>
      </c>
      <c r="CU353" s="113">
        <v>0</v>
      </c>
      <c r="CV353" s="113">
        <v>0</v>
      </c>
      <c r="CW353" s="30">
        <v>314</v>
      </c>
      <c r="CX353" s="30">
        <v>0</v>
      </c>
      <c r="CY353" s="30">
        <v>0</v>
      </c>
      <c r="CZ353" s="30">
        <v>0</v>
      </c>
      <c r="DA353" s="113">
        <v>0</v>
      </c>
      <c r="DB353" s="113">
        <v>0</v>
      </c>
      <c r="DC353" s="30">
        <v>0</v>
      </c>
      <c r="DD353" s="30">
        <v>0</v>
      </c>
      <c r="DE353" s="30">
        <v>0</v>
      </c>
      <c r="DF353" s="30">
        <v>0</v>
      </c>
      <c r="DG353" s="113">
        <v>0</v>
      </c>
      <c r="DH353" s="113">
        <v>0</v>
      </c>
      <c r="DI353" s="113">
        <v>0</v>
      </c>
      <c r="DJ353" s="113">
        <v>0</v>
      </c>
      <c r="DK353" s="113">
        <v>0</v>
      </c>
      <c r="DL353" s="113">
        <v>0</v>
      </c>
      <c r="DM353" s="113">
        <v>0</v>
      </c>
      <c r="DN353" s="113">
        <v>0</v>
      </c>
      <c r="DO353" s="113">
        <v>0</v>
      </c>
      <c r="DP353" s="38">
        <v>0</v>
      </c>
      <c r="DQ353" s="38">
        <v>0</v>
      </c>
      <c r="DR353" s="113">
        <v>0</v>
      </c>
      <c r="DS353" s="38">
        <v>0</v>
      </c>
      <c r="DT353" s="38">
        <v>0</v>
      </c>
      <c r="DU353" s="38">
        <v>252</v>
      </c>
      <c r="DV353" s="38">
        <v>0</v>
      </c>
      <c r="DW353" s="38">
        <v>0</v>
      </c>
      <c r="DX353" s="38">
        <v>0</v>
      </c>
      <c r="DY353" s="38">
        <v>0</v>
      </c>
      <c r="DZ353" s="38">
        <v>0</v>
      </c>
      <c r="EA353" s="38">
        <v>938</v>
      </c>
      <c r="EB353" s="38">
        <v>0</v>
      </c>
      <c r="EC353" s="38">
        <v>0</v>
      </c>
      <c r="ED353" s="38">
        <v>0</v>
      </c>
      <c r="EE353" s="38">
        <v>0</v>
      </c>
      <c r="EF353" s="38">
        <v>0</v>
      </c>
      <c r="EG353" s="38">
        <v>1039</v>
      </c>
      <c r="EH353" s="38">
        <v>0</v>
      </c>
      <c r="EI353" s="38">
        <v>0</v>
      </c>
      <c r="EJ353" s="38">
        <v>0</v>
      </c>
      <c r="EK353" s="38">
        <v>0</v>
      </c>
      <c r="EL353" s="38">
        <v>0</v>
      </c>
      <c r="EM353" s="38">
        <v>778</v>
      </c>
      <c r="EN353" s="38">
        <v>0</v>
      </c>
      <c r="EO353" s="38">
        <v>0</v>
      </c>
      <c r="EP353" s="38">
        <v>0</v>
      </c>
      <c r="EQ353" s="38">
        <v>0</v>
      </c>
      <c r="ER353" s="38">
        <v>0</v>
      </c>
      <c r="ES353" s="38">
        <v>94</v>
      </c>
      <c r="ET353" s="38">
        <v>0</v>
      </c>
      <c r="EU353" s="38">
        <v>0</v>
      </c>
      <c r="EV353" s="38">
        <v>0</v>
      </c>
      <c r="EW353" s="38">
        <v>0</v>
      </c>
      <c r="EX353" s="38">
        <v>0</v>
      </c>
      <c r="EY353" s="38">
        <v>15</v>
      </c>
      <c r="EZ353" s="38">
        <v>0</v>
      </c>
      <c r="FA353" s="38">
        <v>0</v>
      </c>
      <c r="FB353" s="38">
        <v>0</v>
      </c>
      <c r="FC353" s="38">
        <v>0</v>
      </c>
      <c r="FD353" s="38">
        <v>0</v>
      </c>
      <c r="FE353" s="38">
        <v>8</v>
      </c>
      <c r="FF353" s="38">
        <v>0</v>
      </c>
      <c r="FG353" s="38">
        <v>0</v>
      </c>
      <c r="FH353" s="38">
        <v>0</v>
      </c>
      <c r="FI353" s="38">
        <v>0</v>
      </c>
      <c r="FJ353" s="38">
        <v>0</v>
      </c>
      <c r="FK353" s="30">
        <v>40</v>
      </c>
      <c r="FL353" s="38">
        <v>0</v>
      </c>
      <c r="FM353" s="38">
        <v>0</v>
      </c>
      <c r="FN353" s="30">
        <v>3011</v>
      </c>
      <c r="FO353" s="113">
        <v>0</v>
      </c>
      <c r="FP353" s="113">
        <v>0</v>
      </c>
      <c r="FQ353" s="30">
        <v>419</v>
      </c>
      <c r="FR353" s="113">
        <v>0</v>
      </c>
      <c r="FS353" s="113">
        <v>0</v>
      </c>
      <c r="FT353" s="113">
        <v>0</v>
      </c>
      <c r="FU353" s="113">
        <v>0</v>
      </c>
      <c r="FV353" s="113">
        <v>0</v>
      </c>
      <c r="FW353" s="30">
        <v>121</v>
      </c>
      <c r="FX353" s="32">
        <v>0</v>
      </c>
      <c r="FY353" s="30">
        <v>0</v>
      </c>
      <c r="FZ353" s="30">
        <v>571</v>
      </c>
    </row>
    <row r="354" spans="1:182" x14ac:dyDescent="0.2">
      <c r="A354" s="28">
        <v>42339</v>
      </c>
      <c r="B354" s="100">
        <f t="shared" si="26"/>
        <v>117884050.22000001</v>
      </c>
      <c r="C354" s="49">
        <v>232176.26</v>
      </c>
      <c r="D354" s="49">
        <v>521547.14</v>
      </c>
      <c r="E354" s="29">
        <f t="shared" si="20"/>
        <v>753723.4</v>
      </c>
      <c r="F354" s="49">
        <v>15216740.02</v>
      </c>
      <c r="G354" s="49">
        <v>3610654.7899999991</v>
      </c>
      <c r="H354" s="30">
        <f t="shared" si="19"/>
        <v>18827394.809999999</v>
      </c>
      <c r="I354" s="42" t="s">
        <v>75</v>
      </c>
      <c r="J354" s="42" t="s">
        <v>75</v>
      </c>
      <c r="K354" s="83">
        <v>23561605.479999997</v>
      </c>
      <c r="L354" s="31" t="s">
        <v>75</v>
      </c>
      <c r="M354" s="31" t="s">
        <v>75</v>
      </c>
      <c r="N354" s="49">
        <v>40930417.649999999</v>
      </c>
      <c r="O354" s="31" t="s">
        <v>75</v>
      </c>
      <c r="P354" s="31" t="s">
        <v>75</v>
      </c>
      <c r="Q354" s="48">
        <v>32927297.200000003</v>
      </c>
      <c r="R354" s="31" t="s">
        <v>75</v>
      </c>
      <c r="S354" s="31" t="s">
        <v>75</v>
      </c>
      <c r="T354" s="31">
        <v>123784.41</v>
      </c>
      <c r="U354" s="49">
        <v>37373.21</v>
      </c>
      <c r="V354" s="49">
        <v>19319.79</v>
      </c>
      <c r="W354" s="31">
        <f t="shared" si="21"/>
        <v>56693</v>
      </c>
      <c r="X354" s="49">
        <v>113772.45000000001</v>
      </c>
      <c r="Y354" s="49">
        <v>5415.85</v>
      </c>
      <c r="Z354" s="30">
        <f t="shared" si="22"/>
        <v>119188.30000000002</v>
      </c>
      <c r="AA354" s="49">
        <v>82585.75</v>
      </c>
      <c r="AB354" s="49">
        <v>46719.43</v>
      </c>
      <c r="AC354" s="30">
        <f t="shared" si="23"/>
        <v>129305.18</v>
      </c>
      <c r="AD354" s="50">
        <v>18762.02</v>
      </c>
      <c r="AE354" s="49">
        <v>116674.52</v>
      </c>
      <c r="AF354" s="30">
        <f t="shared" si="24"/>
        <v>135436.54</v>
      </c>
      <c r="AG354" s="83">
        <v>39704.129999999997</v>
      </c>
      <c r="AH354" s="83">
        <v>187422.37000000008</v>
      </c>
      <c r="AI354" s="32">
        <f t="shared" si="25"/>
        <v>227126.50000000009</v>
      </c>
      <c r="AJ354" s="31" t="s">
        <v>75</v>
      </c>
      <c r="AK354" s="31" t="s">
        <v>75</v>
      </c>
      <c r="AL354" s="31">
        <v>92077.75</v>
      </c>
      <c r="AM354" s="31"/>
      <c r="AN354" s="31"/>
      <c r="AO354" s="31"/>
      <c r="AP354" s="31"/>
      <c r="AQ354" s="31"/>
      <c r="AR354" s="31"/>
      <c r="AS354" s="31" t="s">
        <v>75</v>
      </c>
      <c r="AT354" s="31" t="s">
        <v>75</v>
      </c>
      <c r="AU354" s="35">
        <v>1423179.71</v>
      </c>
      <c r="AV354" s="31" t="s">
        <v>75</v>
      </c>
      <c r="AW354" s="31" t="s">
        <v>75</v>
      </c>
      <c r="AX354" s="36">
        <v>36845.19</v>
      </c>
      <c r="AY354" s="32">
        <v>11770003.9</v>
      </c>
      <c r="AZ354" s="32">
        <v>403759.5</v>
      </c>
      <c r="BA354" s="29">
        <f t="shared" si="16"/>
        <v>12173763.4</v>
      </c>
      <c r="BB354" s="31" t="s">
        <v>75</v>
      </c>
      <c r="BC354" s="31" t="s">
        <v>75</v>
      </c>
      <c r="BD354" s="31">
        <v>1757726.8</v>
      </c>
      <c r="BE354" s="113">
        <v>0</v>
      </c>
      <c r="BF354" s="113">
        <v>0</v>
      </c>
      <c r="BG354" s="38">
        <v>48</v>
      </c>
      <c r="BH354" s="38">
        <v>0</v>
      </c>
      <c r="BI354" s="38">
        <v>0</v>
      </c>
      <c r="BJ354" s="38">
        <v>0</v>
      </c>
      <c r="BK354" s="113">
        <v>0</v>
      </c>
      <c r="BL354" s="113">
        <v>0</v>
      </c>
      <c r="BM354" s="38">
        <v>235</v>
      </c>
      <c r="BN354" s="38">
        <v>0</v>
      </c>
      <c r="BO354" s="38">
        <v>0</v>
      </c>
      <c r="BP354" s="38">
        <v>0</v>
      </c>
      <c r="BQ354" s="113">
        <v>0</v>
      </c>
      <c r="BR354" s="113">
        <v>0</v>
      </c>
      <c r="BS354" s="38">
        <v>40</v>
      </c>
      <c r="BT354" s="38">
        <v>0</v>
      </c>
      <c r="BU354" s="38">
        <v>0</v>
      </c>
      <c r="BV354" s="38">
        <v>0</v>
      </c>
      <c r="BW354" s="38"/>
      <c r="BX354" s="38"/>
      <c r="BY354" s="38"/>
      <c r="BZ354" s="113">
        <v>0</v>
      </c>
      <c r="CA354" s="113">
        <v>0</v>
      </c>
      <c r="CB354" s="113">
        <v>205</v>
      </c>
      <c r="CC354" s="113"/>
      <c r="CD354" s="113"/>
      <c r="CE354" s="113"/>
      <c r="CF354" s="113">
        <v>0</v>
      </c>
      <c r="CG354" s="113">
        <v>0</v>
      </c>
      <c r="CH354" s="30">
        <v>3</v>
      </c>
      <c r="CI354" s="113">
        <v>0</v>
      </c>
      <c r="CJ354" s="113">
        <v>0</v>
      </c>
      <c r="CK354" s="30">
        <v>9</v>
      </c>
      <c r="CL354" s="30">
        <v>0</v>
      </c>
      <c r="CM354" s="30">
        <v>0</v>
      </c>
      <c r="CN354" s="30">
        <v>0</v>
      </c>
      <c r="CO354" s="113">
        <v>0</v>
      </c>
      <c r="CP354" s="113">
        <v>0</v>
      </c>
      <c r="CQ354" s="113">
        <v>0</v>
      </c>
      <c r="CR354" s="30">
        <v>0</v>
      </c>
      <c r="CS354" s="30">
        <v>0</v>
      </c>
      <c r="CT354" s="30">
        <v>0</v>
      </c>
      <c r="CU354" s="113">
        <v>0</v>
      </c>
      <c r="CV354" s="113">
        <v>0</v>
      </c>
      <c r="CW354" s="30">
        <v>287</v>
      </c>
      <c r="CX354" s="30">
        <v>0</v>
      </c>
      <c r="CY354" s="30">
        <v>0</v>
      </c>
      <c r="CZ354" s="30">
        <v>0</v>
      </c>
      <c r="DA354" s="113">
        <v>0</v>
      </c>
      <c r="DB354" s="113">
        <v>0</v>
      </c>
      <c r="DC354" s="30">
        <v>0</v>
      </c>
      <c r="DD354" s="30">
        <v>0</v>
      </c>
      <c r="DE354" s="30">
        <v>0</v>
      </c>
      <c r="DF354" s="30">
        <v>1</v>
      </c>
      <c r="DG354" s="113">
        <v>0</v>
      </c>
      <c r="DH354" s="113">
        <v>0</v>
      </c>
      <c r="DI354" s="113">
        <v>0</v>
      </c>
      <c r="DJ354" s="113">
        <v>0</v>
      </c>
      <c r="DK354" s="113">
        <v>0</v>
      </c>
      <c r="DL354" s="113">
        <v>0</v>
      </c>
      <c r="DM354" s="113">
        <v>0</v>
      </c>
      <c r="DN354" s="113">
        <v>0</v>
      </c>
      <c r="DO354" s="113">
        <v>0</v>
      </c>
      <c r="DP354" s="38">
        <v>0</v>
      </c>
      <c r="DQ354" s="38">
        <v>0</v>
      </c>
      <c r="DR354" s="113">
        <v>0</v>
      </c>
      <c r="DS354" s="38">
        <v>0</v>
      </c>
      <c r="DT354" s="38">
        <v>0</v>
      </c>
      <c r="DU354" s="38">
        <v>506</v>
      </c>
      <c r="DV354" s="38">
        <v>0</v>
      </c>
      <c r="DW354" s="38">
        <v>0</v>
      </c>
      <c r="DX354" s="38">
        <v>0</v>
      </c>
      <c r="DY354" s="38">
        <v>0</v>
      </c>
      <c r="DZ354" s="38">
        <v>0</v>
      </c>
      <c r="EA354" s="38">
        <v>1929</v>
      </c>
      <c r="EB354" s="38">
        <v>0</v>
      </c>
      <c r="EC354" s="38">
        <v>0</v>
      </c>
      <c r="ED354" s="38">
        <v>0</v>
      </c>
      <c r="EE354" s="38">
        <v>0</v>
      </c>
      <c r="EF354" s="38">
        <v>0</v>
      </c>
      <c r="EG354" s="38">
        <v>1558</v>
      </c>
      <c r="EH354" s="38">
        <v>0</v>
      </c>
      <c r="EI354" s="38">
        <v>0</v>
      </c>
      <c r="EJ354" s="38">
        <v>0</v>
      </c>
      <c r="EK354" s="38">
        <v>0</v>
      </c>
      <c r="EL354" s="38">
        <v>0</v>
      </c>
      <c r="EM354" s="38">
        <v>893</v>
      </c>
      <c r="EN354" s="38">
        <v>0</v>
      </c>
      <c r="EO354" s="38">
        <v>0</v>
      </c>
      <c r="EP354" s="38">
        <v>0</v>
      </c>
      <c r="EQ354" s="38">
        <v>0</v>
      </c>
      <c r="ER354" s="38">
        <v>0</v>
      </c>
      <c r="ES354" s="38">
        <v>105</v>
      </c>
      <c r="ET354" s="38">
        <v>0</v>
      </c>
      <c r="EU354" s="38">
        <v>0</v>
      </c>
      <c r="EV354" s="38">
        <v>0</v>
      </c>
      <c r="EW354" s="38">
        <v>0</v>
      </c>
      <c r="EX354" s="38">
        <v>0</v>
      </c>
      <c r="EY354" s="38">
        <v>12</v>
      </c>
      <c r="EZ354" s="38">
        <v>0</v>
      </c>
      <c r="FA354" s="38">
        <v>0</v>
      </c>
      <c r="FB354" s="38">
        <v>0</v>
      </c>
      <c r="FC354" s="38">
        <v>0</v>
      </c>
      <c r="FD354" s="38">
        <v>0</v>
      </c>
      <c r="FE354" s="38">
        <v>10</v>
      </c>
      <c r="FF354" s="38">
        <v>0</v>
      </c>
      <c r="FG354" s="38">
        <v>0</v>
      </c>
      <c r="FH354" s="38">
        <v>0</v>
      </c>
      <c r="FI354" s="38">
        <v>0</v>
      </c>
      <c r="FJ354" s="38">
        <v>0</v>
      </c>
      <c r="FK354" s="30">
        <v>79</v>
      </c>
      <c r="FL354" s="38">
        <v>0</v>
      </c>
      <c r="FM354" s="38">
        <v>0</v>
      </c>
      <c r="FN354" s="30">
        <v>3857</v>
      </c>
      <c r="FO354" s="113">
        <v>0</v>
      </c>
      <c r="FP354" s="113">
        <v>0</v>
      </c>
      <c r="FQ354" s="30">
        <v>452</v>
      </c>
      <c r="FR354" s="113">
        <v>0</v>
      </c>
      <c r="FS354" s="113">
        <v>0</v>
      </c>
      <c r="FT354" s="113">
        <v>0</v>
      </c>
      <c r="FU354" s="113">
        <v>0</v>
      </c>
      <c r="FV354" s="113">
        <v>0</v>
      </c>
      <c r="FW354" s="30">
        <v>151</v>
      </c>
      <c r="FX354" s="32">
        <v>0</v>
      </c>
      <c r="FY354" s="30">
        <v>0</v>
      </c>
      <c r="FZ354" s="30">
        <v>551</v>
      </c>
    </row>
    <row r="355" spans="1:182" s="22" customFormat="1" x14ac:dyDescent="0.2">
      <c r="A355" s="41">
        <v>42370</v>
      </c>
      <c r="B355" s="100">
        <f t="shared" si="26"/>
        <v>91812315.85999997</v>
      </c>
      <c r="C355" s="83">
        <v>78729.789999999994</v>
      </c>
      <c r="D355" s="83">
        <v>147318.38000000006</v>
      </c>
      <c r="E355" s="43">
        <f>+C355+D355</f>
        <v>226048.17000000004</v>
      </c>
      <c r="F355" s="32">
        <v>6096324.7200000007</v>
      </c>
      <c r="G355" s="86">
        <v>1529253.23</v>
      </c>
      <c r="H355" s="32">
        <f t="shared" si="19"/>
        <v>7625577.9500000011</v>
      </c>
      <c r="I355" s="42" t="s">
        <v>75</v>
      </c>
      <c r="J355" s="42" t="s">
        <v>75</v>
      </c>
      <c r="K355" s="32">
        <v>19850390.169999998</v>
      </c>
      <c r="L355" s="42" t="s">
        <v>75</v>
      </c>
      <c r="M355" s="42" t="s">
        <v>75</v>
      </c>
      <c r="N355" s="42">
        <v>26295734.289999999</v>
      </c>
      <c r="O355" s="42" t="s">
        <v>75</v>
      </c>
      <c r="P355" s="42" t="s">
        <v>75</v>
      </c>
      <c r="Q355" s="82">
        <v>37286175.5</v>
      </c>
      <c r="R355" s="42" t="s">
        <v>75</v>
      </c>
      <c r="S355" s="42" t="s">
        <v>75</v>
      </c>
      <c r="T355" s="42">
        <v>154723.32</v>
      </c>
      <c r="U355" s="83">
        <v>2362.2200000000003</v>
      </c>
      <c r="V355" s="83">
        <v>3968.73</v>
      </c>
      <c r="W355" s="42">
        <f t="shared" si="21"/>
        <v>6330.9500000000007</v>
      </c>
      <c r="X355" s="83">
        <v>43452.65</v>
      </c>
      <c r="Y355" s="83">
        <v>2080.3500000000004</v>
      </c>
      <c r="Z355" s="32">
        <f t="shared" si="22"/>
        <v>45533</v>
      </c>
      <c r="AA355" s="83">
        <v>106174.09</v>
      </c>
      <c r="AB355" s="83">
        <v>22154.37</v>
      </c>
      <c r="AC355" s="32">
        <f t="shared" si="23"/>
        <v>128328.45999999999</v>
      </c>
      <c r="AD355" s="83">
        <v>8225.2200000000012</v>
      </c>
      <c r="AE355" s="83">
        <v>38102.630000000019</v>
      </c>
      <c r="AF355" s="32">
        <f t="shared" si="24"/>
        <v>46327.85000000002</v>
      </c>
      <c r="AG355" s="83">
        <v>20644.73</v>
      </c>
      <c r="AH355" s="83">
        <v>75981.37000000001</v>
      </c>
      <c r="AI355" s="32">
        <f t="shared" si="25"/>
        <v>96626.1</v>
      </c>
      <c r="AJ355" s="42"/>
      <c r="AK355" s="42"/>
      <c r="AL355" s="42">
        <v>50520.1</v>
      </c>
      <c r="AM355" s="42"/>
      <c r="AN355" s="42"/>
      <c r="AO355" s="42"/>
      <c r="AP355" s="42"/>
      <c r="AQ355" s="42"/>
      <c r="AR355" s="42"/>
      <c r="AS355" s="42"/>
      <c r="AT355" s="42"/>
      <c r="AU355" s="87">
        <v>1349724.98</v>
      </c>
      <c r="AV355" s="42"/>
      <c r="AW355" s="42"/>
      <c r="AX355" s="32">
        <v>34868.699999999997</v>
      </c>
      <c r="AY355" s="32">
        <v>8802094.1999999993</v>
      </c>
      <c r="AZ355" s="32">
        <v>977090</v>
      </c>
      <c r="BA355" s="43">
        <f>+AZ355+AY355</f>
        <v>9779184.1999999993</v>
      </c>
      <c r="BB355" s="42"/>
      <c r="BC355" s="42"/>
      <c r="BD355" s="42">
        <v>1240791.2444444445</v>
      </c>
      <c r="BE355" s="88">
        <v>0</v>
      </c>
      <c r="BF355" s="88">
        <v>0</v>
      </c>
      <c r="BG355" s="87">
        <v>64</v>
      </c>
      <c r="BH355" s="87">
        <v>0</v>
      </c>
      <c r="BI355" s="87">
        <v>0</v>
      </c>
      <c r="BJ355" s="87">
        <v>0</v>
      </c>
      <c r="BK355" s="88">
        <v>0</v>
      </c>
      <c r="BL355" s="88">
        <v>0</v>
      </c>
      <c r="BM355" s="87">
        <v>212</v>
      </c>
      <c r="BN355" s="87">
        <v>0</v>
      </c>
      <c r="BO355" s="87">
        <v>0</v>
      </c>
      <c r="BP355" s="87">
        <v>0</v>
      </c>
      <c r="BQ355" s="88">
        <v>0</v>
      </c>
      <c r="BR355" s="88">
        <v>0</v>
      </c>
      <c r="BS355" s="87">
        <v>19</v>
      </c>
      <c r="BT355" s="87">
        <v>0</v>
      </c>
      <c r="BU355" s="87">
        <v>0</v>
      </c>
      <c r="BV355" s="87">
        <v>0</v>
      </c>
      <c r="BW355" s="87"/>
      <c r="BX355" s="87"/>
      <c r="BY355" s="87"/>
      <c r="BZ355" s="88">
        <v>0</v>
      </c>
      <c r="CA355" s="88">
        <v>0</v>
      </c>
      <c r="CB355" s="88">
        <v>157</v>
      </c>
      <c r="CC355" s="88"/>
      <c r="CD355" s="88"/>
      <c r="CE355" s="88"/>
      <c r="CF355" s="88">
        <v>0</v>
      </c>
      <c r="CG355" s="88">
        <v>0</v>
      </c>
      <c r="CH355" s="32">
        <v>2</v>
      </c>
      <c r="CI355" s="88">
        <v>0</v>
      </c>
      <c r="CJ355" s="88">
        <v>0</v>
      </c>
      <c r="CK355" s="32">
        <v>16</v>
      </c>
      <c r="CL355" s="32">
        <v>0</v>
      </c>
      <c r="CM355" s="32">
        <v>0</v>
      </c>
      <c r="CN355" s="32">
        <v>0</v>
      </c>
      <c r="CO355" s="88">
        <v>0</v>
      </c>
      <c r="CP355" s="88">
        <v>0</v>
      </c>
      <c r="CQ355" s="86">
        <v>1</v>
      </c>
      <c r="CR355" s="86">
        <v>0</v>
      </c>
      <c r="CS355" s="86">
        <v>0</v>
      </c>
      <c r="CT355" s="86">
        <v>0</v>
      </c>
      <c r="CU355" s="88">
        <v>0</v>
      </c>
      <c r="CV355" s="88">
        <v>0</v>
      </c>
      <c r="CW355" s="32">
        <v>187</v>
      </c>
      <c r="CX355" s="32">
        <v>0</v>
      </c>
      <c r="CY355" s="32">
        <v>0</v>
      </c>
      <c r="CZ355" s="32">
        <v>0</v>
      </c>
      <c r="DA355" s="88">
        <v>0</v>
      </c>
      <c r="DB355" s="88">
        <v>0</v>
      </c>
      <c r="DC355" s="32">
        <v>0</v>
      </c>
      <c r="DD355" s="32">
        <v>0</v>
      </c>
      <c r="DE355" s="32">
        <v>0</v>
      </c>
      <c r="DF355" s="32">
        <v>1</v>
      </c>
      <c r="DG355" s="88">
        <v>0</v>
      </c>
      <c r="DH355" s="88">
        <v>0</v>
      </c>
      <c r="DI355" s="32">
        <v>8</v>
      </c>
      <c r="DJ355" s="32">
        <v>0</v>
      </c>
      <c r="DK355" s="32">
        <v>0</v>
      </c>
      <c r="DL355" s="32">
        <v>0</v>
      </c>
      <c r="DM355" s="88">
        <v>0</v>
      </c>
      <c r="DN355" s="88">
        <v>0</v>
      </c>
      <c r="DO355" s="88">
        <v>0</v>
      </c>
      <c r="DP355" s="87">
        <v>0</v>
      </c>
      <c r="DQ355" s="87">
        <v>0</v>
      </c>
      <c r="DR355" s="113">
        <v>0</v>
      </c>
      <c r="DS355" s="87">
        <v>0</v>
      </c>
      <c r="DT355" s="87">
        <v>0</v>
      </c>
      <c r="DU355" s="87">
        <v>5</v>
      </c>
      <c r="DV355" s="87">
        <v>0</v>
      </c>
      <c r="DW355" s="87">
        <v>0</v>
      </c>
      <c r="DX355" s="87">
        <v>0</v>
      </c>
      <c r="DY355" s="87">
        <v>0</v>
      </c>
      <c r="DZ355" s="87">
        <v>0</v>
      </c>
      <c r="EA355" s="87">
        <v>983</v>
      </c>
      <c r="EB355" s="87">
        <v>0</v>
      </c>
      <c r="EC355" s="87">
        <v>0</v>
      </c>
      <c r="ED355" s="87">
        <v>0</v>
      </c>
      <c r="EE355" s="87">
        <v>0</v>
      </c>
      <c r="EF355" s="87">
        <v>0</v>
      </c>
      <c r="EG355" s="87">
        <v>876</v>
      </c>
      <c r="EH355" s="87">
        <v>0</v>
      </c>
      <c r="EI355" s="87">
        <v>0</v>
      </c>
      <c r="EJ355" s="87">
        <v>0</v>
      </c>
      <c r="EK355" s="87">
        <v>0</v>
      </c>
      <c r="EL355" s="87">
        <v>0</v>
      </c>
      <c r="EM355" s="87">
        <v>749</v>
      </c>
      <c r="EN355" s="87">
        <v>0</v>
      </c>
      <c r="EO355" s="87">
        <v>0</v>
      </c>
      <c r="EP355" s="87">
        <v>1</v>
      </c>
      <c r="EQ355" s="87">
        <v>0</v>
      </c>
      <c r="ER355" s="87">
        <v>0</v>
      </c>
      <c r="ES355" s="87">
        <v>26</v>
      </c>
      <c r="ET355" s="87">
        <v>0</v>
      </c>
      <c r="EU355" s="87">
        <v>0</v>
      </c>
      <c r="EV355" s="87">
        <v>0</v>
      </c>
      <c r="EW355" s="87">
        <v>0</v>
      </c>
      <c r="EX355" s="87">
        <v>0</v>
      </c>
      <c r="EY355" s="87">
        <v>6</v>
      </c>
      <c r="EZ355" s="87">
        <v>0</v>
      </c>
      <c r="FA355" s="87">
        <v>0</v>
      </c>
      <c r="FB355" s="87">
        <v>0</v>
      </c>
      <c r="FC355" s="87">
        <v>0</v>
      </c>
      <c r="FD355" s="87">
        <v>0</v>
      </c>
      <c r="FE355" s="87">
        <v>7</v>
      </c>
      <c r="FF355" s="87">
        <v>0</v>
      </c>
      <c r="FG355" s="87">
        <v>0</v>
      </c>
      <c r="FH355" s="87">
        <v>0</v>
      </c>
      <c r="FI355" s="87">
        <v>0</v>
      </c>
      <c r="FJ355" s="87">
        <v>0</v>
      </c>
      <c r="FK355" s="32">
        <v>26</v>
      </c>
      <c r="FL355" s="87">
        <v>0</v>
      </c>
      <c r="FM355" s="87">
        <v>0</v>
      </c>
      <c r="FN355" s="32">
        <v>2986</v>
      </c>
      <c r="FO355" s="88">
        <v>0</v>
      </c>
      <c r="FP355" s="88">
        <v>0</v>
      </c>
      <c r="FQ355" s="32">
        <v>390</v>
      </c>
      <c r="FR355" s="88">
        <v>0</v>
      </c>
      <c r="FS355" s="88">
        <v>0</v>
      </c>
      <c r="FT355" s="88">
        <v>0</v>
      </c>
      <c r="FU355" s="88">
        <v>0</v>
      </c>
      <c r="FV355" s="88">
        <v>0</v>
      </c>
      <c r="FW355" s="32">
        <v>122</v>
      </c>
      <c r="FX355" s="32">
        <v>0</v>
      </c>
      <c r="FY355" s="32">
        <v>0</v>
      </c>
      <c r="FZ355" s="32">
        <v>370</v>
      </c>
    </row>
    <row r="356" spans="1:182" s="22" customFormat="1" x14ac:dyDescent="0.2">
      <c r="A356" s="41">
        <v>42401</v>
      </c>
      <c r="B356" s="100">
        <f t="shared" si="26"/>
        <v>94844341.540000007</v>
      </c>
      <c r="C356" s="83">
        <v>87522.3</v>
      </c>
      <c r="D356" s="83">
        <v>355800.50000000006</v>
      </c>
      <c r="E356" s="43">
        <f t="shared" si="20"/>
        <v>443322.80000000005</v>
      </c>
      <c r="F356" s="32">
        <v>6660882.3899999997</v>
      </c>
      <c r="G356" s="86">
        <v>1811573.1600000008</v>
      </c>
      <c r="H356" s="32">
        <f t="shared" si="19"/>
        <v>8472455.5500000007</v>
      </c>
      <c r="I356" s="42" t="s">
        <v>75</v>
      </c>
      <c r="J356" s="42" t="s">
        <v>75</v>
      </c>
      <c r="K356" s="32">
        <v>20608994.640000001</v>
      </c>
      <c r="L356" s="42" t="s">
        <v>75</v>
      </c>
      <c r="M356" s="42" t="s">
        <v>75</v>
      </c>
      <c r="N356" s="42">
        <v>28774145.18</v>
      </c>
      <c r="O356" s="42" t="s">
        <v>75</v>
      </c>
      <c r="P356" s="42" t="s">
        <v>75</v>
      </c>
      <c r="Q356" s="82">
        <v>35972856.739999995</v>
      </c>
      <c r="R356" s="42" t="s">
        <v>75</v>
      </c>
      <c r="S356" s="42" t="s">
        <v>75</v>
      </c>
      <c r="T356" s="83">
        <v>195554.64</v>
      </c>
      <c r="U356" s="83">
        <v>1734.6</v>
      </c>
      <c r="V356" s="83">
        <v>2637.76</v>
      </c>
      <c r="W356" s="42">
        <f t="shared" si="21"/>
        <v>4372.3600000000006</v>
      </c>
      <c r="X356" s="83">
        <v>44681.120000000003</v>
      </c>
      <c r="Y356" s="83">
        <v>833</v>
      </c>
      <c r="Z356" s="32">
        <f t="shared" si="22"/>
        <v>45514.12</v>
      </c>
      <c r="AA356" s="83">
        <v>136047.30999999994</v>
      </c>
      <c r="AB356" s="83">
        <v>28535.859999999997</v>
      </c>
      <c r="AC356" s="32">
        <f t="shared" si="23"/>
        <v>164583.16999999993</v>
      </c>
      <c r="AD356" s="83">
        <v>5252.71</v>
      </c>
      <c r="AE356" s="83">
        <v>12101.24</v>
      </c>
      <c r="AF356" s="32">
        <f t="shared" si="24"/>
        <v>17353.95</v>
      </c>
      <c r="AG356" s="83">
        <v>22657.31</v>
      </c>
      <c r="AH356" s="83">
        <v>52536.279999999984</v>
      </c>
      <c r="AI356" s="32">
        <f t="shared" si="25"/>
        <v>75193.589999999982</v>
      </c>
      <c r="AJ356" s="42" t="s">
        <v>75</v>
      </c>
      <c r="AK356" s="42" t="s">
        <v>75</v>
      </c>
      <c r="AL356" s="42">
        <v>69994.799999999988</v>
      </c>
      <c r="AM356" s="42"/>
      <c r="AN356" s="42"/>
      <c r="AO356" s="42"/>
      <c r="AP356" s="42"/>
      <c r="AQ356" s="42"/>
      <c r="AR356" s="42"/>
      <c r="AS356" s="42" t="s">
        <v>75</v>
      </c>
      <c r="AT356" s="42" t="s">
        <v>75</v>
      </c>
      <c r="AU356" s="87">
        <v>1190090.17</v>
      </c>
      <c r="AV356" s="42" t="s">
        <v>75</v>
      </c>
      <c r="AW356" s="42" t="s">
        <v>75</v>
      </c>
      <c r="AX356" s="32">
        <v>41993</v>
      </c>
      <c r="AY356" s="32">
        <v>7694885.7999999998</v>
      </c>
      <c r="AZ356" s="32">
        <v>208920</v>
      </c>
      <c r="BA356" s="43">
        <f t="shared" si="16"/>
        <v>7903805.7999999998</v>
      </c>
      <c r="BB356" s="42" t="s">
        <v>75</v>
      </c>
      <c r="BC356" s="42" t="s">
        <v>75</v>
      </c>
      <c r="BD356" s="42">
        <v>1421330.5555555555</v>
      </c>
      <c r="BE356" s="88">
        <v>0</v>
      </c>
      <c r="BF356" s="116">
        <v>0</v>
      </c>
      <c r="BG356" s="32">
        <v>86</v>
      </c>
      <c r="BH356" s="32">
        <v>0</v>
      </c>
      <c r="BI356" s="32">
        <v>0</v>
      </c>
      <c r="BJ356" s="32">
        <v>0</v>
      </c>
      <c r="BK356" s="88">
        <v>0</v>
      </c>
      <c r="BL356" s="88">
        <v>0</v>
      </c>
      <c r="BM356" s="32">
        <v>163</v>
      </c>
      <c r="BN356" s="32">
        <v>0</v>
      </c>
      <c r="BO356" s="32">
        <v>0</v>
      </c>
      <c r="BP356" s="32">
        <v>0</v>
      </c>
      <c r="BQ356" s="88">
        <v>0</v>
      </c>
      <c r="BR356" s="88">
        <v>0</v>
      </c>
      <c r="BS356" s="32">
        <v>22</v>
      </c>
      <c r="BT356" s="32">
        <v>0</v>
      </c>
      <c r="BU356" s="32">
        <v>0</v>
      </c>
      <c r="BV356" s="32">
        <v>0</v>
      </c>
      <c r="BW356" s="32"/>
      <c r="BX356" s="32"/>
      <c r="BY356" s="32"/>
      <c r="BZ356" s="88">
        <v>0</v>
      </c>
      <c r="CA356" s="88">
        <v>0</v>
      </c>
      <c r="CB356" s="88">
        <v>148</v>
      </c>
      <c r="CC356" s="88"/>
      <c r="CD356" s="88"/>
      <c r="CE356" s="88"/>
      <c r="CF356" s="88">
        <v>0</v>
      </c>
      <c r="CG356" s="88">
        <v>0</v>
      </c>
      <c r="CH356" s="88">
        <v>0</v>
      </c>
      <c r="CI356" s="88">
        <v>0</v>
      </c>
      <c r="CJ356" s="88">
        <v>0</v>
      </c>
      <c r="CK356" s="32">
        <v>22</v>
      </c>
      <c r="CL356" s="32">
        <v>0</v>
      </c>
      <c r="CM356" s="32">
        <v>0</v>
      </c>
      <c r="CN356" s="32">
        <v>0</v>
      </c>
      <c r="CO356" s="88">
        <v>0</v>
      </c>
      <c r="CP356" s="88">
        <v>0</v>
      </c>
      <c r="CQ356" s="86">
        <v>1</v>
      </c>
      <c r="CR356" s="86">
        <v>0</v>
      </c>
      <c r="CS356" s="86">
        <v>0</v>
      </c>
      <c r="CT356" s="86">
        <v>0</v>
      </c>
      <c r="CU356" s="88">
        <v>0</v>
      </c>
      <c r="CV356" s="88">
        <v>0</v>
      </c>
      <c r="CW356" s="32">
        <v>156</v>
      </c>
      <c r="CX356" s="32">
        <v>0</v>
      </c>
      <c r="CY356" s="32">
        <v>0</v>
      </c>
      <c r="CZ356" s="32">
        <v>0</v>
      </c>
      <c r="DA356" s="88">
        <v>0</v>
      </c>
      <c r="DB356" s="88">
        <v>0</v>
      </c>
      <c r="DC356" s="32">
        <v>0</v>
      </c>
      <c r="DD356" s="32">
        <v>0</v>
      </c>
      <c r="DE356" s="32">
        <v>0</v>
      </c>
      <c r="DF356" s="32">
        <v>0</v>
      </c>
      <c r="DG356" s="88">
        <v>0</v>
      </c>
      <c r="DH356" s="88">
        <v>0</v>
      </c>
      <c r="DI356" s="88">
        <v>0</v>
      </c>
      <c r="DJ356" s="88">
        <v>0</v>
      </c>
      <c r="DK356" s="88">
        <v>0</v>
      </c>
      <c r="DL356" s="88">
        <v>0</v>
      </c>
      <c r="DM356" s="88">
        <v>0</v>
      </c>
      <c r="DN356" s="88">
        <v>0</v>
      </c>
      <c r="DO356" s="88">
        <v>0</v>
      </c>
      <c r="DP356" s="88">
        <v>0</v>
      </c>
      <c r="DQ356" s="88">
        <v>0</v>
      </c>
      <c r="DR356" s="113">
        <v>0</v>
      </c>
      <c r="DS356" s="87">
        <v>0</v>
      </c>
      <c r="DT356" s="87">
        <v>0</v>
      </c>
      <c r="DU356" s="87">
        <v>0</v>
      </c>
      <c r="DV356" s="87">
        <v>0</v>
      </c>
      <c r="DW356" s="87">
        <v>0</v>
      </c>
      <c r="DX356" s="87">
        <v>0</v>
      </c>
      <c r="DY356" s="88">
        <v>0</v>
      </c>
      <c r="DZ356" s="88">
        <v>0</v>
      </c>
      <c r="EA356" s="87">
        <v>733</v>
      </c>
      <c r="EB356" s="87">
        <v>0</v>
      </c>
      <c r="EC356" s="87">
        <v>0</v>
      </c>
      <c r="ED356" s="87">
        <v>0</v>
      </c>
      <c r="EE356" s="88">
        <v>0</v>
      </c>
      <c r="EF356" s="88">
        <v>0</v>
      </c>
      <c r="EG356" s="87">
        <v>718</v>
      </c>
      <c r="EH356" s="87">
        <v>0</v>
      </c>
      <c r="EI356" s="87">
        <v>0</v>
      </c>
      <c r="EJ356" s="87">
        <v>0</v>
      </c>
      <c r="EK356" s="88">
        <v>0</v>
      </c>
      <c r="EL356" s="88">
        <v>0</v>
      </c>
      <c r="EM356" s="87">
        <v>841</v>
      </c>
      <c r="EN356" s="87">
        <v>0</v>
      </c>
      <c r="EO356" s="87">
        <v>0</v>
      </c>
      <c r="EP356" s="87">
        <v>0</v>
      </c>
      <c r="EQ356" s="88">
        <v>0</v>
      </c>
      <c r="ER356" s="88">
        <v>0</v>
      </c>
      <c r="ES356" s="87">
        <v>34</v>
      </c>
      <c r="ET356" s="87">
        <v>0</v>
      </c>
      <c r="EU356" s="87">
        <v>0</v>
      </c>
      <c r="EV356" s="87">
        <v>0</v>
      </c>
      <c r="EW356" s="88">
        <v>0</v>
      </c>
      <c r="EX356" s="88">
        <v>0</v>
      </c>
      <c r="EY356" s="87">
        <v>3</v>
      </c>
      <c r="EZ356" s="87">
        <v>0</v>
      </c>
      <c r="FA356" s="87">
        <v>0</v>
      </c>
      <c r="FB356" s="87">
        <v>0</v>
      </c>
      <c r="FC356" s="87">
        <v>0</v>
      </c>
      <c r="FD356" s="87">
        <v>0</v>
      </c>
      <c r="FE356" s="87">
        <v>7</v>
      </c>
      <c r="FF356" s="87">
        <v>0</v>
      </c>
      <c r="FG356" s="87">
        <v>0</v>
      </c>
      <c r="FH356" s="87">
        <v>0</v>
      </c>
      <c r="FI356" s="88">
        <v>0</v>
      </c>
      <c r="FJ356" s="88">
        <v>0</v>
      </c>
      <c r="FK356" s="32">
        <v>19</v>
      </c>
      <c r="FL356" s="88">
        <v>0</v>
      </c>
      <c r="FM356" s="88">
        <v>0</v>
      </c>
      <c r="FN356" s="32">
        <v>2892</v>
      </c>
      <c r="FO356" s="88">
        <v>0</v>
      </c>
      <c r="FP356" s="88">
        <v>0</v>
      </c>
      <c r="FQ356" s="32">
        <v>313</v>
      </c>
      <c r="FR356" s="88">
        <v>0</v>
      </c>
      <c r="FS356" s="88">
        <v>0</v>
      </c>
      <c r="FT356" s="88">
        <v>0</v>
      </c>
      <c r="FU356" s="88">
        <v>0</v>
      </c>
      <c r="FV356" s="88">
        <v>0</v>
      </c>
      <c r="FW356" s="32">
        <v>82</v>
      </c>
      <c r="FX356" s="32">
        <v>0</v>
      </c>
      <c r="FY356" s="32">
        <v>0</v>
      </c>
      <c r="FZ356" s="32">
        <v>49</v>
      </c>
    </row>
    <row r="357" spans="1:182" s="22" customFormat="1" x14ac:dyDescent="0.2">
      <c r="A357" s="41">
        <v>42430</v>
      </c>
      <c r="B357" s="100">
        <f t="shared" si="26"/>
        <v>84274880.129999995</v>
      </c>
      <c r="C357" s="83">
        <v>133018.87</v>
      </c>
      <c r="D357" s="83">
        <v>294572.57</v>
      </c>
      <c r="E357" s="43">
        <f t="shared" si="20"/>
        <v>427591.44</v>
      </c>
      <c r="F357" s="32">
        <v>6261161.2800000003</v>
      </c>
      <c r="G357" s="86">
        <v>1463316.01</v>
      </c>
      <c r="H357" s="32">
        <f t="shared" si="19"/>
        <v>7724477.29</v>
      </c>
      <c r="I357" s="42" t="s">
        <v>75</v>
      </c>
      <c r="J357" s="42" t="s">
        <v>75</v>
      </c>
      <c r="K357" s="32">
        <v>17608820.079999998</v>
      </c>
      <c r="L357" s="42" t="s">
        <v>75</v>
      </c>
      <c r="M357" s="42" t="s">
        <v>75</v>
      </c>
      <c r="N357" s="42">
        <v>27509997.739999998</v>
      </c>
      <c r="O357" s="42" t="s">
        <v>75</v>
      </c>
      <c r="P357" s="42" t="s">
        <v>75</v>
      </c>
      <c r="Q357" s="82">
        <v>30448972.439999998</v>
      </c>
      <c r="R357" s="42" t="s">
        <v>75</v>
      </c>
      <c r="S357" s="42" t="s">
        <v>75</v>
      </c>
      <c r="T357" s="83">
        <v>136649.39000000001</v>
      </c>
      <c r="U357" s="83">
        <v>2824.4500000000003</v>
      </c>
      <c r="V357" s="83">
        <v>1502.92</v>
      </c>
      <c r="W357" s="42">
        <f t="shared" si="21"/>
        <v>4327.3700000000008</v>
      </c>
      <c r="X357" s="83">
        <v>72985.98000000001</v>
      </c>
      <c r="Y357" s="83">
        <v>3278.45</v>
      </c>
      <c r="Z357" s="32">
        <f t="shared" si="22"/>
        <v>76264.430000000008</v>
      </c>
      <c r="AA357" s="83">
        <v>182725.89</v>
      </c>
      <c r="AB357" s="83">
        <v>16010.43</v>
      </c>
      <c r="AC357" s="32">
        <f t="shared" si="23"/>
        <v>198736.32</v>
      </c>
      <c r="AD357" s="83">
        <v>2832.3599999999997</v>
      </c>
      <c r="AE357" s="83">
        <v>10710.83</v>
      </c>
      <c r="AF357" s="32">
        <f t="shared" si="24"/>
        <v>13543.189999999999</v>
      </c>
      <c r="AG357" s="83">
        <v>18438.080000000002</v>
      </c>
      <c r="AH357" s="83">
        <v>34687.660000000011</v>
      </c>
      <c r="AI357" s="32">
        <f t="shared" si="25"/>
        <v>53125.740000000013</v>
      </c>
      <c r="AJ357" s="42" t="s">
        <v>75</v>
      </c>
      <c r="AK357" s="42" t="s">
        <v>75</v>
      </c>
      <c r="AL357" s="42">
        <v>72374.7</v>
      </c>
      <c r="AM357" s="42"/>
      <c r="AN357" s="42"/>
      <c r="AO357" s="42"/>
      <c r="AP357" s="42"/>
      <c r="AQ357" s="42"/>
      <c r="AR357" s="42"/>
      <c r="AS357" s="42" t="s">
        <v>75</v>
      </c>
      <c r="AT357" s="42" t="s">
        <v>75</v>
      </c>
      <c r="AU357" s="87">
        <v>1556173.3</v>
      </c>
      <c r="AV357" s="42" t="s">
        <v>75</v>
      </c>
      <c r="AW357" s="42" t="s">
        <v>75</v>
      </c>
      <c r="AX357" s="32">
        <v>60266.42</v>
      </c>
      <c r="AY357" s="32">
        <v>8690221</v>
      </c>
      <c r="AZ357" s="32">
        <v>868740</v>
      </c>
      <c r="BA357" s="43">
        <f t="shared" si="16"/>
        <v>9558961</v>
      </c>
      <c r="BB357" s="42" t="s">
        <v>75</v>
      </c>
      <c r="BC357" s="42" t="s">
        <v>75</v>
      </c>
      <c r="BD357" s="42">
        <v>1545164.8</v>
      </c>
      <c r="BE357" s="88">
        <v>0</v>
      </c>
      <c r="BF357" s="116">
        <v>0</v>
      </c>
      <c r="BG357" s="32">
        <v>82</v>
      </c>
      <c r="BH357" s="32">
        <v>0</v>
      </c>
      <c r="BI357" s="32">
        <v>0</v>
      </c>
      <c r="BJ357" s="32">
        <v>0</v>
      </c>
      <c r="BK357" s="88">
        <v>0</v>
      </c>
      <c r="BL357" s="88">
        <v>0</v>
      </c>
      <c r="BM357" s="32">
        <v>73</v>
      </c>
      <c r="BN357" s="32">
        <v>0</v>
      </c>
      <c r="BO357" s="32">
        <v>0</v>
      </c>
      <c r="BP357" s="32">
        <v>0</v>
      </c>
      <c r="BQ357" s="88">
        <v>0</v>
      </c>
      <c r="BR357" s="88">
        <v>0</v>
      </c>
      <c r="BS357" s="32">
        <v>126</v>
      </c>
      <c r="BT357" s="32">
        <v>0</v>
      </c>
      <c r="BU357" s="32">
        <v>0</v>
      </c>
      <c r="BV357" s="32">
        <v>0</v>
      </c>
      <c r="BW357" s="32"/>
      <c r="BX357" s="32"/>
      <c r="BY357" s="32"/>
      <c r="BZ357" s="88">
        <v>0</v>
      </c>
      <c r="CA357" s="88">
        <v>0</v>
      </c>
      <c r="CB357" s="88">
        <v>270</v>
      </c>
      <c r="CC357" s="88"/>
      <c r="CD357" s="88"/>
      <c r="CE357" s="88"/>
      <c r="CF357" s="88">
        <v>0</v>
      </c>
      <c r="CG357" s="88">
        <v>0</v>
      </c>
      <c r="CH357" s="32">
        <v>2</v>
      </c>
      <c r="CI357" s="88">
        <v>0</v>
      </c>
      <c r="CJ357" s="88">
        <v>0</v>
      </c>
      <c r="CK357" s="32">
        <v>18</v>
      </c>
      <c r="CL357" s="32">
        <v>0</v>
      </c>
      <c r="CM357" s="32">
        <v>0</v>
      </c>
      <c r="CN357" s="32">
        <v>0</v>
      </c>
      <c r="CO357" s="88">
        <v>0</v>
      </c>
      <c r="CP357" s="88">
        <v>0</v>
      </c>
      <c r="CQ357" s="86">
        <v>6</v>
      </c>
      <c r="CR357" s="86">
        <v>0</v>
      </c>
      <c r="CS357" s="86">
        <v>0</v>
      </c>
      <c r="CT357" s="86">
        <v>0</v>
      </c>
      <c r="CU357" s="88">
        <v>0</v>
      </c>
      <c r="CV357" s="88">
        <v>0</v>
      </c>
      <c r="CW357" s="32">
        <v>348</v>
      </c>
      <c r="CX357" s="32">
        <v>0</v>
      </c>
      <c r="CY357" s="32">
        <v>0</v>
      </c>
      <c r="CZ357" s="32">
        <v>0</v>
      </c>
      <c r="DA357" s="88">
        <v>0</v>
      </c>
      <c r="DB357" s="88">
        <v>0</v>
      </c>
      <c r="DC357" s="32">
        <v>1</v>
      </c>
      <c r="DD357" s="32">
        <v>0</v>
      </c>
      <c r="DE357" s="32">
        <v>0</v>
      </c>
      <c r="DF357" s="32">
        <v>0</v>
      </c>
      <c r="DG357" s="88">
        <v>0</v>
      </c>
      <c r="DH357" s="88">
        <v>0</v>
      </c>
      <c r="DI357" s="88">
        <v>0</v>
      </c>
      <c r="DJ357" s="88">
        <v>0</v>
      </c>
      <c r="DK357" s="88">
        <v>0</v>
      </c>
      <c r="DL357" s="88">
        <v>0</v>
      </c>
      <c r="DM357" s="88">
        <v>0</v>
      </c>
      <c r="DN357" s="88">
        <v>0</v>
      </c>
      <c r="DO357" s="88">
        <v>0</v>
      </c>
      <c r="DP357" s="88">
        <v>0</v>
      </c>
      <c r="DQ357" s="88">
        <v>0</v>
      </c>
      <c r="DR357" s="113">
        <v>0</v>
      </c>
      <c r="DS357" s="87">
        <v>0</v>
      </c>
      <c r="DT357" s="87">
        <v>0</v>
      </c>
      <c r="DU357" s="87">
        <v>5</v>
      </c>
      <c r="DV357" s="87">
        <v>0</v>
      </c>
      <c r="DW357" s="87">
        <v>0</v>
      </c>
      <c r="DX357" s="87">
        <v>0</v>
      </c>
      <c r="DY357" s="88">
        <v>0</v>
      </c>
      <c r="DZ357" s="88">
        <v>0</v>
      </c>
      <c r="EA357" s="87">
        <v>917</v>
      </c>
      <c r="EB357" s="87">
        <v>0</v>
      </c>
      <c r="EC357" s="87">
        <v>0</v>
      </c>
      <c r="ED357" s="87">
        <v>0</v>
      </c>
      <c r="EE357" s="88">
        <v>0</v>
      </c>
      <c r="EF357" s="88">
        <v>0</v>
      </c>
      <c r="EG357" s="87">
        <v>1035</v>
      </c>
      <c r="EH357" s="87">
        <v>0</v>
      </c>
      <c r="EI357" s="87">
        <v>0</v>
      </c>
      <c r="EJ357" s="87">
        <v>0</v>
      </c>
      <c r="EK357" s="88">
        <v>0</v>
      </c>
      <c r="EL357" s="88">
        <v>0</v>
      </c>
      <c r="EM357" s="87">
        <v>735</v>
      </c>
      <c r="EN357" s="87">
        <v>0</v>
      </c>
      <c r="EO357" s="87">
        <v>0</v>
      </c>
      <c r="EP357" s="87">
        <v>0</v>
      </c>
      <c r="EQ357" s="88">
        <v>0</v>
      </c>
      <c r="ER357" s="88">
        <v>0</v>
      </c>
      <c r="ES357" s="87">
        <v>33</v>
      </c>
      <c r="ET357" s="87">
        <v>0</v>
      </c>
      <c r="EU357" s="87">
        <v>0</v>
      </c>
      <c r="EV357" s="87">
        <v>0</v>
      </c>
      <c r="EW357" s="88">
        <v>0</v>
      </c>
      <c r="EX357" s="88">
        <v>0</v>
      </c>
      <c r="EY357" s="87">
        <v>4</v>
      </c>
      <c r="EZ357" s="87">
        <v>0</v>
      </c>
      <c r="FA357" s="87">
        <v>0</v>
      </c>
      <c r="FB357" s="87">
        <v>0</v>
      </c>
      <c r="FC357" s="87">
        <v>0</v>
      </c>
      <c r="FD357" s="87">
        <v>0</v>
      </c>
      <c r="FE357" s="87">
        <v>8</v>
      </c>
      <c r="FF357" s="87">
        <v>0</v>
      </c>
      <c r="FG357" s="87">
        <v>0</v>
      </c>
      <c r="FH357" s="87">
        <v>0</v>
      </c>
      <c r="FI357" s="88">
        <v>0</v>
      </c>
      <c r="FJ357" s="88">
        <v>0</v>
      </c>
      <c r="FK357" s="32">
        <v>16</v>
      </c>
      <c r="FL357" s="88">
        <v>0</v>
      </c>
      <c r="FM357" s="88">
        <v>0</v>
      </c>
      <c r="FN357" s="32">
        <v>2932</v>
      </c>
      <c r="FO357" s="88">
        <v>0</v>
      </c>
      <c r="FP357" s="88">
        <v>0</v>
      </c>
      <c r="FQ357" s="32">
        <v>337</v>
      </c>
      <c r="FR357" s="88">
        <v>0</v>
      </c>
      <c r="FS357" s="88">
        <v>0</v>
      </c>
      <c r="FT357" s="88">
        <v>0</v>
      </c>
      <c r="FU357" s="88">
        <v>0</v>
      </c>
      <c r="FV357" s="88">
        <v>0</v>
      </c>
      <c r="FW357" s="32">
        <v>91</v>
      </c>
      <c r="FX357" s="32">
        <v>0</v>
      </c>
      <c r="FY357" s="32">
        <v>0</v>
      </c>
      <c r="FZ357" s="32">
        <v>206</v>
      </c>
    </row>
    <row r="358" spans="1:182" s="22" customFormat="1" x14ac:dyDescent="0.2">
      <c r="A358" s="41">
        <v>42461</v>
      </c>
      <c r="B358" s="100">
        <f t="shared" si="26"/>
        <v>66742436.740000002</v>
      </c>
      <c r="C358" s="83">
        <v>156847.37</v>
      </c>
      <c r="D358" s="83">
        <v>173298.00999999998</v>
      </c>
      <c r="E358" s="43">
        <f t="shared" si="20"/>
        <v>330145.38</v>
      </c>
      <c r="F358" s="32">
        <v>3083196.78</v>
      </c>
      <c r="G358" s="86">
        <v>998215.82</v>
      </c>
      <c r="H358" s="32">
        <f t="shared" si="19"/>
        <v>4081412.5999999996</v>
      </c>
      <c r="I358" s="42" t="s">
        <v>75</v>
      </c>
      <c r="J358" s="42" t="s">
        <v>75</v>
      </c>
      <c r="K358" s="32">
        <v>11329785.280000001</v>
      </c>
      <c r="L358" s="42" t="s">
        <v>75</v>
      </c>
      <c r="M358" s="42" t="s">
        <v>75</v>
      </c>
      <c r="N358" s="42">
        <v>23940726.530000001</v>
      </c>
      <c r="O358" s="42" t="s">
        <v>75</v>
      </c>
      <c r="P358" s="42" t="s">
        <v>75</v>
      </c>
      <c r="Q358" s="82">
        <v>26672707.189999998</v>
      </c>
      <c r="R358" s="42" t="s">
        <v>75</v>
      </c>
      <c r="S358" s="42" t="s">
        <v>75</v>
      </c>
      <c r="T358" s="83">
        <v>117854.23999999999</v>
      </c>
      <c r="U358" s="83">
        <v>1255.8000000000002</v>
      </c>
      <c r="V358" s="83">
        <v>1917.2199999999998</v>
      </c>
      <c r="W358" s="42">
        <f t="shared" si="21"/>
        <v>3173.02</v>
      </c>
      <c r="X358" s="83">
        <v>7832.73</v>
      </c>
      <c r="Y358" s="83">
        <v>2990.25</v>
      </c>
      <c r="Z358" s="32">
        <f t="shared" si="22"/>
        <v>10822.98</v>
      </c>
      <c r="AA358" s="83">
        <v>124073.13999999998</v>
      </c>
      <c r="AB358" s="83">
        <v>17257.939999999999</v>
      </c>
      <c r="AC358" s="32">
        <f t="shared" si="23"/>
        <v>141331.07999999999</v>
      </c>
      <c r="AD358" s="83">
        <v>4592.38</v>
      </c>
      <c r="AE358" s="83">
        <v>8238.09</v>
      </c>
      <c r="AF358" s="32">
        <f t="shared" si="24"/>
        <v>12830.470000000001</v>
      </c>
      <c r="AG358" s="83">
        <v>10326.58</v>
      </c>
      <c r="AH358" s="83">
        <v>38678.340000000004</v>
      </c>
      <c r="AI358" s="32">
        <f t="shared" si="25"/>
        <v>49004.920000000006</v>
      </c>
      <c r="AJ358" s="42" t="s">
        <v>75</v>
      </c>
      <c r="AK358" s="42" t="s">
        <v>75</v>
      </c>
      <c r="AL358" s="42">
        <v>52643.05</v>
      </c>
      <c r="AM358" s="42"/>
      <c r="AN358" s="42"/>
      <c r="AO358" s="42"/>
      <c r="AP358" s="42"/>
      <c r="AQ358" s="42"/>
      <c r="AR358" s="42"/>
      <c r="AS358" s="42" t="s">
        <v>75</v>
      </c>
      <c r="AT358" s="42" t="s">
        <v>75</v>
      </c>
      <c r="AU358" s="87">
        <v>1359083.65</v>
      </c>
      <c r="AV358" s="42" t="s">
        <v>75</v>
      </c>
      <c r="AW358" s="42" t="s">
        <v>75</v>
      </c>
      <c r="AX358" s="32">
        <v>45559.93</v>
      </c>
      <c r="AY358" s="32">
        <v>7594748.9000000004</v>
      </c>
      <c r="AZ358" s="32">
        <v>1181900</v>
      </c>
      <c r="BA358" s="43">
        <f t="shared" si="16"/>
        <v>8776648.9000000004</v>
      </c>
      <c r="BB358" s="42" t="s">
        <v>75</v>
      </c>
      <c r="BC358" s="42" t="s">
        <v>75</v>
      </c>
      <c r="BD358" s="42">
        <v>1418022.9777777777</v>
      </c>
      <c r="BE358" s="88">
        <v>0</v>
      </c>
      <c r="BF358" s="116">
        <v>0</v>
      </c>
      <c r="BG358" s="32">
        <v>64</v>
      </c>
      <c r="BH358" s="32">
        <v>0</v>
      </c>
      <c r="BI358" s="32">
        <v>0</v>
      </c>
      <c r="BJ358" s="32">
        <v>0</v>
      </c>
      <c r="BK358" s="88">
        <v>0</v>
      </c>
      <c r="BL358" s="88">
        <v>0</v>
      </c>
      <c r="BM358" s="32">
        <v>39</v>
      </c>
      <c r="BN358" s="32">
        <v>0</v>
      </c>
      <c r="BO358" s="32">
        <v>0</v>
      </c>
      <c r="BP358" s="32">
        <v>0</v>
      </c>
      <c r="BQ358" s="88">
        <v>0</v>
      </c>
      <c r="BR358" s="88">
        <v>0</v>
      </c>
      <c r="BS358" s="32">
        <v>110</v>
      </c>
      <c r="BT358" s="32">
        <v>0</v>
      </c>
      <c r="BU358" s="32">
        <v>0</v>
      </c>
      <c r="BV358" s="32">
        <v>2</v>
      </c>
      <c r="BW358" s="32"/>
      <c r="BX358" s="32"/>
      <c r="BY358" s="32"/>
      <c r="BZ358" s="88">
        <v>0</v>
      </c>
      <c r="CA358" s="88">
        <v>0</v>
      </c>
      <c r="CB358" s="88">
        <v>209</v>
      </c>
      <c r="CC358" s="88"/>
      <c r="CD358" s="88"/>
      <c r="CE358" s="88"/>
      <c r="CF358" s="88">
        <v>0</v>
      </c>
      <c r="CG358" s="88">
        <v>0</v>
      </c>
      <c r="CH358" s="32">
        <v>1</v>
      </c>
      <c r="CI358" s="88">
        <v>0</v>
      </c>
      <c r="CJ358" s="88">
        <v>0</v>
      </c>
      <c r="CK358" s="32">
        <v>6</v>
      </c>
      <c r="CL358" s="32">
        <v>0</v>
      </c>
      <c r="CM358" s="32">
        <v>0</v>
      </c>
      <c r="CN358" s="32">
        <v>0</v>
      </c>
      <c r="CO358" s="88">
        <v>0</v>
      </c>
      <c r="CP358" s="88">
        <v>0</v>
      </c>
      <c r="CQ358" s="86">
        <v>5</v>
      </c>
      <c r="CR358" s="86">
        <v>0</v>
      </c>
      <c r="CS358" s="86">
        <v>0</v>
      </c>
      <c r="CT358" s="86">
        <v>0</v>
      </c>
      <c r="CU358" s="88">
        <v>0</v>
      </c>
      <c r="CV358" s="88">
        <v>0</v>
      </c>
      <c r="CW358" s="32">
        <v>410</v>
      </c>
      <c r="CX358" s="32">
        <v>0</v>
      </c>
      <c r="CY358" s="32">
        <v>0</v>
      </c>
      <c r="CZ358" s="32">
        <v>0</v>
      </c>
      <c r="DA358" s="88">
        <v>0</v>
      </c>
      <c r="DB358" s="88">
        <v>0</v>
      </c>
      <c r="DC358" s="32">
        <v>1</v>
      </c>
      <c r="DD358" s="32">
        <v>0</v>
      </c>
      <c r="DE358" s="32">
        <v>0</v>
      </c>
      <c r="DF358" s="32">
        <v>0</v>
      </c>
      <c r="DG358" s="88">
        <v>0</v>
      </c>
      <c r="DH358" s="88">
        <v>0</v>
      </c>
      <c r="DI358" s="32">
        <v>1</v>
      </c>
      <c r="DJ358" s="32">
        <v>0</v>
      </c>
      <c r="DK358" s="32">
        <v>0</v>
      </c>
      <c r="DL358" s="32">
        <v>0</v>
      </c>
      <c r="DM358" s="88">
        <v>0</v>
      </c>
      <c r="DN358" s="88">
        <v>0</v>
      </c>
      <c r="DO358" s="88">
        <v>0</v>
      </c>
      <c r="DP358" s="88">
        <v>0</v>
      </c>
      <c r="DQ358" s="88">
        <v>0</v>
      </c>
      <c r="DR358" s="113">
        <v>0</v>
      </c>
      <c r="DS358" s="87">
        <v>0</v>
      </c>
      <c r="DT358" s="87">
        <v>0</v>
      </c>
      <c r="DU358" s="87">
        <v>3</v>
      </c>
      <c r="DV358" s="87">
        <v>0</v>
      </c>
      <c r="DW358" s="87">
        <v>0</v>
      </c>
      <c r="DX358" s="87">
        <v>0</v>
      </c>
      <c r="DY358" s="88">
        <v>0</v>
      </c>
      <c r="DZ358" s="88">
        <v>0</v>
      </c>
      <c r="EA358" s="87">
        <v>859</v>
      </c>
      <c r="EB358" s="87">
        <v>0</v>
      </c>
      <c r="EC358" s="87">
        <v>0</v>
      </c>
      <c r="ED358" s="87">
        <v>0</v>
      </c>
      <c r="EE358" s="88">
        <v>0</v>
      </c>
      <c r="EF358" s="88">
        <v>0</v>
      </c>
      <c r="EG358" s="87">
        <v>840</v>
      </c>
      <c r="EH358" s="87">
        <v>0</v>
      </c>
      <c r="EI358" s="87">
        <v>0</v>
      </c>
      <c r="EJ358" s="87">
        <v>0</v>
      </c>
      <c r="EK358" s="88">
        <v>0</v>
      </c>
      <c r="EL358" s="88">
        <v>0</v>
      </c>
      <c r="EM358" s="87">
        <v>738</v>
      </c>
      <c r="EN358" s="87">
        <v>0</v>
      </c>
      <c r="EO358" s="87">
        <v>0</v>
      </c>
      <c r="EP358" s="87">
        <v>0</v>
      </c>
      <c r="EQ358" s="88">
        <v>0</v>
      </c>
      <c r="ER358" s="88">
        <v>0</v>
      </c>
      <c r="ES358" s="87">
        <v>35</v>
      </c>
      <c r="ET358" s="87">
        <v>0</v>
      </c>
      <c r="EU358" s="87">
        <v>0</v>
      </c>
      <c r="EV358" s="87">
        <v>0</v>
      </c>
      <c r="EW358" s="88">
        <v>0</v>
      </c>
      <c r="EX358" s="88">
        <v>0</v>
      </c>
      <c r="EY358" s="87">
        <v>10</v>
      </c>
      <c r="EZ358" s="87">
        <v>0</v>
      </c>
      <c r="FA358" s="87">
        <v>0</v>
      </c>
      <c r="FB358" s="87">
        <v>0</v>
      </c>
      <c r="FC358" s="87">
        <v>0</v>
      </c>
      <c r="FD358" s="87">
        <v>0</v>
      </c>
      <c r="FE358" s="87">
        <v>10</v>
      </c>
      <c r="FF358" s="87">
        <v>0</v>
      </c>
      <c r="FG358" s="87">
        <v>0</v>
      </c>
      <c r="FH358" s="87">
        <v>0</v>
      </c>
      <c r="FI358" s="88">
        <v>0</v>
      </c>
      <c r="FJ358" s="88">
        <v>0</v>
      </c>
      <c r="FK358" s="32">
        <v>25</v>
      </c>
      <c r="FL358" s="88">
        <v>0</v>
      </c>
      <c r="FM358" s="88">
        <v>0</v>
      </c>
      <c r="FN358" s="32">
        <v>2464</v>
      </c>
      <c r="FO358" s="88">
        <v>0</v>
      </c>
      <c r="FP358" s="88">
        <v>0</v>
      </c>
      <c r="FQ358" s="32">
        <v>292</v>
      </c>
      <c r="FR358" s="88">
        <v>0</v>
      </c>
      <c r="FS358" s="88">
        <v>0</v>
      </c>
      <c r="FT358" s="88">
        <v>0</v>
      </c>
      <c r="FU358" s="88">
        <v>0</v>
      </c>
      <c r="FV358" s="88">
        <v>0</v>
      </c>
      <c r="FW358" s="32">
        <v>92</v>
      </c>
      <c r="FX358" s="32">
        <v>0</v>
      </c>
      <c r="FY358" s="32">
        <v>0</v>
      </c>
      <c r="FZ358" s="32">
        <v>123</v>
      </c>
    </row>
    <row r="359" spans="1:182" s="22" customFormat="1" x14ac:dyDescent="0.2">
      <c r="A359" s="41">
        <v>42491</v>
      </c>
      <c r="B359" s="100">
        <f t="shared" si="26"/>
        <v>63851742.299999997</v>
      </c>
      <c r="C359" s="83">
        <v>166623.79999999999</v>
      </c>
      <c r="D359" s="83">
        <v>282073.55999999994</v>
      </c>
      <c r="E359" s="43">
        <f t="shared" si="20"/>
        <v>448697.35999999993</v>
      </c>
      <c r="F359" s="32">
        <v>3686781.8800000004</v>
      </c>
      <c r="G359" s="86">
        <v>734632.15000000026</v>
      </c>
      <c r="H359" s="32">
        <f t="shared" si="19"/>
        <v>4421414.03</v>
      </c>
      <c r="I359" s="42" t="s">
        <v>75</v>
      </c>
      <c r="J359" s="42" t="s">
        <v>75</v>
      </c>
      <c r="K359" s="32">
        <v>12851238.25</v>
      </c>
      <c r="L359" s="42" t="s">
        <v>75</v>
      </c>
      <c r="M359" s="42" t="s">
        <v>75</v>
      </c>
      <c r="N359" s="42">
        <v>19555941.619999997</v>
      </c>
      <c r="O359" s="42" t="s">
        <v>75</v>
      </c>
      <c r="P359" s="42" t="s">
        <v>75</v>
      </c>
      <c r="Q359" s="82">
        <v>26114483.550000001</v>
      </c>
      <c r="R359" s="42" t="s">
        <v>75</v>
      </c>
      <c r="S359" s="42" t="s">
        <v>75</v>
      </c>
      <c r="T359" s="83">
        <v>166336.51</v>
      </c>
      <c r="U359" s="83">
        <v>1666.17</v>
      </c>
      <c r="V359" s="83">
        <v>1957.94</v>
      </c>
      <c r="W359" s="42">
        <f t="shared" si="21"/>
        <v>3624.11</v>
      </c>
      <c r="X359" s="83">
        <v>23142.080000000002</v>
      </c>
      <c r="Y359" s="83">
        <v>3225.55</v>
      </c>
      <c r="Z359" s="32">
        <f t="shared" si="22"/>
        <v>26367.63</v>
      </c>
      <c r="AA359" s="83">
        <v>148273.5</v>
      </c>
      <c r="AB359" s="83">
        <v>15236.009999999998</v>
      </c>
      <c r="AC359" s="32">
        <f t="shared" si="23"/>
        <v>163509.51</v>
      </c>
      <c r="AD359" s="83">
        <v>6452.76</v>
      </c>
      <c r="AE359" s="83">
        <v>7140.47</v>
      </c>
      <c r="AF359" s="32">
        <f t="shared" si="24"/>
        <v>13593.23</v>
      </c>
      <c r="AG359" s="83">
        <v>10702.43</v>
      </c>
      <c r="AH359" s="83">
        <v>31633.919999999998</v>
      </c>
      <c r="AI359" s="32">
        <f t="shared" si="25"/>
        <v>42336.35</v>
      </c>
      <c r="AJ359" s="42" t="s">
        <v>75</v>
      </c>
      <c r="AK359" s="42" t="s">
        <v>75</v>
      </c>
      <c r="AL359" s="42">
        <v>44200.15</v>
      </c>
      <c r="AM359" s="42"/>
      <c r="AN359" s="42"/>
      <c r="AO359" s="42"/>
      <c r="AP359" s="42"/>
      <c r="AQ359" s="42"/>
      <c r="AR359" s="42"/>
      <c r="AS359" s="42" t="s">
        <v>75</v>
      </c>
      <c r="AT359" s="42" t="s">
        <v>75</v>
      </c>
      <c r="AU359" s="87">
        <v>1688839.75</v>
      </c>
      <c r="AV359" s="42" t="s">
        <v>75</v>
      </c>
      <c r="AW359" s="42" t="s">
        <v>75</v>
      </c>
      <c r="AX359" s="32">
        <v>42555.25</v>
      </c>
      <c r="AY359" s="32">
        <v>7604246.5999999996</v>
      </c>
      <c r="AZ359" s="32">
        <v>3083188.5</v>
      </c>
      <c r="BA359" s="43">
        <f t="shared" si="16"/>
        <v>10687435.1</v>
      </c>
      <c r="BB359" s="42" t="s">
        <v>75</v>
      </c>
      <c r="BC359" s="42" t="s">
        <v>75</v>
      </c>
      <c r="BD359" s="42">
        <v>1416138.1777777777</v>
      </c>
      <c r="BE359" s="88">
        <v>0</v>
      </c>
      <c r="BF359" s="116">
        <v>0</v>
      </c>
      <c r="BG359" s="32">
        <v>51</v>
      </c>
      <c r="BH359" s="32">
        <v>0</v>
      </c>
      <c r="BI359" s="32">
        <v>0</v>
      </c>
      <c r="BJ359" s="32">
        <v>0</v>
      </c>
      <c r="BK359" s="88">
        <v>0</v>
      </c>
      <c r="BL359" s="88">
        <v>0</v>
      </c>
      <c r="BM359" s="32">
        <v>108</v>
      </c>
      <c r="BN359" s="32">
        <v>0</v>
      </c>
      <c r="BO359" s="32">
        <v>0</v>
      </c>
      <c r="BP359" s="32">
        <v>0</v>
      </c>
      <c r="BQ359" s="88">
        <v>0</v>
      </c>
      <c r="BR359" s="88">
        <v>0</v>
      </c>
      <c r="BS359" s="32">
        <v>71</v>
      </c>
      <c r="BT359" s="32">
        <v>0</v>
      </c>
      <c r="BU359" s="32">
        <v>0</v>
      </c>
      <c r="BV359" s="32">
        <v>0</v>
      </c>
      <c r="BW359" s="32"/>
      <c r="BX359" s="32"/>
      <c r="BY359" s="32"/>
      <c r="BZ359" s="88">
        <v>0</v>
      </c>
      <c r="CA359" s="88">
        <v>0</v>
      </c>
      <c r="CB359" s="88">
        <v>232</v>
      </c>
      <c r="CC359" s="88"/>
      <c r="CD359" s="88"/>
      <c r="CE359" s="88"/>
      <c r="CF359" s="88">
        <v>0</v>
      </c>
      <c r="CG359" s="88">
        <v>0</v>
      </c>
      <c r="CH359" s="88">
        <v>0</v>
      </c>
      <c r="CI359" s="88">
        <v>0</v>
      </c>
      <c r="CJ359" s="88">
        <v>0</v>
      </c>
      <c r="CK359" s="32">
        <v>3</v>
      </c>
      <c r="CL359" s="32">
        <v>0</v>
      </c>
      <c r="CM359" s="32">
        <v>0</v>
      </c>
      <c r="CN359" s="32">
        <v>0</v>
      </c>
      <c r="CO359" s="88">
        <v>0</v>
      </c>
      <c r="CP359" s="88">
        <v>0</v>
      </c>
      <c r="CQ359" s="86">
        <v>2</v>
      </c>
      <c r="CR359" s="86">
        <v>0</v>
      </c>
      <c r="CS359" s="86">
        <v>0</v>
      </c>
      <c r="CT359" s="86">
        <v>0</v>
      </c>
      <c r="CU359" s="88">
        <v>0</v>
      </c>
      <c r="CV359" s="88">
        <v>0</v>
      </c>
      <c r="CW359" s="32">
        <v>274</v>
      </c>
      <c r="CX359" s="32">
        <v>0</v>
      </c>
      <c r="CY359" s="32">
        <v>0</v>
      </c>
      <c r="CZ359" s="32">
        <v>0</v>
      </c>
      <c r="DA359" s="88">
        <v>0</v>
      </c>
      <c r="DB359" s="88">
        <v>0</v>
      </c>
      <c r="DC359" s="32">
        <v>0</v>
      </c>
      <c r="DD359" s="32">
        <v>0</v>
      </c>
      <c r="DE359" s="32">
        <v>0</v>
      </c>
      <c r="DF359" s="32">
        <v>0</v>
      </c>
      <c r="DG359" s="88">
        <v>0</v>
      </c>
      <c r="DH359" s="88">
        <v>0</v>
      </c>
      <c r="DI359" s="32">
        <v>1</v>
      </c>
      <c r="DJ359" s="32">
        <v>0</v>
      </c>
      <c r="DK359" s="32">
        <v>0</v>
      </c>
      <c r="DL359" s="32">
        <v>0</v>
      </c>
      <c r="DM359" s="88">
        <v>0</v>
      </c>
      <c r="DN359" s="88">
        <v>0</v>
      </c>
      <c r="DO359" s="88">
        <v>0</v>
      </c>
      <c r="DP359" s="88">
        <v>0</v>
      </c>
      <c r="DQ359" s="88">
        <v>0</v>
      </c>
      <c r="DR359" s="113">
        <v>0</v>
      </c>
      <c r="DS359" s="87">
        <v>0</v>
      </c>
      <c r="DT359" s="87">
        <v>0</v>
      </c>
      <c r="DU359" s="87">
        <v>2</v>
      </c>
      <c r="DV359" s="87">
        <v>0</v>
      </c>
      <c r="DW359" s="87">
        <v>0</v>
      </c>
      <c r="DX359" s="87">
        <v>0</v>
      </c>
      <c r="DY359" s="88">
        <v>0</v>
      </c>
      <c r="DZ359" s="88">
        <v>0</v>
      </c>
      <c r="EA359" s="87">
        <v>636</v>
      </c>
      <c r="EB359" s="87">
        <v>0</v>
      </c>
      <c r="EC359" s="87">
        <v>0</v>
      </c>
      <c r="ED359" s="87">
        <v>0</v>
      </c>
      <c r="EE359" s="88">
        <v>0</v>
      </c>
      <c r="EF359" s="88">
        <v>0</v>
      </c>
      <c r="EG359" s="87">
        <v>864</v>
      </c>
      <c r="EH359" s="87">
        <v>0</v>
      </c>
      <c r="EI359" s="87">
        <v>0</v>
      </c>
      <c r="EJ359" s="87">
        <v>0</v>
      </c>
      <c r="EK359" s="88">
        <v>0</v>
      </c>
      <c r="EL359" s="88">
        <v>0</v>
      </c>
      <c r="EM359" s="87">
        <v>837</v>
      </c>
      <c r="EN359" s="87">
        <v>0</v>
      </c>
      <c r="EO359" s="87">
        <v>0</v>
      </c>
      <c r="EP359" s="87">
        <v>0</v>
      </c>
      <c r="EQ359" s="88">
        <v>0</v>
      </c>
      <c r="ER359" s="88">
        <v>0</v>
      </c>
      <c r="ES359" s="87">
        <v>22</v>
      </c>
      <c r="ET359" s="87">
        <v>0</v>
      </c>
      <c r="EU359" s="87">
        <v>0</v>
      </c>
      <c r="EV359" s="87">
        <v>0</v>
      </c>
      <c r="EW359" s="88">
        <v>0</v>
      </c>
      <c r="EX359" s="88">
        <v>0</v>
      </c>
      <c r="EY359" s="87">
        <v>9</v>
      </c>
      <c r="EZ359" s="87">
        <v>0</v>
      </c>
      <c r="FA359" s="87">
        <v>0</v>
      </c>
      <c r="FB359" s="87">
        <v>0</v>
      </c>
      <c r="FC359" s="87">
        <v>0</v>
      </c>
      <c r="FD359" s="87">
        <v>0</v>
      </c>
      <c r="FE359" s="87">
        <v>5</v>
      </c>
      <c r="FF359" s="87">
        <v>0</v>
      </c>
      <c r="FG359" s="87">
        <v>0</v>
      </c>
      <c r="FH359" s="87">
        <v>0</v>
      </c>
      <c r="FI359" s="88">
        <v>0</v>
      </c>
      <c r="FJ359" s="88">
        <v>0</v>
      </c>
      <c r="FK359" s="32">
        <v>9</v>
      </c>
      <c r="FL359" s="88">
        <v>0</v>
      </c>
      <c r="FM359" s="88">
        <v>0</v>
      </c>
      <c r="FN359" s="32">
        <v>2092</v>
      </c>
      <c r="FO359" s="88">
        <v>0</v>
      </c>
      <c r="FP359" s="88">
        <v>0</v>
      </c>
      <c r="FQ359" s="32">
        <v>209</v>
      </c>
      <c r="FR359" s="88">
        <v>0</v>
      </c>
      <c r="FS359" s="88">
        <v>0</v>
      </c>
      <c r="FT359" s="88">
        <v>0</v>
      </c>
      <c r="FU359" s="88">
        <v>0</v>
      </c>
      <c r="FV359" s="88">
        <v>0</v>
      </c>
      <c r="FW359" s="32">
        <v>41</v>
      </c>
      <c r="FX359" s="32">
        <v>0</v>
      </c>
      <c r="FY359" s="32">
        <v>0</v>
      </c>
      <c r="FZ359" s="32">
        <v>124</v>
      </c>
    </row>
    <row r="360" spans="1:182" s="22" customFormat="1" x14ac:dyDescent="0.2">
      <c r="A360" s="41">
        <v>42522</v>
      </c>
      <c r="B360" s="100">
        <f t="shared" si="26"/>
        <v>60450386.710000001</v>
      </c>
      <c r="C360" s="83">
        <v>166971.24000000005</v>
      </c>
      <c r="D360" s="83">
        <v>371574.56</v>
      </c>
      <c r="E360" s="43">
        <f t="shared" si="20"/>
        <v>538545.80000000005</v>
      </c>
      <c r="F360" s="32">
        <v>2345357.3799999994</v>
      </c>
      <c r="G360" s="86">
        <v>843555.32000000007</v>
      </c>
      <c r="H360" s="32">
        <f t="shared" si="19"/>
        <v>3188912.6999999993</v>
      </c>
      <c r="I360" s="42" t="s">
        <v>75</v>
      </c>
      <c r="J360" s="42" t="s">
        <v>75</v>
      </c>
      <c r="K360" s="32">
        <v>11628044.930000002</v>
      </c>
      <c r="L360" s="42" t="s">
        <v>75</v>
      </c>
      <c r="M360" s="42" t="s">
        <v>75</v>
      </c>
      <c r="N360" s="42">
        <v>20696755.619999997</v>
      </c>
      <c r="O360" s="42" t="s">
        <v>75</v>
      </c>
      <c r="P360" s="42" t="s">
        <v>75</v>
      </c>
      <c r="Q360" s="82">
        <v>23923940.940000001</v>
      </c>
      <c r="R360" s="42" t="s">
        <v>75</v>
      </c>
      <c r="S360" s="42" t="s">
        <v>75</v>
      </c>
      <c r="T360" s="83">
        <v>120469.70999999999</v>
      </c>
      <c r="U360" s="83">
        <v>1587.97</v>
      </c>
      <c r="V360" s="83">
        <v>1112.8499999999999</v>
      </c>
      <c r="W360" s="42">
        <f t="shared" si="21"/>
        <v>2700.8199999999997</v>
      </c>
      <c r="X360" s="83">
        <v>30993.67</v>
      </c>
      <c r="Y360" s="83">
        <v>1437.5500000000002</v>
      </c>
      <c r="Z360" s="32">
        <f t="shared" si="22"/>
        <v>32431.219999999998</v>
      </c>
      <c r="AA360" s="83">
        <v>200044.56</v>
      </c>
      <c r="AB360" s="83">
        <v>18983.620000000003</v>
      </c>
      <c r="AC360" s="32">
        <f t="shared" si="23"/>
        <v>219028.18</v>
      </c>
      <c r="AD360" s="83">
        <v>4492.88</v>
      </c>
      <c r="AE360" s="83">
        <v>7407.32</v>
      </c>
      <c r="AF360" s="32">
        <f t="shared" si="24"/>
        <v>11900.2</v>
      </c>
      <c r="AG360" s="83">
        <v>10649.61</v>
      </c>
      <c r="AH360" s="83">
        <v>41568.379999999983</v>
      </c>
      <c r="AI360" s="32">
        <f t="shared" si="25"/>
        <v>52217.989999999983</v>
      </c>
      <c r="AJ360" s="42" t="s">
        <v>75</v>
      </c>
      <c r="AK360" s="42" t="s">
        <v>75</v>
      </c>
      <c r="AL360" s="42">
        <v>35438.600000000006</v>
      </c>
      <c r="AM360" s="42"/>
      <c r="AN360" s="42"/>
      <c r="AO360" s="42"/>
      <c r="AP360" s="42"/>
      <c r="AQ360" s="42"/>
      <c r="AR360" s="42"/>
      <c r="AS360" s="42" t="s">
        <v>75</v>
      </c>
      <c r="AT360" s="42" t="s">
        <v>75</v>
      </c>
      <c r="AU360" s="87">
        <v>1381236.32</v>
      </c>
      <c r="AV360" s="42" t="s">
        <v>75</v>
      </c>
      <c r="AW360" s="42" t="s">
        <v>75</v>
      </c>
      <c r="AX360" s="32">
        <v>35292.199999999997</v>
      </c>
      <c r="AY360" s="32">
        <v>7653829.9000000004</v>
      </c>
      <c r="AZ360" s="32">
        <v>753375</v>
      </c>
      <c r="BA360" s="43">
        <f t="shared" si="16"/>
        <v>8407204.9000000004</v>
      </c>
      <c r="BB360" s="42" t="s">
        <v>75</v>
      </c>
      <c r="BC360" s="42" t="s">
        <v>75</v>
      </c>
      <c r="BD360" s="42">
        <v>1371218</v>
      </c>
      <c r="BE360" s="88">
        <v>0</v>
      </c>
      <c r="BF360" s="116">
        <v>0</v>
      </c>
      <c r="BG360" s="32">
        <v>86</v>
      </c>
      <c r="BH360" s="32">
        <v>0</v>
      </c>
      <c r="BI360" s="32">
        <v>0</v>
      </c>
      <c r="BJ360" s="32">
        <v>0</v>
      </c>
      <c r="BK360" s="88">
        <v>0</v>
      </c>
      <c r="BL360" s="88">
        <v>0</v>
      </c>
      <c r="BM360" s="32">
        <v>247</v>
      </c>
      <c r="BN360" s="32">
        <v>0</v>
      </c>
      <c r="BO360" s="32">
        <v>0</v>
      </c>
      <c r="BP360" s="32">
        <v>0</v>
      </c>
      <c r="BQ360" s="88">
        <v>0</v>
      </c>
      <c r="BR360" s="88">
        <v>0</v>
      </c>
      <c r="BS360" s="32">
        <v>58</v>
      </c>
      <c r="BT360" s="32">
        <v>0</v>
      </c>
      <c r="BU360" s="32">
        <v>0</v>
      </c>
      <c r="BV360" s="32">
        <v>0</v>
      </c>
      <c r="BW360" s="32"/>
      <c r="BX360" s="32"/>
      <c r="BY360" s="32"/>
      <c r="BZ360" s="88">
        <v>0</v>
      </c>
      <c r="CA360" s="88">
        <v>0</v>
      </c>
      <c r="CB360" s="88">
        <v>288</v>
      </c>
      <c r="CC360" s="88"/>
      <c r="CD360" s="88"/>
      <c r="CE360" s="88"/>
      <c r="CF360" s="88">
        <v>0</v>
      </c>
      <c r="CG360" s="88">
        <v>0</v>
      </c>
      <c r="CH360" s="32">
        <v>2</v>
      </c>
      <c r="CI360" s="88">
        <v>0</v>
      </c>
      <c r="CJ360" s="88">
        <v>0</v>
      </c>
      <c r="CK360" s="32">
        <v>55</v>
      </c>
      <c r="CL360" s="32">
        <v>0</v>
      </c>
      <c r="CM360" s="32">
        <v>0</v>
      </c>
      <c r="CN360" s="32">
        <v>0</v>
      </c>
      <c r="CO360" s="88">
        <v>0</v>
      </c>
      <c r="CP360" s="88">
        <v>0</v>
      </c>
      <c r="CQ360" s="86">
        <v>6</v>
      </c>
      <c r="CR360" s="86">
        <v>0</v>
      </c>
      <c r="CS360" s="86">
        <v>0</v>
      </c>
      <c r="CT360" s="86">
        <v>0</v>
      </c>
      <c r="CU360" s="88">
        <v>0</v>
      </c>
      <c r="CV360" s="88">
        <v>0</v>
      </c>
      <c r="CW360" s="32">
        <v>320</v>
      </c>
      <c r="CX360" s="32">
        <v>0</v>
      </c>
      <c r="CY360" s="32">
        <v>0</v>
      </c>
      <c r="CZ360" s="32">
        <v>0</v>
      </c>
      <c r="DA360" s="88">
        <v>0</v>
      </c>
      <c r="DB360" s="88">
        <v>0</v>
      </c>
      <c r="DC360" s="32">
        <v>1</v>
      </c>
      <c r="DD360" s="32">
        <v>0</v>
      </c>
      <c r="DE360" s="32">
        <v>0</v>
      </c>
      <c r="DF360" s="32">
        <v>0</v>
      </c>
      <c r="DG360" s="88">
        <v>0</v>
      </c>
      <c r="DH360" s="88">
        <v>0</v>
      </c>
      <c r="DI360" s="32">
        <v>2</v>
      </c>
      <c r="DJ360" s="32">
        <v>0</v>
      </c>
      <c r="DK360" s="32">
        <v>0</v>
      </c>
      <c r="DL360" s="32">
        <v>0</v>
      </c>
      <c r="DM360" s="88">
        <v>0</v>
      </c>
      <c r="DN360" s="88">
        <v>0</v>
      </c>
      <c r="DO360" s="88">
        <v>0</v>
      </c>
      <c r="DP360" s="88">
        <v>0</v>
      </c>
      <c r="DQ360" s="88">
        <v>0</v>
      </c>
      <c r="DR360" s="113">
        <v>0</v>
      </c>
      <c r="DS360" s="87">
        <v>0</v>
      </c>
      <c r="DT360" s="87">
        <v>0</v>
      </c>
      <c r="DU360" s="87">
        <v>0</v>
      </c>
      <c r="DV360" s="87">
        <v>0</v>
      </c>
      <c r="DW360" s="87">
        <v>0</v>
      </c>
      <c r="DX360" s="87">
        <v>0</v>
      </c>
      <c r="DY360" s="88">
        <v>0</v>
      </c>
      <c r="DZ360" s="88">
        <v>0</v>
      </c>
      <c r="EA360" s="87">
        <v>649</v>
      </c>
      <c r="EB360" s="87">
        <v>0</v>
      </c>
      <c r="EC360" s="87">
        <v>0</v>
      </c>
      <c r="ED360" s="87">
        <v>0</v>
      </c>
      <c r="EE360" s="88">
        <v>0</v>
      </c>
      <c r="EF360" s="88">
        <v>0</v>
      </c>
      <c r="EG360" s="87">
        <v>1062</v>
      </c>
      <c r="EH360" s="87">
        <v>0</v>
      </c>
      <c r="EI360" s="87">
        <v>0</v>
      </c>
      <c r="EJ360" s="87">
        <v>0</v>
      </c>
      <c r="EK360" s="88">
        <v>0</v>
      </c>
      <c r="EL360" s="88">
        <v>0</v>
      </c>
      <c r="EM360" s="87">
        <v>769</v>
      </c>
      <c r="EN360" s="87">
        <v>0</v>
      </c>
      <c r="EO360" s="87">
        <v>0</v>
      </c>
      <c r="EP360" s="87">
        <v>4</v>
      </c>
      <c r="EQ360" s="88">
        <v>0</v>
      </c>
      <c r="ER360" s="88">
        <v>0</v>
      </c>
      <c r="ES360" s="87">
        <v>26</v>
      </c>
      <c r="ET360" s="87">
        <v>0</v>
      </c>
      <c r="EU360" s="87">
        <v>0</v>
      </c>
      <c r="EV360" s="87">
        <v>0</v>
      </c>
      <c r="EW360" s="88">
        <v>0</v>
      </c>
      <c r="EX360" s="88">
        <v>0</v>
      </c>
      <c r="EY360" s="87">
        <v>8</v>
      </c>
      <c r="EZ360" s="87">
        <v>0</v>
      </c>
      <c r="FA360" s="87">
        <v>0</v>
      </c>
      <c r="FB360" s="87">
        <v>0</v>
      </c>
      <c r="FC360" s="87">
        <v>0</v>
      </c>
      <c r="FD360" s="87">
        <v>0</v>
      </c>
      <c r="FE360" s="87">
        <v>5</v>
      </c>
      <c r="FF360" s="87">
        <v>0</v>
      </c>
      <c r="FG360" s="87">
        <v>0</v>
      </c>
      <c r="FH360" s="87">
        <v>0</v>
      </c>
      <c r="FI360" s="88">
        <v>0</v>
      </c>
      <c r="FJ360" s="88">
        <v>0</v>
      </c>
      <c r="FK360" s="32">
        <v>12</v>
      </c>
      <c r="FL360" s="88">
        <v>0</v>
      </c>
      <c r="FM360" s="88">
        <v>0</v>
      </c>
      <c r="FN360" s="32">
        <v>1940</v>
      </c>
      <c r="FO360" s="88">
        <v>0</v>
      </c>
      <c r="FP360" s="88">
        <v>0</v>
      </c>
      <c r="FQ360" s="32">
        <v>234</v>
      </c>
      <c r="FR360" s="88">
        <v>0</v>
      </c>
      <c r="FS360" s="88">
        <v>0</v>
      </c>
      <c r="FT360" s="88">
        <v>0</v>
      </c>
      <c r="FU360" s="88">
        <v>0</v>
      </c>
      <c r="FV360" s="88">
        <v>0</v>
      </c>
      <c r="FW360" s="32">
        <v>25</v>
      </c>
      <c r="FX360" s="32">
        <v>0</v>
      </c>
      <c r="FY360" s="32">
        <v>0</v>
      </c>
      <c r="FZ360" s="32">
        <v>100</v>
      </c>
    </row>
    <row r="361" spans="1:182" s="22" customFormat="1" x14ac:dyDescent="0.2">
      <c r="A361" s="41">
        <v>42552</v>
      </c>
      <c r="B361" s="100">
        <f t="shared" si="26"/>
        <v>63283674.470000014</v>
      </c>
      <c r="C361" s="83">
        <v>193311.84</v>
      </c>
      <c r="D361" s="83">
        <v>271055.04000000015</v>
      </c>
      <c r="E361" s="43">
        <f t="shared" si="20"/>
        <v>464366.88000000012</v>
      </c>
      <c r="F361" s="32">
        <v>4149766.4</v>
      </c>
      <c r="G361" s="86">
        <v>1056745.6200000001</v>
      </c>
      <c r="H361" s="32">
        <f t="shared" si="19"/>
        <v>5206512.0199999996</v>
      </c>
      <c r="I361" s="42" t="s">
        <v>75</v>
      </c>
      <c r="J361" s="42" t="s">
        <v>75</v>
      </c>
      <c r="K361" s="32">
        <v>10502669.570000002</v>
      </c>
      <c r="L361" s="42" t="s">
        <v>75</v>
      </c>
      <c r="M361" s="42" t="s">
        <v>75</v>
      </c>
      <c r="N361" s="42">
        <v>21941917.510000002</v>
      </c>
      <c r="O361" s="42" t="s">
        <v>75</v>
      </c>
      <c r="P361" s="42" t="s">
        <v>75</v>
      </c>
      <c r="Q361" s="82">
        <v>24702864.620000001</v>
      </c>
      <c r="R361" s="42" t="s">
        <v>75</v>
      </c>
      <c r="S361" s="42" t="s">
        <v>75</v>
      </c>
      <c r="T361" s="83">
        <v>142241.26999999999</v>
      </c>
      <c r="U361" s="83">
        <v>1659.7</v>
      </c>
      <c r="V361" s="83">
        <v>1433.33</v>
      </c>
      <c r="W361" s="42">
        <f t="shared" si="21"/>
        <v>3093.0299999999997</v>
      </c>
      <c r="X361" s="83">
        <v>42100.38</v>
      </c>
      <c r="Y361" s="83">
        <v>739.09999999999991</v>
      </c>
      <c r="Z361" s="32">
        <f t="shared" si="22"/>
        <v>42839.479999999996</v>
      </c>
      <c r="AA361" s="83">
        <v>133722.16</v>
      </c>
      <c r="AB361" s="83">
        <v>25236.61</v>
      </c>
      <c r="AC361" s="32">
        <f t="shared" si="23"/>
        <v>158958.77000000002</v>
      </c>
      <c r="AD361" s="83">
        <v>6046.82</v>
      </c>
      <c r="AE361" s="83">
        <v>7362.9899999999989</v>
      </c>
      <c r="AF361" s="32">
        <f t="shared" si="24"/>
        <v>13409.809999999998</v>
      </c>
      <c r="AG361" s="83">
        <v>12058.14</v>
      </c>
      <c r="AH361" s="83">
        <v>45958.270000000011</v>
      </c>
      <c r="AI361" s="32">
        <f t="shared" si="25"/>
        <v>58016.410000000011</v>
      </c>
      <c r="AJ361" s="42" t="s">
        <v>75</v>
      </c>
      <c r="AK361" s="42" t="s">
        <v>75</v>
      </c>
      <c r="AL361" s="42">
        <v>46785.100000000006</v>
      </c>
      <c r="AM361" s="42"/>
      <c r="AN361" s="42"/>
      <c r="AO361" s="42"/>
      <c r="AP361" s="42"/>
      <c r="AQ361" s="42"/>
      <c r="AR361" s="42"/>
      <c r="AS361" s="42" t="s">
        <v>75</v>
      </c>
      <c r="AT361" s="42" t="s">
        <v>75</v>
      </c>
      <c r="AU361" s="87">
        <v>1139823.46</v>
      </c>
      <c r="AV361" s="42" t="s">
        <v>75</v>
      </c>
      <c r="AW361" s="42" t="s">
        <v>75</v>
      </c>
      <c r="AX361" s="32">
        <v>30114.95</v>
      </c>
      <c r="AY361" s="32">
        <v>7833307.9000000004</v>
      </c>
      <c r="AZ361" s="32">
        <v>1083145</v>
      </c>
      <c r="BA361" s="43">
        <f t="shared" si="16"/>
        <v>8916452.9000000004</v>
      </c>
      <c r="BB361" s="42" t="s">
        <v>75</v>
      </c>
      <c r="BC361" s="42" t="s">
        <v>75</v>
      </c>
      <c r="BD361" s="42">
        <v>1330008.7111111111</v>
      </c>
      <c r="BE361" s="88">
        <v>0</v>
      </c>
      <c r="BF361" s="116">
        <v>0</v>
      </c>
      <c r="BG361" s="32">
        <v>54</v>
      </c>
      <c r="BH361" s="32">
        <v>0</v>
      </c>
      <c r="BI361" s="32">
        <v>0</v>
      </c>
      <c r="BJ361" s="32">
        <v>0</v>
      </c>
      <c r="BK361" s="88">
        <v>0</v>
      </c>
      <c r="BL361" s="88">
        <v>0</v>
      </c>
      <c r="BM361" s="32">
        <v>156</v>
      </c>
      <c r="BN361" s="32">
        <v>0</v>
      </c>
      <c r="BO361" s="32">
        <v>0</v>
      </c>
      <c r="BP361" s="32">
        <v>0</v>
      </c>
      <c r="BQ361" s="88">
        <v>0</v>
      </c>
      <c r="BR361" s="88">
        <v>0</v>
      </c>
      <c r="BS361" s="32">
        <v>34</v>
      </c>
      <c r="BT361" s="32">
        <v>0</v>
      </c>
      <c r="BU361" s="32">
        <v>0</v>
      </c>
      <c r="BV361" s="32">
        <v>0</v>
      </c>
      <c r="BW361" s="32"/>
      <c r="BX361" s="32"/>
      <c r="BY361" s="32"/>
      <c r="BZ361" s="88">
        <v>0</v>
      </c>
      <c r="CA361" s="88">
        <v>0</v>
      </c>
      <c r="CB361" s="88">
        <v>215</v>
      </c>
      <c r="CC361" s="88"/>
      <c r="CD361" s="88"/>
      <c r="CE361" s="88"/>
      <c r="CF361" s="88">
        <v>0</v>
      </c>
      <c r="CG361" s="88">
        <v>0</v>
      </c>
      <c r="CH361" s="32">
        <v>3</v>
      </c>
      <c r="CI361" s="88">
        <v>0</v>
      </c>
      <c r="CJ361" s="88">
        <v>0</v>
      </c>
      <c r="CK361" s="32">
        <v>22</v>
      </c>
      <c r="CL361" s="32">
        <v>0</v>
      </c>
      <c r="CM361" s="32">
        <v>0</v>
      </c>
      <c r="CN361" s="32">
        <v>0</v>
      </c>
      <c r="CO361" s="88">
        <v>0</v>
      </c>
      <c r="CP361" s="88">
        <v>0</v>
      </c>
      <c r="CQ361" s="86">
        <v>9</v>
      </c>
      <c r="CR361" s="86">
        <v>0</v>
      </c>
      <c r="CS361" s="86">
        <v>0</v>
      </c>
      <c r="CT361" s="86">
        <v>0</v>
      </c>
      <c r="CU361" s="88">
        <v>0</v>
      </c>
      <c r="CV361" s="88">
        <v>0</v>
      </c>
      <c r="CW361" s="32">
        <v>250</v>
      </c>
      <c r="CX361" s="32">
        <v>0</v>
      </c>
      <c r="CY361" s="32">
        <v>0</v>
      </c>
      <c r="CZ361" s="32">
        <v>0</v>
      </c>
      <c r="DA361" s="88">
        <v>0</v>
      </c>
      <c r="DB361" s="88">
        <v>0</v>
      </c>
      <c r="DC361" s="32">
        <v>0</v>
      </c>
      <c r="DD361" s="32">
        <v>0</v>
      </c>
      <c r="DE361" s="32">
        <v>0</v>
      </c>
      <c r="DF361" s="32">
        <v>0</v>
      </c>
      <c r="DG361" s="88">
        <v>0</v>
      </c>
      <c r="DH361" s="88">
        <v>0</v>
      </c>
      <c r="DI361" s="32">
        <v>3</v>
      </c>
      <c r="DJ361" s="32">
        <v>0</v>
      </c>
      <c r="DK361" s="32">
        <v>0</v>
      </c>
      <c r="DL361" s="32">
        <v>0</v>
      </c>
      <c r="DM361" s="88">
        <v>0</v>
      </c>
      <c r="DN361" s="88">
        <v>0</v>
      </c>
      <c r="DO361" s="88">
        <v>0</v>
      </c>
      <c r="DP361" s="88">
        <v>0</v>
      </c>
      <c r="DQ361" s="88">
        <v>0</v>
      </c>
      <c r="DR361" s="113">
        <v>0</v>
      </c>
      <c r="DS361" s="87">
        <v>0</v>
      </c>
      <c r="DT361" s="87">
        <v>0</v>
      </c>
      <c r="DU361" s="87">
        <v>122</v>
      </c>
      <c r="DV361" s="87">
        <v>0</v>
      </c>
      <c r="DW361" s="87">
        <v>0</v>
      </c>
      <c r="DX361" s="87">
        <v>0</v>
      </c>
      <c r="DY361" s="88">
        <v>0</v>
      </c>
      <c r="DZ361" s="88">
        <v>0</v>
      </c>
      <c r="EA361" s="87">
        <v>921</v>
      </c>
      <c r="EB361" s="87">
        <v>0</v>
      </c>
      <c r="EC361" s="87">
        <v>0</v>
      </c>
      <c r="ED361" s="87">
        <v>0</v>
      </c>
      <c r="EE361" s="88">
        <v>0</v>
      </c>
      <c r="EF361" s="88">
        <v>0</v>
      </c>
      <c r="EG361" s="87">
        <v>894</v>
      </c>
      <c r="EH361" s="87">
        <v>0</v>
      </c>
      <c r="EI361" s="87">
        <v>0</v>
      </c>
      <c r="EJ361" s="87">
        <v>0</v>
      </c>
      <c r="EK361" s="88">
        <v>0</v>
      </c>
      <c r="EL361" s="88">
        <v>0</v>
      </c>
      <c r="EM361" s="87">
        <v>804</v>
      </c>
      <c r="EN361" s="87">
        <v>0</v>
      </c>
      <c r="EO361" s="87">
        <v>0</v>
      </c>
      <c r="EP361" s="87">
        <v>2</v>
      </c>
      <c r="EQ361" s="88">
        <v>0</v>
      </c>
      <c r="ER361" s="88">
        <v>0</v>
      </c>
      <c r="ES361" s="87">
        <v>37</v>
      </c>
      <c r="ET361" s="87">
        <v>0</v>
      </c>
      <c r="EU361" s="87">
        <v>0</v>
      </c>
      <c r="EV361" s="87">
        <v>0</v>
      </c>
      <c r="EW361" s="88">
        <v>0</v>
      </c>
      <c r="EX361" s="88">
        <v>0</v>
      </c>
      <c r="EY361" s="87">
        <v>3</v>
      </c>
      <c r="EZ361" s="87">
        <v>0</v>
      </c>
      <c r="FA361" s="87">
        <v>0</v>
      </c>
      <c r="FB361" s="87">
        <v>0</v>
      </c>
      <c r="FC361" s="87">
        <v>0</v>
      </c>
      <c r="FD361" s="87">
        <v>0</v>
      </c>
      <c r="FE361" s="87">
        <v>5</v>
      </c>
      <c r="FF361" s="87">
        <v>0</v>
      </c>
      <c r="FG361" s="87">
        <v>0</v>
      </c>
      <c r="FH361" s="87">
        <v>0</v>
      </c>
      <c r="FI361" s="88">
        <v>0</v>
      </c>
      <c r="FJ361" s="88">
        <v>0</v>
      </c>
      <c r="FK361" s="32">
        <v>10</v>
      </c>
      <c r="FL361" s="88">
        <v>0</v>
      </c>
      <c r="FM361" s="88">
        <v>0</v>
      </c>
      <c r="FN361" s="32">
        <v>2130</v>
      </c>
      <c r="FO361" s="88">
        <v>0</v>
      </c>
      <c r="FP361" s="88">
        <v>0</v>
      </c>
      <c r="FQ361" s="32">
        <v>234</v>
      </c>
      <c r="FR361" s="88">
        <v>0</v>
      </c>
      <c r="FS361" s="88">
        <v>0</v>
      </c>
      <c r="FT361" s="88">
        <v>0</v>
      </c>
      <c r="FU361" s="88">
        <v>0</v>
      </c>
      <c r="FV361" s="88">
        <v>0</v>
      </c>
      <c r="FW361" s="32">
        <v>21</v>
      </c>
      <c r="FX361" s="32">
        <v>0</v>
      </c>
      <c r="FY361" s="32">
        <v>0</v>
      </c>
      <c r="FZ361" s="32">
        <v>291</v>
      </c>
    </row>
    <row r="362" spans="1:182" s="22" customFormat="1" x14ac:dyDescent="0.2">
      <c r="A362" s="41">
        <v>42583</v>
      </c>
      <c r="B362" s="100">
        <f t="shared" si="26"/>
        <v>72470045.519999996</v>
      </c>
      <c r="C362" s="83">
        <v>156773.78</v>
      </c>
      <c r="D362" s="83">
        <v>261241.78000000003</v>
      </c>
      <c r="E362" s="43">
        <f t="shared" si="20"/>
        <v>418015.56000000006</v>
      </c>
      <c r="F362" s="32">
        <v>4793006.0900000008</v>
      </c>
      <c r="G362" s="86">
        <v>1351335.6199999996</v>
      </c>
      <c r="H362" s="32">
        <f t="shared" si="19"/>
        <v>6144341.7100000009</v>
      </c>
      <c r="I362" s="42" t="s">
        <v>75</v>
      </c>
      <c r="J362" s="42" t="s">
        <v>75</v>
      </c>
      <c r="K362" s="32">
        <v>18190046.620000001</v>
      </c>
      <c r="L362" s="42" t="s">
        <v>75</v>
      </c>
      <c r="M362" s="42" t="s">
        <v>75</v>
      </c>
      <c r="N362" s="42">
        <v>23439427.099999998</v>
      </c>
      <c r="O362" s="42" t="s">
        <v>75</v>
      </c>
      <c r="P362" s="42" t="s">
        <v>75</v>
      </c>
      <c r="Q362" s="82">
        <v>23764698.25</v>
      </c>
      <c r="R362" s="42" t="s">
        <v>75</v>
      </c>
      <c r="S362" s="42" t="s">
        <v>75</v>
      </c>
      <c r="T362" s="83">
        <v>154195.92000000001</v>
      </c>
      <c r="U362" s="83">
        <v>1833.28</v>
      </c>
      <c r="V362" s="83">
        <v>2808.8599999999997</v>
      </c>
      <c r="W362" s="42">
        <f t="shared" si="21"/>
        <v>4642.1399999999994</v>
      </c>
      <c r="X362" s="83">
        <v>65454.52</v>
      </c>
      <c r="Y362" s="83">
        <v>1547.8</v>
      </c>
      <c r="Z362" s="32">
        <f t="shared" si="22"/>
        <v>67002.319999999992</v>
      </c>
      <c r="AA362" s="83">
        <v>103363.37999999999</v>
      </c>
      <c r="AB362" s="83">
        <v>24815.180000000004</v>
      </c>
      <c r="AC362" s="32">
        <f t="shared" si="23"/>
        <v>128178.56</v>
      </c>
      <c r="AD362" s="83">
        <v>6690.26</v>
      </c>
      <c r="AE362" s="83">
        <v>14639.499999999998</v>
      </c>
      <c r="AF362" s="32">
        <f t="shared" si="24"/>
        <v>21329.759999999998</v>
      </c>
      <c r="AG362" s="83">
        <v>22276.47</v>
      </c>
      <c r="AH362" s="83">
        <v>56743.41</v>
      </c>
      <c r="AI362" s="32">
        <f t="shared" si="25"/>
        <v>79019.88</v>
      </c>
      <c r="AJ362" s="42" t="s">
        <v>75</v>
      </c>
      <c r="AK362" s="42" t="s">
        <v>75</v>
      </c>
      <c r="AL362" s="42">
        <v>59147.7</v>
      </c>
      <c r="AM362" s="42"/>
      <c r="AN362" s="42"/>
      <c r="AO362" s="42"/>
      <c r="AP362" s="42"/>
      <c r="AQ362" s="42"/>
      <c r="AR362" s="42"/>
      <c r="AS362" s="42" t="s">
        <v>75</v>
      </c>
      <c r="AT362" s="42" t="s">
        <v>75</v>
      </c>
      <c r="AU362" s="87">
        <v>1304636.47</v>
      </c>
      <c r="AV362" s="42" t="s">
        <v>75</v>
      </c>
      <c r="AW362" s="42" t="s">
        <v>75</v>
      </c>
      <c r="AX362" s="32">
        <v>51109.18</v>
      </c>
      <c r="AY362" s="32">
        <v>8385340.7000000002</v>
      </c>
      <c r="AZ362" s="32">
        <v>840130</v>
      </c>
      <c r="BA362" s="43">
        <f t="shared" si="16"/>
        <v>9225470.6999999993</v>
      </c>
      <c r="BB362" s="42" t="s">
        <v>75</v>
      </c>
      <c r="BC362" s="42" t="s">
        <v>75</v>
      </c>
      <c r="BD362" s="42">
        <v>1489878.4222222222</v>
      </c>
      <c r="BE362" s="88">
        <v>0</v>
      </c>
      <c r="BF362" s="116">
        <v>0</v>
      </c>
      <c r="BG362" s="32">
        <v>49</v>
      </c>
      <c r="BH362" s="32">
        <v>0</v>
      </c>
      <c r="BI362" s="32">
        <v>0</v>
      </c>
      <c r="BJ362" s="32">
        <v>0</v>
      </c>
      <c r="BK362" s="88">
        <v>0</v>
      </c>
      <c r="BL362" s="88">
        <v>0</v>
      </c>
      <c r="BM362" s="32">
        <v>154</v>
      </c>
      <c r="BN362" s="32">
        <v>0</v>
      </c>
      <c r="BO362" s="32">
        <v>0</v>
      </c>
      <c r="BP362" s="32">
        <v>0</v>
      </c>
      <c r="BQ362" s="88">
        <v>0</v>
      </c>
      <c r="BR362" s="88">
        <v>0</v>
      </c>
      <c r="BS362" s="32">
        <v>61</v>
      </c>
      <c r="BT362" s="32">
        <v>0</v>
      </c>
      <c r="BU362" s="32">
        <v>0</v>
      </c>
      <c r="BV362" s="32">
        <v>2</v>
      </c>
      <c r="BW362" s="32"/>
      <c r="BX362" s="32"/>
      <c r="BY362" s="32"/>
      <c r="BZ362" s="88">
        <v>0</v>
      </c>
      <c r="CA362" s="88">
        <v>0</v>
      </c>
      <c r="CB362" s="88">
        <v>277</v>
      </c>
      <c r="CC362" s="88"/>
      <c r="CD362" s="88"/>
      <c r="CE362" s="88"/>
      <c r="CF362" s="88">
        <v>0</v>
      </c>
      <c r="CG362" s="88">
        <v>0</v>
      </c>
      <c r="CH362" s="88">
        <v>0</v>
      </c>
      <c r="CI362" s="88">
        <v>0</v>
      </c>
      <c r="CJ362" s="88">
        <v>0</v>
      </c>
      <c r="CK362" s="32">
        <v>20</v>
      </c>
      <c r="CL362" s="32">
        <v>0</v>
      </c>
      <c r="CM362" s="32">
        <v>0</v>
      </c>
      <c r="CN362" s="32">
        <v>0</v>
      </c>
      <c r="CO362" s="88">
        <v>0</v>
      </c>
      <c r="CP362" s="88">
        <v>0</v>
      </c>
      <c r="CQ362" s="86">
        <v>8</v>
      </c>
      <c r="CR362" s="86">
        <v>0</v>
      </c>
      <c r="CS362" s="86">
        <v>0</v>
      </c>
      <c r="CT362" s="86">
        <v>0</v>
      </c>
      <c r="CU362" s="88">
        <v>0</v>
      </c>
      <c r="CV362" s="88">
        <v>0</v>
      </c>
      <c r="CW362" s="32">
        <v>303</v>
      </c>
      <c r="CX362" s="32">
        <v>0</v>
      </c>
      <c r="CY362" s="32">
        <v>0</v>
      </c>
      <c r="CZ362" s="32">
        <v>0</v>
      </c>
      <c r="DA362" s="88">
        <v>0</v>
      </c>
      <c r="DB362" s="88">
        <v>0</v>
      </c>
      <c r="DC362" s="32">
        <v>0</v>
      </c>
      <c r="DD362" s="32">
        <v>0</v>
      </c>
      <c r="DE362" s="32">
        <v>0</v>
      </c>
      <c r="DF362" s="32">
        <v>0</v>
      </c>
      <c r="DG362" s="88">
        <v>0</v>
      </c>
      <c r="DH362" s="88">
        <v>0</v>
      </c>
      <c r="DI362" s="32">
        <v>6</v>
      </c>
      <c r="DJ362" s="32">
        <v>0</v>
      </c>
      <c r="DK362" s="32">
        <v>0</v>
      </c>
      <c r="DL362" s="32">
        <v>0</v>
      </c>
      <c r="DM362" s="88">
        <v>0</v>
      </c>
      <c r="DN362" s="88">
        <v>0</v>
      </c>
      <c r="DO362" s="88">
        <v>0</v>
      </c>
      <c r="DP362" s="88">
        <v>0</v>
      </c>
      <c r="DQ362" s="88">
        <v>0</v>
      </c>
      <c r="DR362" s="113">
        <v>0</v>
      </c>
      <c r="DS362" s="87">
        <v>0</v>
      </c>
      <c r="DT362" s="87">
        <v>0</v>
      </c>
      <c r="DU362" s="87">
        <v>170</v>
      </c>
      <c r="DV362" s="87">
        <v>0</v>
      </c>
      <c r="DW362" s="87">
        <v>0</v>
      </c>
      <c r="DX362" s="87">
        <v>0</v>
      </c>
      <c r="DY362" s="88">
        <v>0</v>
      </c>
      <c r="DZ362" s="88">
        <v>0</v>
      </c>
      <c r="EA362" s="87">
        <v>659</v>
      </c>
      <c r="EB362" s="87">
        <v>0</v>
      </c>
      <c r="EC362" s="87">
        <v>0</v>
      </c>
      <c r="ED362" s="87">
        <v>0</v>
      </c>
      <c r="EE362" s="88">
        <v>0</v>
      </c>
      <c r="EF362" s="88">
        <v>0</v>
      </c>
      <c r="EG362" s="87">
        <v>1010</v>
      </c>
      <c r="EH362" s="87">
        <v>0</v>
      </c>
      <c r="EI362" s="87">
        <v>0</v>
      </c>
      <c r="EJ362" s="87">
        <v>0</v>
      </c>
      <c r="EK362" s="88">
        <v>0</v>
      </c>
      <c r="EL362" s="88">
        <v>0</v>
      </c>
      <c r="EM362" s="87">
        <v>998</v>
      </c>
      <c r="EN362" s="87">
        <v>0</v>
      </c>
      <c r="EO362" s="87">
        <v>0</v>
      </c>
      <c r="EP362" s="87">
        <v>0</v>
      </c>
      <c r="EQ362" s="88">
        <v>0</v>
      </c>
      <c r="ER362" s="88">
        <v>0</v>
      </c>
      <c r="ES362" s="87">
        <v>47</v>
      </c>
      <c r="ET362" s="87">
        <v>0</v>
      </c>
      <c r="EU362" s="87">
        <v>0</v>
      </c>
      <c r="EV362" s="87">
        <v>0</v>
      </c>
      <c r="EW362" s="88">
        <v>0</v>
      </c>
      <c r="EX362" s="88">
        <v>0</v>
      </c>
      <c r="EY362" s="87">
        <v>8</v>
      </c>
      <c r="EZ362" s="87">
        <v>0</v>
      </c>
      <c r="FA362" s="87">
        <v>0</v>
      </c>
      <c r="FB362" s="87">
        <v>0</v>
      </c>
      <c r="FC362" s="87">
        <v>0</v>
      </c>
      <c r="FD362" s="87">
        <v>0</v>
      </c>
      <c r="FE362" s="87">
        <v>4</v>
      </c>
      <c r="FF362" s="87">
        <v>0</v>
      </c>
      <c r="FG362" s="87">
        <v>0</v>
      </c>
      <c r="FH362" s="87">
        <v>0</v>
      </c>
      <c r="FI362" s="88">
        <v>0</v>
      </c>
      <c r="FJ362" s="88">
        <v>0</v>
      </c>
      <c r="FK362" s="32">
        <v>19</v>
      </c>
      <c r="FL362" s="88">
        <v>0</v>
      </c>
      <c r="FM362" s="88">
        <v>0</v>
      </c>
      <c r="FN362" s="32">
        <v>2742</v>
      </c>
      <c r="FO362" s="88">
        <v>0</v>
      </c>
      <c r="FP362" s="88">
        <v>0</v>
      </c>
      <c r="FQ362" s="32">
        <v>246</v>
      </c>
      <c r="FR362" s="88">
        <v>0</v>
      </c>
      <c r="FS362" s="88">
        <v>0</v>
      </c>
      <c r="FT362" s="88">
        <v>0</v>
      </c>
      <c r="FU362" s="88">
        <v>0</v>
      </c>
      <c r="FV362" s="88">
        <v>0</v>
      </c>
      <c r="FW362" s="32">
        <v>42</v>
      </c>
      <c r="FX362" s="32">
        <v>0</v>
      </c>
      <c r="FY362" s="32">
        <v>0</v>
      </c>
      <c r="FZ362" s="32">
        <v>584</v>
      </c>
    </row>
    <row r="363" spans="1:182" s="22" customFormat="1" x14ac:dyDescent="0.2">
      <c r="A363" s="41">
        <v>42614</v>
      </c>
      <c r="B363" s="100">
        <f t="shared" si="26"/>
        <v>78344365.789999992</v>
      </c>
      <c r="C363" s="83">
        <v>149153.72</v>
      </c>
      <c r="D363" s="83">
        <v>275898.72000000009</v>
      </c>
      <c r="E363" s="43">
        <f t="shared" si="20"/>
        <v>425052.44000000006</v>
      </c>
      <c r="F363" s="32">
        <v>5223280.9800000014</v>
      </c>
      <c r="G363" s="86">
        <v>1570550.1700000002</v>
      </c>
      <c r="H363" s="32">
        <f t="shared" si="19"/>
        <v>6793831.1500000013</v>
      </c>
      <c r="I363" s="42" t="s">
        <v>75</v>
      </c>
      <c r="J363" s="42" t="s">
        <v>75</v>
      </c>
      <c r="K363" s="32">
        <v>21459247.59</v>
      </c>
      <c r="L363" s="42" t="s">
        <v>75</v>
      </c>
      <c r="M363" s="42" t="s">
        <v>75</v>
      </c>
      <c r="N363" s="42">
        <v>25313628.299999993</v>
      </c>
      <c r="O363" s="42" t="s">
        <v>75</v>
      </c>
      <c r="P363" s="42" t="s">
        <v>75</v>
      </c>
      <c r="Q363" s="82">
        <v>23868965.289999999</v>
      </c>
      <c r="R363" s="42" t="s">
        <v>75</v>
      </c>
      <c r="S363" s="42" t="s">
        <v>75</v>
      </c>
      <c r="T363" s="83">
        <v>174983.34999999998</v>
      </c>
      <c r="U363" s="83">
        <v>2515.59</v>
      </c>
      <c r="V363" s="83">
        <v>2996.41</v>
      </c>
      <c r="W363" s="42">
        <f t="shared" si="21"/>
        <v>5512</v>
      </c>
      <c r="X363" s="83">
        <v>40069.269999999997</v>
      </c>
      <c r="Y363" s="83">
        <v>927.59999999999991</v>
      </c>
      <c r="Z363" s="32">
        <f t="shared" si="22"/>
        <v>40996.869999999995</v>
      </c>
      <c r="AA363" s="83">
        <v>104240.46999999999</v>
      </c>
      <c r="AB363" s="83">
        <v>29589.339999999997</v>
      </c>
      <c r="AC363" s="32">
        <f t="shared" si="23"/>
        <v>133829.81</v>
      </c>
      <c r="AD363" s="83">
        <v>11464.890000000001</v>
      </c>
      <c r="AE363" s="83">
        <v>11282.900000000001</v>
      </c>
      <c r="AF363" s="32">
        <f t="shared" si="24"/>
        <v>22747.79</v>
      </c>
      <c r="AG363" s="83">
        <v>18657.16</v>
      </c>
      <c r="AH363" s="83">
        <v>43086.29</v>
      </c>
      <c r="AI363" s="32">
        <f t="shared" si="25"/>
        <v>61743.45</v>
      </c>
      <c r="AJ363" s="42" t="s">
        <v>75</v>
      </c>
      <c r="AK363" s="42" t="s">
        <v>75</v>
      </c>
      <c r="AL363" s="42">
        <v>43827.75</v>
      </c>
      <c r="AM363" s="42"/>
      <c r="AN363" s="42"/>
      <c r="AO363" s="42"/>
      <c r="AP363" s="42"/>
      <c r="AQ363" s="42"/>
      <c r="AR363" s="42"/>
      <c r="AS363" s="42" t="s">
        <v>75</v>
      </c>
      <c r="AT363" s="42" t="s">
        <v>75</v>
      </c>
      <c r="AU363" s="87">
        <v>1552161.8</v>
      </c>
      <c r="AV363" s="42" t="s">
        <v>75</v>
      </c>
      <c r="AW363" s="42" t="s">
        <v>75</v>
      </c>
      <c r="AX363" s="32">
        <v>37890.1</v>
      </c>
      <c r="AY363" s="32">
        <v>7894779.2000000002</v>
      </c>
      <c r="AZ363" s="32">
        <v>1922500</v>
      </c>
      <c r="BA363" s="43">
        <f t="shared" si="16"/>
        <v>9817279.1999999993</v>
      </c>
      <c r="BB363" s="42" t="s">
        <v>75</v>
      </c>
      <c r="BC363" s="42" t="s">
        <v>75</v>
      </c>
      <c r="BD363" s="42">
        <v>1425693.4888888889</v>
      </c>
      <c r="BE363" s="88">
        <v>0</v>
      </c>
      <c r="BF363" s="116">
        <v>0</v>
      </c>
      <c r="BG363" s="32">
        <v>65</v>
      </c>
      <c r="BH363" s="32">
        <v>0</v>
      </c>
      <c r="BI363" s="32">
        <v>0</v>
      </c>
      <c r="BJ363" s="32">
        <v>0</v>
      </c>
      <c r="BK363" s="88">
        <v>0</v>
      </c>
      <c r="BL363" s="88">
        <v>0</v>
      </c>
      <c r="BM363" s="32">
        <v>147</v>
      </c>
      <c r="BN363" s="32">
        <v>0</v>
      </c>
      <c r="BO363" s="32">
        <v>0</v>
      </c>
      <c r="BP363" s="32">
        <v>0</v>
      </c>
      <c r="BQ363" s="88">
        <v>0</v>
      </c>
      <c r="BR363" s="88">
        <v>0</v>
      </c>
      <c r="BS363" s="32">
        <v>49</v>
      </c>
      <c r="BT363" s="32">
        <v>0</v>
      </c>
      <c r="BU363" s="32">
        <v>0</v>
      </c>
      <c r="BV363" s="32">
        <v>0</v>
      </c>
      <c r="BW363" s="32"/>
      <c r="BX363" s="32"/>
      <c r="BY363" s="32"/>
      <c r="BZ363" s="88">
        <v>0</v>
      </c>
      <c r="CA363" s="88">
        <v>0</v>
      </c>
      <c r="CB363" s="88">
        <v>214</v>
      </c>
      <c r="CC363" s="88"/>
      <c r="CD363" s="88"/>
      <c r="CE363" s="88"/>
      <c r="CF363" s="88">
        <v>0</v>
      </c>
      <c r="CG363" s="88">
        <v>0</v>
      </c>
      <c r="CH363" s="88">
        <v>0</v>
      </c>
      <c r="CI363" s="88">
        <v>0</v>
      </c>
      <c r="CJ363" s="88">
        <v>0</v>
      </c>
      <c r="CK363" s="32">
        <v>7</v>
      </c>
      <c r="CL363" s="32">
        <v>0</v>
      </c>
      <c r="CM363" s="32">
        <v>0</v>
      </c>
      <c r="CN363" s="32">
        <v>0</v>
      </c>
      <c r="CO363" s="88">
        <v>0</v>
      </c>
      <c r="CP363" s="88">
        <v>0</v>
      </c>
      <c r="CQ363" s="86">
        <v>10</v>
      </c>
      <c r="CR363" s="86">
        <v>0</v>
      </c>
      <c r="CS363" s="86">
        <v>0</v>
      </c>
      <c r="CT363" s="86">
        <v>0</v>
      </c>
      <c r="CU363" s="88">
        <v>0</v>
      </c>
      <c r="CV363" s="88">
        <v>0</v>
      </c>
      <c r="CW363" s="32">
        <v>335</v>
      </c>
      <c r="CX363" s="32">
        <v>0</v>
      </c>
      <c r="CY363" s="32">
        <v>0</v>
      </c>
      <c r="CZ363" s="32">
        <v>0</v>
      </c>
      <c r="DA363" s="88">
        <v>0</v>
      </c>
      <c r="DB363" s="88">
        <v>0</v>
      </c>
      <c r="DC363" s="32">
        <v>0</v>
      </c>
      <c r="DD363" s="32">
        <v>0</v>
      </c>
      <c r="DE363" s="32">
        <v>0</v>
      </c>
      <c r="DF363" s="32">
        <v>0</v>
      </c>
      <c r="DG363" s="88">
        <v>0</v>
      </c>
      <c r="DH363" s="88">
        <v>0</v>
      </c>
      <c r="DI363" s="32">
        <v>2</v>
      </c>
      <c r="DJ363" s="32">
        <v>0</v>
      </c>
      <c r="DK363" s="32">
        <v>0</v>
      </c>
      <c r="DL363" s="32">
        <v>0</v>
      </c>
      <c r="DM363" s="88">
        <v>0</v>
      </c>
      <c r="DN363" s="88">
        <v>0</v>
      </c>
      <c r="DO363" s="88">
        <v>0</v>
      </c>
      <c r="DP363" s="88">
        <v>0</v>
      </c>
      <c r="DQ363" s="88">
        <v>0</v>
      </c>
      <c r="DR363" s="113">
        <v>0</v>
      </c>
      <c r="DS363" s="87">
        <v>0</v>
      </c>
      <c r="DT363" s="87">
        <v>0</v>
      </c>
      <c r="DU363" s="87">
        <v>93</v>
      </c>
      <c r="DV363" s="87">
        <v>0</v>
      </c>
      <c r="DW363" s="87">
        <v>0</v>
      </c>
      <c r="DX363" s="87">
        <v>0</v>
      </c>
      <c r="DY363" s="88">
        <v>0</v>
      </c>
      <c r="DZ363" s="88">
        <v>0</v>
      </c>
      <c r="EA363" s="87">
        <v>799</v>
      </c>
      <c r="EB363" s="87">
        <v>0</v>
      </c>
      <c r="EC363" s="87">
        <v>0</v>
      </c>
      <c r="ED363" s="87">
        <v>0</v>
      </c>
      <c r="EE363" s="88">
        <v>0</v>
      </c>
      <c r="EF363" s="88">
        <v>0</v>
      </c>
      <c r="EG363" s="87">
        <v>830</v>
      </c>
      <c r="EH363" s="87">
        <v>0</v>
      </c>
      <c r="EI363" s="87">
        <v>0</v>
      </c>
      <c r="EJ363" s="87">
        <v>0</v>
      </c>
      <c r="EK363" s="88">
        <v>0</v>
      </c>
      <c r="EL363" s="88">
        <v>0</v>
      </c>
      <c r="EM363" s="87">
        <v>1173</v>
      </c>
      <c r="EN363" s="87">
        <v>0</v>
      </c>
      <c r="EO363" s="87">
        <v>0</v>
      </c>
      <c r="EP363" s="87">
        <v>0</v>
      </c>
      <c r="EQ363" s="88">
        <v>0</v>
      </c>
      <c r="ER363" s="88">
        <v>0</v>
      </c>
      <c r="ES363" s="87">
        <v>48</v>
      </c>
      <c r="ET363" s="87">
        <v>0</v>
      </c>
      <c r="EU363" s="87">
        <v>0</v>
      </c>
      <c r="EV363" s="87">
        <v>0</v>
      </c>
      <c r="EW363" s="88">
        <v>0</v>
      </c>
      <c r="EX363" s="88">
        <v>0</v>
      </c>
      <c r="EY363" s="87">
        <v>7</v>
      </c>
      <c r="EZ363" s="87">
        <v>0</v>
      </c>
      <c r="FA363" s="87">
        <v>0</v>
      </c>
      <c r="FB363" s="87">
        <v>0</v>
      </c>
      <c r="FC363" s="87">
        <v>0</v>
      </c>
      <c r="FD363" s="87">
        <v>0</v>
      </c>
      <c r="FE363" s="87">
        <v>2</v>
      </c>
      <c r="FF363" s="87">
        <v>0</v>
      </c>
      <c r="FG363" s="87">
        <v>0</v>
      </c>
      <c r="FH363" s="87">
        <v>0</v>
      </c>
      <c r="FI363" s="88">
        <v>0</v>
      </c>
      <c r="FJ363" s="88">
        <v>0</v>
      </c>
      <c r="FK363" s="32">
        <v>34</v>
      </c>
      <c r="FL363" s="88">
        <v>0</v>
      </c>
      <c r="FM363" s="88">
        <v>0</v>
      </c>
      <c r="FN363" s="32">
        <v>2571</v>
      </c>
      <c r="FO363" s="88">
        <v>0</v>
      </c>
      <c r="FP363" s="88">
        <v>0</v>
      </c>
      <c r="FQ363" s="32">
        <v>231</v>
      </c>
      <c r="FR363" s="88">
        <v>0</v>
      </c>
      <c r="FS363" s="88">
        <v>0</v>
      </c>
      <c r="FT363" s="88">
        <v>0</v>
      </c>
      <c r="FU363" s="88">
        <v>0</v>
      </c>
      <c r="FV363" s="88">
        <v>0</v>
      </c>
      <c r="FW363" s="32">
        <v>74</v>
      </c>
      <c r="FX363" s="32">
        <v>0</v>
      </c>
      <c r="FY363" s="32">
        <v>0</v>
      </c>
      <c r="FZ363" s="32">
        <v>108</v>
      </c>
    </row>
    <row r="364" spans="1:182" s="22" customFormat="1" x14ac:dyDescent="0.2">
      <c r="A364" s="41">
        <v>42644</v>
      </c>
      <c r="B364" s="100">
        <f t="shared" si="26"/>
        <v>82374291.999999985</v>
      </c>
      <c r="C364" s="42">
        <v>156812.19</v>
      </c>
      <c r="D364" s="42">
        <v>313692.01</v>
      </c>
      <c r="E364" s="43">
        <f t="shared" si="20"/>
        <v>470504.2</v>
      </c>
      <c r="F364" s="32">
        <v>6489055.2700000005</v>
      </c>
      <c r="G364" s="86">
        <v>2073595.29</v>
      </c>
      <c r="H364" s="32">
        <f t="shared" si="19"/>
        <v>8562650.5600000005</v>
      </c>
      <c r="I364" s="42" t="s">
        <v>75</v>
      </c>
      <c r="J364" s="42" t="s">
        <v>75</v>
      </c>
      <c r="K364" s="32">
        <v>18220040.179999992</v>
      </c>
      <c r="L364" s="42" t="s">
        <v>75</v>
      </c>
      <c r="M364" s="42" t="s">
        <v>75</v>
      </c>
      <c r="N364" s="42">
        <v>24708647.549999997</v>
      </c>
      <c r="O364" s="42" t="s">
        <v>75</v>
      </c>
      <c r="P364" s="42" t="s">
        <v>75</v>
      </c>
      <c r="Q364" s="82">
        <v>29911479.439999998</v>
      </c>
      <c r="R364" s="42" t="s">
        <v>75</v>
      </c>
      <c r="S364" s="42" t="s">
        <v>75</v>
      </c>
      <c r="T364" s="42">
        <v>158697.66</v>
      </c>
      <c r="U364" s="83">
        <v>4461.91</v>
      </c>
      <c r="V364" s="83">
        <v>5012.38</v>
      </c>
      <c r="W364" s="42">
        <f t="shared" si="21"/>
        <v>9474.2900000000009</v>
      </c>
      <c r="X364" s="83">
        <v>67669.649999999994</v>
      </c>
      <c r="Y364" s="83">
        <v>6215.05</v>
      </c>
      <c r="Z364" s="32">
        <f t="shared" si="22"/>
        <v>73884.7</v>
      </c>
      <c r="AA364" s="83">
        <v>77574.430000000008</v>
      </c>
      <c r="AB364" s="83">
        <v>19651.659999999996</v>
      </c>
      <c r="AC364" s="32">
        <f t="shared" si="23"/>
        <v>97226.09</v>
      </c>
      <c r="AD364" s="83">
        <v>8219.0099999999984</v>
      </c>
      <c r="AE364" s="83">
        <v>16889.259999999998</v>
      </c>
      <c r="AF364" s="32">
        <f t="shared" si="24"/>
        <v>25108.269999999997</v>
      </c>
      <c r="AG364" s="83">
        <v>19151.91</v>
      </c>
      <c r="AH364" s="83">
        <v>67127.199999999983</v>
      </c>
      <c r="AI364" s="32">
        <f t="shared" si="25"/>
        <v>86279.109999999986</v>
      </c>
      <c r="AJ364" s="42" t="s">
        <v>75</v>
      </c>
      <c r="AK364" s="42" t="s">
        <v>75</v>
      </c>
      <c r="AL364" s="42">
        <v>50299.95</v>
      </c>
      <c r="AM364" s="42"/>
      <c r="AN364" s="42"/>
      <c r="AO364" s="42"/>
      <c r="AP364" s="42"/>
      <c r="AQ364" s="42"/>
      <c r="AR364" s="42"/>
      <c r="AS364" s="42" t="s">
        <v>75</v>
      </c>
      <c r="AT364" s="42" t="s">
        <v>75</v>
      </c>
      <c r="AU364" s="87">
        <v>1728652.88</v>
      </c>
      <c r="AV364" s="42" t="s">
        <v>75</v>
      </c>
      <c r="AW364" s="42" t="s">
        <v>75</v>
      </c>
      <c r="AX364" s="32">
        <v>57822.21</v>
      </c>
      <c r="AY364" s="32">
        <v>8082533.4000000004</v>
      </c>
      <c r="AZ364" s="32">
        <v>524480</v>
      </c>
      <c r="BA364" s="43">
        <f t="shared" si="16"/>
        <v>8607013.4000000004</v>
      </c>
      <c r="BB364" s="42" t="s">
        <v>75</v>
      </c>
      <c r="BC364" s="42" t="s">
        <v>75</v>
      </c>
      <c r="BD364" s="42">
        <v>1569092.6666666665</v>
      </c>
      <c r="BE364" s="88">
        <v>0</v>
      </c>
      <c r="BF364" s="88">
        <v>0</v>
      </c>
      <c r="BG364" s="32">
        <v>73</v>
      </c>
      <c r="BH364" s="32">
        <v>0</v>
      </c>
      <c r="BI364" s="32">
        <v>0</v>
      </c>
      <c r="BJ364" s="32">
        <v>0</v>
      </c>
      <c r="BK364" s="88">
        <v>0</v>
      </c>
      <c r="BL364" s="88">
        <v>0</v>
      </c>
      <c r="BM364" s="32">
        <v>114</v>
      </c>
      <c r="BN364" s="32">
        <v>0</v>
      </c>
      <c r="BO364" s="32">
        <v>0</v>
      </c>
      <c r="BP364" s="32">
        <v>0</v>
      </c>
      <c r="BQ364" s="88">
        <v>0</v>
      </c>
      <c r="BR364" s="88">
        <v>0</v>
      </c>
      <c r="BS364" s="32">
        <v>50</v>
      </c>
      <c r="BT364" s="32">
        <v>0</v>
      </c>
      <c r="BU364" s="32">
        <v>0</v>
      </c>
      <c r="BV364" s="32">
        <v>1</v>
      </c>
      <c r="BW364" s="32"/>
      <c r="BX364" s="32"/>
      <c r="BY364" s="32"/>
      <c r="BZ364" s="88">
        <v>0</v>
      </c>
      <c r="CA364" s="88">
        <v>0</v>
      </c>
      <c r="CB364" s="88">
        <v>194</v>
      </c>
      <c r="CC364" s="88"/>
      <c r="CD364" s="88"/>
      <c r="CE364" s="88"/>
      <c r="CF364" s="88">
        <v>0</v>
      </c>
      <c r="CG364" s="88">
        <v>0</v>
      </c>
      <c r="CH364" s="32">
        <v>1</v>
      </c>
      <c r="CI364" s="88">
        <v>0</v>
      </c>
      <c r="CJ364" s="88">
        <v>0</v>
      </c>
      <c r="CK364" s="32">
        <v>19</v>
      </c>
      <c r="CL364" s="32">
        <v>0</v>
      </c>
      <c r="CM364" s="32">
        <v>0</v>
      </c>
      <c r="CN364" s="32">
        <v>0</v>
      </c>
      <c r="CO364" s="88">
        <v>0</v>
      </c>
      <c r="CP364" s="88">
        <v>0</v>
      </c>
      <c r="CQ364" s="86">
        <v>3</v>
      </c>
      <c r="CR364" s="86">
        <v>0</v>
      </c>
      <c r="CS364" s="86">
        <v>0</v>
      </c>
      <c r="CT364" s="86">
        <v>0</v>
      </c>
      <c r="CU364" s="88">
        <v>0</v>
      </c>
      <c r="CV364" s="88">
        <v>0</v>
      </c>
      <c r="CW364" s="32">
        <v>328</v>
      </c>
      <c r="CX364" s="32">
        <v>0</v>
      </c>
      <c r="CY364" s="32">
        <v>0</v>
      </c>
      <c r="CZ364" s="32">
        <v>0</v>
      </c>
      <c r="DA364" s="88">
        <v>0</v>
      </c>
      <c r="DB364" s="88">
        <v>0</v>
      </c>
      <c r="DC364" s="32">
        <v>0</v>
      </c>
      <c r="DD364" s="32">
        <v>0</v>
      </c>
      <c r="DE364" s="32">
        <v>0</v>
      </c>
      <c r="DF364" s="32">
        <v>0</v>
      </c>
      <c r="DG364" s="88">
        <v>0</v>
      </c>
      <c r="DH364" s="88">
        <v>0</v>
      </c>
      <c r="DI364" s="32">
        <v>5</v>
      </c>
      <c r="DJ364" s="32">
        <v>0</v>
      </c>
      <c r="DK364" s="32">
        <v>0</v>
      </c>
      <c r="DL364" s="32">
        <v>0</v>
      </c>
      <c r="DM364" s="88">
        <v>0</v>
      </c>
      <c r="DN364" s="88">
        <v>0</v>
      </c>
      <c r="DO364" s="88">
        <v>0</v>
      </c>
      <c r="DP364" s="88">
        <v>0</v>
      </c>
      <c r="DQ364" s="88">
        <v>0</v>
      </c>
      <c r="DR364" s="113">
        <v>0</v>
      </c>
      <c r="DS364" s="87">
        <v>0</v>
      </c>
      <c r="DT364" s="87">
        <v>0</v>
      </c>
      <c r="DU364" s="87">
        <v>82</v>
      </c>
      <c r="DV364" s="87">
        <v>0</v>
      </c>
      <c r="DW364" s="87">
        <v>0</v>
      </c>
      <c r="DX364" s="87">
        <v>0</v>
      </c>
      <c r="DY364" s="88">
        <v>0</v>
      </c>
      <c r="DZ364" s="88">
        <v>0</v>
      </c>
      <c r="EA364" s="87">
        <v>1055</v>
      </c>
      <c r="EB364" s="87">
        <v>0</v>
      </c>
      <c r="EC364" s="87">
        <v>0</v>
      </c>
      <c r="ED364" s="87">
        <v>0</v>
      </c>
      <c r="EE364" s="88">
        <v>0</v>
      </c>
      <c r="EF364" s="88">
        <v>0</v>
      </c>
      <c r="EG364" s="87">
        <v>895</v>
      </c>
      <c r="EH364" s="87">
        <v>0</v>
      </c>
      <c r="EI364" s="87">
        <v>0</v>
      </c>
      <c r="EJ364" s="87">
        <v>0</v>
      </c>
      <c r="EK364" s="88">
        <v>0</v>
      </c>
      <c r="EL364" s="88">
        <v>0</v>
      </c>
      <c r="EM364" s="87">
        <v>800</v>
      </c>
      <c r="EN364" s="87">
        <v>0</v>
      </c>
      <c r="EO364" s="87">
        <v>0</v>
      </c>
      <c r="EP364" s="87">
        <v>4</v>
      </c>
      <c r="EQ364" s="88">
        <v>0</v>
      </c>
      <c r="ER364" s="88">
        <v>0</v>
      </c>
      <c r="ES364" s="87">
        <v>30</v>
      </c>
      <c r="ET364" s="87">
        <v>0</v>
      </c>
      <c r="EU364" s="87">
        <v>0</v>
      </c>
      <c r="EV364" s="87">
        <v>0</v>
      </c>
      <c r="EW364" s="88">
        <v>0</v>
      </c>
      <c r="EX364" s="88">
        <v>0</v>
      </c>
      <c r="EY364" s="87">
        <v>9</v>
      </c>
      <c r="EZ364" s="87">
        <v>0</v>
      </c>
      <c r="FA364" s="87">
        <v>0</v>
      </c>
      <c r="FB364" s="87">
        <v>0</v>
      </c>
      <c r="FC364" s="87">
        <v>0</v>
      </c>
      <c r="FD364" s="87">
        <v>0</v>
      </c>
      <c r="FE364" s="87">
        <v>4</v>
      </c>
      <c r="FF364" s="87">
        <v>0</v>
      </c>
      <c r="FG364" s="87">
        <v>0</v>
      </c>
      <c r="FH364" s="87">
        <v>0</v>
      </c>
      <c r="FI364" s="88">
        <v>0</v>
      </c>
      <c r="FJ364" s="88">
        <v>0</v>
      </c>
      <c r="FK364" s="32">
        <v>41</v>
      </c>
      <c r="FL364" s="88">
        <v>0</v>
      </c>
      <c r="FM364" s="88">
        <v>0</v>
      </c>
      <c r="FN364" s="32">
        <v>2818</v>
      </c>
      <c r="FO364" s="88">
        <v>0</v>
      </c>
      <c r="FP364" s="88">
        <v>0</v>
      </c>
      <c r="FQ364" s="32">
        <v>270</v>
      </c>
      <c r="FR364" s="88">
        <v>0</v>
      </c>
      <c r="FS364" s="88">
        <v>0</v>
      </c>
      <c r="FT364" s="88">
        <v>0</v>
      </c>
      <c r="FU364" s="88">
        <v>0</v>
      </c>
      <c r="FV364" s="88">
        <v>0</v>
      </c>
      <c r="FW364" s="32">
        <v>99</v>
      </c>
      <c r="FX364" s="32">
        <v>0</v>
      </c>
      <c r="FY364" s="32">
        <v>0</v>
      </c>
      <c r="FZ364" s="32">
        <v>194</v>
      </c>
    </row>
    <row r="365" spans="1:182" s="22" customFormat="1" x14ac:dyDescent="0.2">
      <c r="A365" s="41">
        <v>42675</v>
      </c>
      <c r="B365" s="100">
        <f t="shared" si="26"/>
        <v>93293920.420000002</v>
      </c>
      <c r="C365" s="42">
        <v>235909.25999999998</v>
      </c>
      <c r="D365" s="42">
        <v>539325.27</v>
      </c>
      <c r="E365" s="43">
        <f t="shared" si="20"/>
        <v>775234.53</v>
      </c>
      <c r="F365" s="32">
        <v>11757249.069999998</v>
      </c>
      <c r="G365" s="86">
        <v>3073393.5100000016</v>
      </c>
      <c r="H365" s="32">
        <f t="shared" si="19"/>
        <v>14830642.58</v>
      </c>
      <c r="I365" s="42" t="s">
        <v>75</v>
      </c>
      <c r="J365" s="42" t="s">
        <v>75</v>
      </c>
      <c r="K365" s="32">
        <v>20504734.43</v>
      </c>
      <c r="L365" s="42" t="s">
        <v>75</v>
      </c>
      <c r="M365" s="42" t="s">
        <v>75</v>
      </c>
      <c r="N365" s="42">
        <v>30673120.129999995</v>
      </c>
      <c r="O365" s="42" t="s">
        <v>75</v>
      </c>
      <c r="P365" s="42" t="s">
        <v>75</v>
      </c>
      <c r="Q365" s="82">
        <v>25836873.649999999</v>
      </c>
      <c r="R365" s="42" t="s">
        <v>75</v>
      </c>
      <c r="S365" s="42" t="s">
        <v>75</v>
      </c>
      <c r="T365" s="42">
        <v>149346.19</v>
      </c>
      <c r="U365" s="83">
        <v>20165.010000000002</v>
      </c>
      <c r="V365" s="83">
        <v>16416.72</v>
      </c>
      <c r="W365" s="42">
        <f t="shared" si="21"/>
        <v>36581.730000000003</v>
      </c>
      <c r="X365" s="83">
        <v>133251.21</v>
      </c>
      <c r="Y365" s="83">
        <v>4992.05</v>
      </c>
      <c r="Z365" s="32">
        <f t="shared" si="22"/>
        <v>138243.25999999998</v>
      </c>
      <c r="AA365" s="83">
        <v>59712.139999999992</v>
      </c>
      <c r="AB365" s="83">
        <v>34205.870000000003</v>
      </c>
      <c r="AC365" s="32">
        <f t="shared" si="23"/>
        <v>93918.01</v>
      </c>
      <c r="AD365" s="83">
        <v>19311.150000000001</v>
      </c>
      <c r="AE365" s="83">
        <v>55822.340000000004</v>
      </c>
      <c r="AF365" s="32">
        <f t="shared" si="24"/>
        <v>75133.490000000005</v>
      </c>
      <c r="AG365" s="83">
        <v>23109.899999999994</v>
      </c>
      <c r="AH365" s="83">
        <v>86407.219999999972</v>
      </c>
      <c r="AI365" s="32">
        <f t="shared" si="25"/>
        <v>109517.11999999997</v>
      </c>
      <c r="AJ365" s="42" t="s">
        <v>75</v>
      </c>
      <c r="AK365" s="42" t="s">
        <v>75</v>
      </c>
      <c r="AL365" s="42">
        <v>70575.3</v>
      </c>
      <c r="AM365" s="42"/>
      <c r="AN365" s="42"/>
      <c r="AO365" s="42"/>
      <c r="AP365" s="42"/>
      <c r="AQ365" s="42"/>
      <c r="AR365" s="42"/>
      <c r="AS365" s="42" t="s">
        <v>75</v>
      </c>
      <c r="AT365" s="42" t="s">
        <v>75</v>
      </c>
      <c r="AU365" s="87">
        <v>1538817.6800000002</v>
      </c>
      <c r="AV365" s="42" t="s">
        <v>75</v>
      </c>
      <c r="AW365" s="42" t="s">
        <v>75</v>
      </c>
      <c r="AX365" s="32">
        <v>45605.020000000004</v>
      </c>
      <c r="AY365" s="32">
        <v>8499367</v>
      </c>
      <c r="AZ365" s="32">
        <v>507930</v>
      </c>
      <c r="BA365" s="43">
        <f t="shared" si="16"/>
        <v>9007297</v>
      </c>
      <c r="BB365" s="42" t="s">
        <v>75</v>
      </c>
      <c r="BC365" s="42" t="s">
        <v>75</v>
      </c>
      <c r="BD365" s="42">
        <v>1567942.9777777779</v>
      </c>
      <c r="BE365" s="88">
        <v>0</v>
      </c>
      <c r="BF365" s="88">
        <v>0</v>
      </c>
      <c r="BG365" s="32">
        <v>96</v>
      </c>
      <c r="BH365" s="32">
        <v>0</v>
      </c>
      <c r="BI365" s="32">
        <v>0</v>
      </c>
      <c r="BJ365" s="32">
        <v>0</v>
      </c>
      <c r="BK365" s="88">
        <v>0</v>
      </c>
      <c r="BL365" s="88">
        <v>0</v>
      </c>
      <c r="BM365" s="32">
        <v>64</v>
      </c>
      <c r="BN365" s="32">
        <v>0</v>
      </c>
      <c r="BO365" s="32">
        <v>0</v>
      </c>
      <c r="BP365" s="32">
        <v>0</v>
      </c>
      <c r="BQ365" s="88">
        <v>0</v>
      </c>
      <c r="BR365" s="88">
        <v>0</v>
      </c>
      <c r="BS365" s="32">
        <v>234</v>
      </c>
      <c r="BT365" s="32">
        <v>0</v>
      </c>
      <c r="BU365" s="32">
        <v>0</v>
      </c>
      <c r="BV365" s="32">
        <v>2</v>
      </c>
      <c r="BW365" s="32"/>
      <c r="BX365" s="32"/>
      <c r="BY365" s="32"/>
      <c r="BZ365" s="88">
        <v>0</v>
      </c>
      <c r="CA365" s="88">
        <v>0</v>
      </c>
      <c r="CB365" s="88">
        <v>252</v>
      </c>
      <c r="CC365" s="88"/>
      <c r="CD365" s="88"/>
      <c r="CE365" s="88"/>
      <c r="CF365" s="88">
        <v>0</v>
      </c>
      <c r="CG365" s="88">
        <v>0</v>
      </c>
      <c r="CH365" s="32">
        <v>3</v>
      </c>
      <c r="CI365" s="88">
        <v>0</v>
      </c>
      <c r="CJ365" s="88">
        <v>0</v>
      </c>
      <c r="CK365" s="32">
        <v>15</v>
      </c>
      <c r="CL365" s="32">
        <v>0</v>
      </c>
      <c r="CM365" s="32">
        <v>0</v>
      </c>
      <c r="CN365" s="32">
        <v>0</v>
      </c>
      <c r="CO365" s="88">
        <v>0</v>
      </c>
      <c r="CP365" s="88">
        <v>0</v>
      </c>
      <c r="CQ365" s="86">
        <v>34</v>
      </c>
      <c r="CR365" s="86">
        <v>0</v>
      </c>
      <c r="CS365" s="86">
        <v>0</v>
      </c>
      <c r="CT365" s="86">
        <v>0</v>
      </c>
      <c r="CU365" s="88">
        <v>0</v>
      </c>
      <c r="CV365" s="88">
        <v>0</v>
      </c>
      <c r="CW365" s="32">
        <v>407</v>
      </c>
      <c r="CX365" s="32">
        <v>0</v>
      </c>
      <c r="CY365" s="32">
        <v>0</v>
      </c>
      <c r="CZ365" s="32">
        <v>0</v>
      </c>
      <c r="DA365" s="88">
        <v>0</v>
      </c>
      <c r="DB365" s="88">
        <v>0</v>
      </c>
      <c r="DC365" s="32">
        <v>0</v>
      </c>
      <c r="DD365" s="32">
        <v>0</v>
      </c>
      <c r="DE365" s="32">
        <v>0</v>
      </c>
      <c r="DF365" s="32">
        <v>0</v>
      </c>
      <c r="DG365" s="88">
        <v>0</v>
      </c>
      <c r="DH365" s="88">
        <v>0</v>
      </c>
      <c r="DI365" s="32">
        <v>3</v>
      </c>
      <c r="DJ365" s="32">
        <v>0</v>
      </c>
      <c r="DK365" s="32">
        <v>0</v>
      </c>
      <c r="DL365" s="32">
        <v>0</v>
      </c>
      <c r="DM365" s="88">
        <v>0</v>
      </c>
      <c r="DN365" s="88">
        <v>0</v>
      </c>
      <c r="DO365" s="88">
        <v>0</v>
      </c>
      <c r="DP365" s="88">
        <v>0</v>
      </c>
      <c r="DQ365" s="88">
        <v>0</v>
      </c>
      <c r="DR365" s="113">
        <v>0</v>
      </c>
      <c r="DS365" s="87">
        <v>0</v>
      </c>
      <c r="DT365" s="87">
        <v>0</v>
      </c>
      <c r="DU365" s="87">
        <v>771</v>
      </c>
      <c r="DV365" s="87">
        <v>0</v>
      </c>
      <c r="DW365" s="87">
        <v>0</v>
      </c>
      <c r="DX365" s="87">
        <v>0</v>
      </c>
      <c r="DY365" s="88">
        <v>0</v>
      </c>
      <c r="DZ365" s="88">
        <v>0</v>
      </c>
      <c r="EA365" s="87">
        <v>1073</v>
      </c>
      <c r="EB365" s="87">
        <v>0</v>
      </c>
      <c r="EC365" s="87">
        <v>0</v>
      </c>
      <c r="ED365" s="87">
        <v>0</v>
      </c>
      <c r="EE365" s="88">
        <v>0</v>
      </c>
      <c r="EF365" s="88">
        <v>0</v>
      </c>
      <c r="EG365" s="87">
        <v>1083</v>
      </c>
      <c r="EH365" s="87">
        <v>0</v>
      </c>
      <c r="EI365" s="87">
        <v>0</v>
      </c>
      <c r="EJ365" s="87">
        <v>0</v>
      </c>
      <c r="EK365" s="88">
        <v>0</v>
      </c>
      <c r="EL365" s="88">
        <v>0</v>
      </c>
      <c r="EM365" s="87">
        <v>1415</v>
      </c>
      <c r="EN365" s="87">
        <v>0</v>
      </c>
      <c r="EO365" s="87">
        <v>0</v>
      </c>
      <c r="EP365" s="87">
        <v>0</v>
      </c>
      <c r="EQ365" s="88">
        <v>0</v>
      </c>
      <c r="ER365" s="88">
        <v>0</v>
      </c>
      <c r="ES365" s="87">
        <v>32</v>
      </c>
      <c r="ET365" s="87">
        <v>0</v>
      </c>
      <c r="EU365" s="87">
        <v>0</v>
      </c>
      <c r="EV365" s="87">
        <v>0</v>
      </c>
      <c r="EW365" s="88">
        <v>0</v>
      </c>
      <c r="EX365" s="88">
        <v>0</v>
      </c>
      <c r="EY365" s="87">
        <v>6</v>
      </c>
      <c r="EZ365" s="87">
        <v>0</v>
      </c>
      <c r="FA365" s="87">
        <v>0</v>
      </c>
      <c r="FB365" s="87">
        <v>0</v>
      </c>
      <c r="FC365" s="87">
        <v>0</v>
      </c>
      <c r="FD365" s="87">
        <v>0</v>
      </c>
      <c r="FE365" s="87">
        <v>3</v>
      </c>
      <c r="FF365" s="87">
        <v>0</v>
      </c>
      <c r="FG365" s="87">
        <v>0</v>
      </c>
      <c r="FH365" s="87">
        <v>0</v>
      </c>
      <c r="FI365" s="88">
        <v>0</v>
      </c>
      <c r="FJ365" s="88">
        <v>0</v>
      </c>
      <c r="FK365" s="32">
        <v>132</v>
      </c>
      <c r="FL365" s="88">
        <v>0</v>
      </c>
      <c r="FM365" s="88">
        <v>0</v>
      </c>
      <c r="FN365" s="32">
        <v>2981</v>
      </c>
      <c r="FO365" s="88">
        <v>0</v>
      </c>
      <c r="FP365" s="88">
        <v>0</v>
      </c>
      <c r="FQ365" s="32">
        <v>365</v>
      </c>
      <c r="FR365" s="88">
        <v>0</v>
      </c>
      <c r="FS365" s="88">
        <v>0</v>
      </c>
      <c r="FT365" s="88">
        <v>0</v>
      </c>
      <c r="FU365" s="88">
        <v>0</v>
      </c>
      <c r="FV365" s="88">
        <v>0</v>
      </c>
      <c r="FW365" s="32">
        <v>157</v>
      </c>
      <c r="FX365" s="32">
        <v>0</v>
      </c>
      <c r="FY365" s="32">
        <v>0</v>
      </c>
      <c r="FZ365" s="32">
        <v>423</v>
      </c>
    </row>
    <row r="366" spans="1:182" s="22" customFormat="1" x14ac:dyDescent="0.2">
      <c r="A366" s="41">
        <v>42705</v>
      </c>
      <c r="B366" s="100">
        <f t="shared" si="26"/>
        <v>116793968.22999999</v>
      </c>
      <c r="C366" s="42">
        <v>179255.07</v>
      </c>
      <c r="D366" s="42">
        <v>516454.35000000015</v>
      </c>
      <c r="E366" s="43">
        <f t="shared" si="20"/>
        <v>695709.42000000016</v>
      </c>
      <c r="F366" s="32">
        <v>12366170.75</v>
      </c>
      <c r="G366" s="86">
        <v>4518242.7499999991</v>
      </c>
      <c r="H366" s="32">
        <f t="shared" si="19"/>
        <v>16884413.5</v>
      </c>
      <c r="I366" s="42" t="s">
        <v>75</v>
      </c>
      <c r="J366" s="42" t="s">
        <v>75</v>
      </c>
      <c r="K366" s="32">
        <v>24187559.899999999</v>
      </c>
      <c r="L366" s="42" t="s">
        <v>75</v>
      </c>
      <c r="M366" s="42" t="s">
        <v>75</v>
      </c>
      <c r="N366" s="42">
        <v>39383386.680000007</v>
      </c>
      <c r="O366" s="42" t="s">
        <v>75</v>
      </c>
      <c r="P366" s="42" t="s">
        <v>75</v>
      </c>
      <c r="Q366" s="82">
        <v>34808118.939999998</v>
      </c>
      <c r="R366" s="42" t="s">
        <v>75</v>
      </c>
      <c r="S366" s="42" t="s">
        <v>75</v>
      </c>
      <c r="T366" s="42">
        <v>172058.06</v>
      </c>
      <c r="U366" s="83">
        <v>30012.71</v>
      </c>
      <c r="V366" s="83">
        <v>27404.199999999997</v>
      </c>
      <c r="W366" s="42">
        <f t="shared" si="21"/>
        <v>57416.909999999996</v>
      </c>
      <c r="X366" s="83">
        <v>104345.31</v>
      </c>
      <c r="Y366" s="83">
        <v>6169.4</v>
      </c>
      <c r="Z366" s="32">
        <f t="shared" si="22"/>
        <v>110514.70999999999</v>
      </c>
      <c r="AA366" s="83">
        <v>62853.54</v>
      </c>
      <c r="AB366" s="83">
        <v>55504.100000000006</v>
      </c>
      <c r="AC366" s="32">
        <f t="shared" si="23"/>
        <v>118357.64000000001</v>
      </c>
      <c r="AD366" s="83">
        <v>13986.98</v>
      </c>
      <c r="AE366" s="83">
        <v>88705.010000000009</v>
      </c>
      <c r="AF366" s="32">
        <f t="shared" si="24"/>
        <v>102691.99</v>
      </c>
      <c r="AG366" s="83">
        <v>30161.219999999998</v>
      </c>
      <c r="AH366" s="83">
        <v>154049.96000000002</v>
      </c>
      <c r="AI366" s="32">
        <f t="shared" si="25"/>
        <v>184211.18000000002</v>
      </c>
      <c r="AJ366" s="42" t="s">
        <v>75</v>
      </c>
      <c r="AK366" s="42" t="s">
        <v>75</v>
      </c>
      <c r="AL366" s="42">
        <v>89529.299999999988</v>
      </c>
      <c r="AM366" s="42"/>
      <c r="AN366" s="42"/>
      <c r="AO366" s="42"/>
      <c r="AP366" s="42"/>
      <c r="AQ366" s="42"/>
      <c r="AR366" s="42"/>
      <c r="AS366" s="42" t="s">
        <v>75</v>
      </c>
      <c r="AT366" s="42" t="s">
        <v>75</v>
      </c>
      <c r="AU366" s="87">
        <v>1578227.61</v>
      </c>
      <c r="AV366" s="42" t="s">
        <v>75</v>
      </c>
      <c r="AW366" s="42" t="s">
        <v>75</v>
      </c>
      <c r="AX366" s="32">
        <v>37704.850000000006</v>
      </c>
      <c r="AY366" s="32">
        <v>11207609.4</v>
      </c>
      <c r="AZ366" s="32">
        <v>3086662.55</v>
      </c>
      <c r="BA366" s="43">
        <f t="shared" si="16"/>
        <v>14294271.949999999</v>
      </c>
      <c r="BB366" s="42" t="s">
        <v>75</v>
      </c>
      <c r="BC366" s="42" t="s">
        <v>75</v>
      </c>
      <c r="BD366" s="42">
        <v>1834785.4444444445</v>
      </c>
      <c r="BE366" s="88">
        <v>0</v>
      </c>
      <c r="BF366" s="88">
        <v>0</v>
      </c>
      <c r="BG366" s="32">
        <v>73</v>
      </c>
      <c r="BH366" s="32">
        <v>0</v>
      </c>
      <c r="BI366" s="32">
        <v>0</v>
      </c>
      <c r="BJ366" s="32">
        <v>0</v>
      </c>
      <c r="BK366" s="88">
        <v>0</v>
      </c>
      <c r="BL366" s="88">
        <v>0</v>
      </c>
      <c r="BM366" s="32">
        <v>177</v>
      </c>
      <c r="BN366" s="32">
        <v>0</v>
      </c>
      <c r="BO366" s="32">
        <v>0</v>
      </c>
      <c r="BP366" s="32">
        <v>0</v>
      </c>
      <c r="BQ366" s="88">
        <v>0</v>
      </c>
      <c r="BR366" s="88">
        <v>0</v>
      </c>
      <c r="BS366" s="32">
        <v>207</v>
      </c>
      <c r="BT366" s="32">
        <v>0</v>
      </c>
      <c r="BU366" s="32">
        <v>0</v>
      </c>
      <c r="BV366" s="32">
        <v>1</v>
      </c>
      <c r="BW366" s="32"/>
      <c r="BX366" s="32"/>
      <c r="BY366" s="32"/>
      <c r="BZ366" s="88">
        <v>0</v>
      </c>
      <c r="CA366" s="88">
        <v>0</v>
      </c>
      <c r="CB366" s="88">
        <v>306</v>
      </c>
      <c r="CC366" s="88"/>
      <c r="CD366" s="88"/>
      <c r="CE366" s="88"/>
      <c r="CF366" s="88">
        <v>0</v>
      </c>
      <c r="CG366" s="88">
        <v>0</v>
      </c>
      <c r="CH366" s="32">
        <v>3</v>
      </c>
      <c r="CI366" s="88">
        <v>0</v>
      </c>
      <c r="CJ366" s="88">
        <v>0</v>
      </c>
      <c r="CK366" s="32">
        <v>22</v>
      </c>
      <c r="CL366" s="32">
        <v>0</v>
      </c>
      <c r="CM366" s="32">
        <v>0</v>
      </c>
      <c r="CN366" s="32">
        <v>0</v>
      </c>
      <c r="CO366" s="88">
        <v>0</v>
      </c>
      <c r="CP366" s="88">
        <v>0</v>
      </c>
      <c r="CQ366" s="86">
        <v>7</v>
      </c>
      <c r="CR366" s="86">
        <v>0</v>
      </c>
      <c r="CS366" s="86">
        <v>0</v>
      </c>
      <c r="CT366" s="86">
        <v>0</v>
      </c>
      <c r="CU366" s="88">
        <v>0</v>
      </c>
      <c r="CV366" s="88">
        <v>0</v>
      </c>
      <c r="CW366" s="32">
        <v>402</v>
      </c>
      <c r="CX366" s="32">
        <v>0</v>
      </c>
      <c r="CY366" s="32">
        <v>0</v>
      </c>
      <c r="CZ366" s="32">
        <v>0</v>
      </c>
      <c r="DA366" s="88">
        <v>0</v>
      </c>
      <c r="DB366" s="88">
        <v>0</v>
      </c>
      <c r="DC366" s="32">
        <v>3</v>
      </c>
      <c r="DD366" s="32">
        <v>0</v>
      </c>
      <c r="DE366" s="32">
        <v>0</v>
      </c>
      <c r="DF366" s="32">
        <v>0</v>
      </c>
      <c r="DG366" s="88">
        <v>0</v>
      </c>
      <c r="DH366" s="88">
        <v>0</v>
      </c>
      <c r="DI366" s="32">
        <v>7</v>
      </c>
      <c r="DJ366" s="32">
        <v>0</v>
      </c>
      <c r="DK366" s="32">
        <v>0</v>
      </c>
      <c r="DL366" s="32">
        <v>0</v>
      </c>
      <c r="DM366" s="88">
        <v>0</v>
      </c>
      <c r="DN366" s="88">
        <v>0</v>
      </c>
      <c r="DO366" s="88">
        <v>0</v>
      </c>
      <c r="DP366" s="88">
        <v>0</v>
      </c>
      <c r="DQ366" s="88">
        <v>0</v>
      </c>
      <c r="DR366" s="113">
        <v>0</v>
      </c>
      <c r="DS366" s="87">
        <v>0</v>
      </c>
      <c r="DT366" s="87">
        <v>0</v>
      </c>
      <c r="DU366" s="87">
        <v>1180</v>
      </c>
      <c r="DV366" s="87">
        <v>0</v>
      </c>
      <c r="DW366" s="87">
        <v>0</v>
      </c>
      <c r="DX366" s="87">
        <v>0</v>
      </c>
      <c r="DY366" s="88">
        <v>0</v>
      </c>
      <c r="DZ366" s="88">
        <v>0</v>
      </c>
      <c r="EA366" s="87">
        <v>1881</v>
      </c>
      <c r="EB366" s="87">
        <v>0</v>
      </c>
      <c r="EC366" s="87">
        <v>0</v>
      </c>
      <c r="ED366" s="87">
        <v>0</v>
      </c>
      <c r="EE366" s="88">
        <v>0</v>
      </c>
      <c r="EF366" s="88">
        <v>0</v>
      </c>
      <c r="EG366" s="87">
        <v>1431</v>
      </c>
      <c r="EH366" s="87">
        <v>0</v>
      </c>
      <c r="EI366" s="87">
        <v>0</v>
      </c>
      <c r="EJ366" s="87">
        <v>0</v>
      </c>
      <c r="EK366" s="88">
        <v>0</v>
      </c>
      <c r="EL366" s="88">
        <v>0</v>
      </c>
      <c r="EM366" s="87">
        <v>1441</v>
      </c>
      <c r="EN366" s="87">
        <v>0</v>
      </c>
      <c r="EO366" s="87">
        <v>0</v>
      </c>
      <c r="EP366" s="87">
        <v>0</v>
      </c>
      <c r="EQ366" s="88">
        <v>0</v>
      </c>
      <c r="ER366" s="88">
        <v>0</v>
      </c>
      <c r="ES366" s="87">
        <v>66</v>
      </c>
      <c r="ET366" s="87">
        <v>0</v>
      </c>
      <c r="EU366" s="87">
        <v>0</v>
      </c>
      <c r="EV366" s="87">
        <v>0</v>
      </c>
      <c r="EW366" s="88">
        <v>0</v>
      </c>
      <c r="EX366" s="88">
        <v>0</v>
      </c>
      <c r="EY366" s="87">
        <v>9</v>
      </c>
      <c r="EZ366" s="87">
        <v>0</v>
      </c>
      <c r="FA366" s="87">
        <v>0</v>
      </c>
      <c r="FB366" s="87">
        <v>0</v>
      </c>
      <c r="FC366" s="87">
        <v>0</v>
      </c>
      <c r="FD366" s="87">
        <v>0</v>
      </c>
      <c r="FE366" s="87">
        <v>9</v>
      </c>
      <c r="FF366" s="87">
        <v>0</v>
      </c>
      <c r="FG366" s="87">
        <v>0</v>
      </c>
      <c r="FH366" s="87">
        <v>0</v>
      </c>
      <c r="FI366" s="88">
        <v>0</v>
      </c>
      <c r="FJ366" s="88">
        <v>0</v>
      </c>
      <c r="FK366" s="32">
        <v>108</v>
      </c>
      <c r="FL366" s="88">
        <v>0</v>
      </c>
      <c r="FM366" s="88">
        <v>0</v>
      </c>
      <c r="FN366" s="32">
        <v>5002</v>
      </c>
      <c r="FO366" s="88">
        <v>0</v>
      </c>
      <c r="FP366" s="88">
        <v>0</v>
      </c>
      <c r="FQ366" s="32">
        <v>630</v>
      </c>
      <c r="FR366" s="88">
        <v>0</v>
      </c>
      <c r="FS366" s="88">
        <v>0</v>
      </c>
      <c r="FT366" s="88">
        <v>0</v>
      </c>
      <c r="FU366" s="88">
        <v>0</v>
      </c>
      <c r="FV366" s="88">
        <v>0</v>
      </c>
      <c r="FW366" s="32">
        <v>147</v>
      </c>
      <c r="FX366" s="32">
        <v>0</v>
      </c>
      <c r="FY366" s="32">
        <v>0</v>
      </c>
      <c r="FZ366" s="32">
        <v>1075</v>
      </c>
    </row>
    <row r="367" spans="1:182" s="22" customFormat="1" x14ac:dyDescent="0.2">
      <c r="A367" s="41">
        <v>42736</v>
      </c>
      <c r="B367" s="100">
        <f t="shared" si="26"/>
        <v>95516811.61999999</v>
      </c>
      <c r="C367" s="42">
        <v>83241.83</v>
      </c>
      <c r="D367" s="42">
        <v>127313.93999999997</v>
      </c>
      <c r="E367" s="43">
        <f t="shared" si="20"/>
        <v>210555.76999999996</v>
      </c>
      <c r="F367" s="32">
        <v>6298064.0700000012</v>
      </c>
      <c r="G367" s="86">
        <v>2803805.1599999988</v>
      </c>
      <c r="H367" s="32">
        <f t="shared" si="19"/>
        <v>9101869.2300000004</v>
      </c>
      <c r="I367" s="42" t="s">
        <v>75</v>
      </c>
      <c r="J367" s="42" t="s">
        <v>75</v>
      </c>
      <c r="K367" s="32">
        <v>23582328.84</v>
      </c>
      <c r="L367" s="42" t="s">
        <v>75</v>
      </c>
      <c r="M367" s="42" t="s">
        <v>75</v>
      </c>
      <c r="N367" s="82">
        <v>24124284.969999999</v>
      </c>
      <c r="O367" s="42" t="s">
        <v>75</v>
      </c>
      <c r="P367" s="42" t="s">
        <v>75</v>
      </c>
      <c r="Q367" s="82">
        <v>37976528.289999999</v>
      </c>
      <c r="R367" s="42" t="s">
        <v>75</v>
      </c>
      <c r="S367" s="42" t="s">
        <v>75</v>
      </c>
      <c r="T367" s="42">
        <v>145008.66</v>
      </c>
      <c r="U367" s="83">
        <v>3383.2700000000004</v>
      </c>
      <c r="V367" s="83">
        <v>7285.5599999999995</v>
      </c>
      <c r="W367" s="42">
        <f t="shared" si="21"/>
        <v>10668.83</v>
      </c>
      <c r="X367" s="83">
        <v>21173.919999999998</v>
      </c>
      <c r="Y367" s="83">
        <v>2865.3</v>
      </c>
      <c r="Z367" s="32">
        <f t="shared" si="22"/>
        <v>24039.219999999998</v>
      </c>
      <c r="AA367" s="83">
        <v>100947.03</v>
      </c>
      <c r="AB367" s="83">
        <v>32444.48</v>
      </c>
      <c r="AC367" s="32">
        <f t="shared" si="23"/>
        <v>133391.51</v>
      </c>
      <c r="AD367" s="83">
        <v>3530.34</v>
      </c>
      <c r="AE367" s="83">
        <v>17240.879999999997</v>
      </c>
      <c r="AF367" s="32">
        <f t="shared" si="24"/>
        <v>20771.219999999998</v>
      </c>
      <c r="AG367" s="83">
        <v>24905.870000000003</v>
      </c>
      <c r="AH367" s="83">
        <v>75044.00999999998</v>
      </c>
      <c r="AI367" s="32">
        <f t="shared" si="25"/>
        <v>99949.879999999976</v>
      </c>
      <c r="AJ367" s="42" t="s">
        <v>75</v>
      </c>
      <c r="AK367" s="42" t="s">
        <v>75</v>
      </c>
      <c r="AL367" s="42">
        <v>87415.200000000012</v>
      </c>
      <c r="AM367" s="42"/>
      <c r="AN367" s="42"/>
      <c r="AO367" s="42"/>
      <c r="AP367" s="42"/>
      <c r="AQ367" s="42"/>
      <c r="AR367" s="42"/>
      <c r="AS367" s="42" t="s">
        <v>75</v>
      </c>
      <c r="AT367" s="42" t="s">
        <v>75</v>
      </c>
      <c r="AU367" s="87">
        <v>1564297.1099999999</v>
      </c>
      <c r="AV367" s="42" t="s">
        <v>75</v>
      </c>
      <c r="AW367" s="42" t="s">
        <v>75</v>
      </c>
      <c r="AX367" s="32">
        <v>34257.03</v>
      </c>
      <c r="AY367" s="32">
        <v>7288343.4000000004</v>
      </c>
      <c r="AZ367" s="32">
        <v>579870</v>
      </c>
      <c r="BA367" s="43">
        <f t="shared" si="16"/>
        <v>7868213.4000000004</v>
      </c>
      <c r="BB367" s="42" t="s">
        <v>75</v>
      </c>
      <c r="BC367" s="42" t="s">
        <v>75</v>
      </c>
      <c r="BD367" s="42">
        <v>1290681.7555555557</v>
      </c>
      <c r="BE367" s="88">
        <v>0</v>
      </c>
      <c r="BF367" s="88">
        <v>0</v>
      </c>
      <c r="BG367" s="32">
        <v>45</v>
      </c>
      <c r="BH367" s="32">
        <v>0</v>
      </c>
      <c r="BI367" s="32">
        <v>0</v>
      </c>
      <c r="BJ367" s="32">
        <v>0</v>
      </c>
      <c r="BK367" s="88">
        <v>0</v>
      </c>
      <c r="BL367" s="88">
        <v>0</v>
      </c>
      <c r="BM367" s="32">
        <v>352</v>
      </c>
      <c r="BN367" s="32">
        <v>0</v>
      </c>
      <c r="BO367" s="32">
        <v>0</v>
      </c>
      <c r="BP367" s="32">
        <v>0</v>
      </c>
      <c r="BQ367" s="88">
        <v>0</v>
      </c>
      <c r="BR367" s="88">
        <v>0</v>
      </c>
      <c r="BS367" s="32">
        <v>127</v>
      </c>
      <c r="BT367" s="32">
        <v>0</v>
      </c>
      <c r="BU367" s="32">
        <v>0</v>
      </c>
      <c r="BV367" s="32">
        <v>1</v>
      </c>
      <c r="BW367" s="32"/>
      <c r="BX367" s="32"/>
      <c r="BY367" s="32"/>
      <c r="BZ367" s="88">
        <v>0</v>
      </c>
      <c r="CA367" s="88">
        <v>0</v>
      </c>
      <c r="CB367" s="88">
        <v>182</v>
      </c>
      <c r="CC367" s="88"/>
      <c r="CD367" s="88"/>
      <c r="CE367" s="88"/>
      <c r="CF367" s="88">
        <v>0</v>
      </c>
      <c r="CG367" s="88">
        <v>0</v>
      </c>
      <c r="CH367" s="32">
        <v>1</v>
      </c>
      <c r="CI367" s="88">
        <v>0</v>
      </c>
      <c r="CJ367" s="88">
        <v>0</v>
      </c>
      <c r="CK367" s="32">
        <v>18</v>
      </c>
      <c r="CL367" s="32">
        <v>0</v>
      </c>
      <c r="CM367" s="32">
        <v>0</v>
      </c>
      <c r="CN367" s="32">
        <v>0</v>
      </c>
      <c r="CO367" s="88">
        <v>0</v>
      </c>
      <c r="CP367" s="88">
        <v>0</v>
      </c>
      <c r="CQ367" s="86">
        <v>3</v>
      </c>
      <c r="CR367" s="86">
        <v>0</v>
      </c>
      <c r="CS367" s="86">
        <v>0</v>
      </c>
      <c r="CT367" s="86">
        <v>0</v>
      </c>
      <c r="CU367" s="88">
        <v>0</v>
      </c>
      <c r="CV367" s="88">
        <v>0</v>
      </c>
      <c r="CW367" s="32">
        <v>216</v>
      </c>
      <c r="CX367" s="32">
        <v>0</v>
      </c>
      <c r="CY367" s="32">
        <v>0</v>
      </c>
      <c r="CZ367" s="32">
        <v>0</v>
      </c>
      <c r="DA367" s="88">
        <v>0</v>
      </c>
      <c r="DB367" s="88">
        <v>0</v>
      </c>
      <c r="DC367" s="32">
        <v>0</v>
      </c>
      <c r="DD367" s="32">
        <v>0</v>
      </c>
      <c r="DE367" s="32">
        <v>0</v>
      </c>
      <c r="DF367" s="32">
        <v>0</v>
      </c>
      <c r="DG367" s="88">
        <v>0</v>
      </c>
      <c r="DH367" s="88">
        <v>0</v>
      </c>
      <c r="DI367" s="32">
        <v>1</v>
      </c>
      <c r="DJ367" s="32">
        <v>0</v>
      </c>
      <c r="DK367" s="32">
        <v>0</v>
      </c>
      <c r="DL367" s="32">
        <v>0</v>
      </c>
      <c r="DM367" s="88">
        <v>0</v>
      </c>
      <c r="DN367" s="88">
        <v>0</v>
      </c>
      <c r="DO367" s="88">
        <v>0</v>
      </c>
      <c r="DP367" s="88">
        <v>0</v>
      </c>
      <c r="DQ367" s="88">
        <v>0</v>
      </c>
      <c r="DR367" s="113">
        <v>0</v>
      </c>
      <c r="DS367" s="87">
        <v>0</v>
      </c>
      <c r="DT367" s="87">
        <v>0</v>
      </c>
      <c r="DU367" s="87">
        <v>52</v>
      </c>
      <c r="DV367" s="87">
        <v>0</v>
      </c>
      <c r="DW367" s="87">
        <v>0</v>
      </c>
      <c r="DX367" s="87">
        <v>0</v>
      </c>
      <c r="DY367" s="88">
        <v>0</v>
      </c>
      <c r="DZ367" s="88">
        <v>0</v>
      </c>
      <c r="EA367" s="87">
        <v>1038</v>
      </c>
      <c r="EB367" s="87">
        <v>0</v>
      </c>
      <c r="EC367" s="87">
        <v>0</v>
      </c>
      <c r="ED367" s="87">
        <v>0</v>
      </c>
      <c r="EE367" s="88">
        <v>0</v>
      </c>
      <c r="EF367" s="88">
        <v>0</v>
      </c>
      <c r="EG367" s="87">
        <v>783</v>
      </c>
      <c r="EH367" s="87">
        <v>0</v>
      </c>
      <c r="EI367" s="87">
        <v>0</v>
      </c>
      <c r="EJ367" s="87">
        <v>0</v>
      </c>
      <c r="EK367" s="88">
        <v>0</v>
      </c>
      <c r="EL367" s="88">
        <v>0</v>
      </c>
      <c r="EM367" s="87">
        <v>1083</v>
      </c>
      <c r="EN367" s="87">
        <v>0</v>
      </c>
      <c r="EO367" s="87">
        <v>0</v>
      </c>
      <c r="EP367" s="87">
        <v>1</v>
      </c>
      <c r="EQ367" s="88">
        <v>0</v>
      </c>
      <c r="ER367" s="88">
        <v>0</v>
      </c>
      <c r="ES367" s="87">
        <v>24</v>
      </c>
      <c r="ET367" s="87">
        <v>0</v>
      </c>
      <c r="EU367" s="87">
        <v>0</v>
      </c>
      <c r="EV367" s="87">
        <v>0</v>
      </c>
      <c r="EW367" s="88">
        <v>0</v>
      </c>
      <c r="EX367" s="88">
        <v>0</v>
      </c>
      <c r="EY367" s="87">
        <v>3</v>
      </c>
      <c r="EZ367" s="87">
        <v>0</v>
      </c>
      <c r="FA367" s="87">
        <v>0</v>
      </c>
      <c r="FB367" s="87">
        <v>0</v>
      </c>
      <c r="FC367" s="87">
        <v>0</v>
      </c>
      <c r="FD367" s="87">
        <v>0</v>
      </c>
      <c r="FE367" s="87">
        <v>2</v>
      </c>
      <c r="FF367" s="87">
        <v>0</v>
      </c>
      <c r="FG367" s="87">
        <v>0</v>
      </c>
      <c r="FH367" s="87">
        <v>0</v>
      </c>
      <c r="FI367" s="88">
        <v>0</v>
      </c>
      <c r="FJ367" s="88">
        <v>0</v>
      </c>
      <c r="FK367" s="32">
        <v>76</v>
      </c>
      <c r="FL367" s="88">
        <v>0</v>
      </c>
      <c r="FM367" s="88">
        <v>0</v>
      </c>
      <c r="FN367" s="32">
        <v>4192</v>
      </c>
      <c r="FO367" s="88">
        <v>0</v>
      </c>
      <c r="FP367" s="88">
        <v>0</v>
      </c>
      <c r="FQ367" s="32">
        <v>367</v>
      </c>
      <c r="FR367" s="88">
        <v>0</v>
      </c>
      <c r="FS367" s="88">
        <v>0</v>
      </c>
      <c r="FT367" s="88">
        <v>0</v>
      </c>
      <c r="FU367" s="88">
        <v>0</v>
      </c>
      <c r="FV367" s="88">
        <v>0</v>
      </c>
      <c r="FW367" s="32">
        <v>116</v>
      </c>
      <c r="FX367" s="32">
        <v>0</v>
      </c>
      <c r="FY367" s="32">
        <v>0</v>
      </c>
      <c r="FZ367" s="32">
        <v>853</v>
      </c>
    </row>
    <row r="368" spans="1:182" s="22" customFormat="1" x14ac:dyDescent="0.2">
      <c r="A368" s="41">
        <v>42767</v>
      </c>
      <c r="B368" s="100">
        <f t="shared" si="26"/>
        <v>88100893.010000005</v>
      </c>
      <c r="C368" s="42">
        <v>105942.84</v>
      </c>
      <c r="D368" s="42">
        <v>207079.63999999996</v>
      </c>
      <c r="E368" s="43">
        <f t="shared" si="20"/>
        <v>313022.48</v>
      </c>
      <c r="F368" s="32">
        <v>6739198.5199999996</v>
      </c>
      <c r="G368" s="86">
        <v>2376411.4600000004</v>
      </c>
      <c r="H368" s="32">
        <f t="shared" si="19"/>
        <v>9115609.9800000004</v>
      </c>
      <c r="I368" s="42" t="s">
        <v>75</v>
      </c>
      <c r="J368" s="42" t="s">
        <v>75</v>
      </c>
      <c r="K368" s="32">
        <v>16498141.549999997</v>
      </c>
      <c r="L368" s="42" t="s">
        <v>75</v>
      </c>
      <c r="M368" s="42" t="s">
        <v>75</v>
      </c>
      <c r="N368" s="82">
        <v>26125618.419999994</v>
      </c>
      <c r="O368" s="42" t="s">
        <v>75</v>
      </c>
      <c r="P368" s="42" t="s">
        <v>75</v>
      </c>
      <c r="Q368" s="82">
        <v>35606996.030000001</v>
      </c>
      <c r="R368" s="42" t="s">
        <v>75</v>
      </c>
      <c r="S368" s="42" t="s">
        <v>75</v>
      </c>
      <c r="T368" s="42">
        <v>145726.26</v>
      </c>
      <c r="U368" s="83">
        <v>2342.83</v>
      </c>
      <c r="V368" s="83">
        <v>2017.12</v>
      </c>
      <c r="W368" s="42">
        <f t="shared" si="21"/>
        <v>4359.95</v>
      </c>
      <c r="X368" s="83">
        <v>12136.64</v>
      </c>
      <c r="Y368" s="83">
        <v>3028.2</v>
      </c>
      <c r="Z368" s="32">
        <f t="shared" si="22"/>
        <v>15164.84</v>
      </c>
      <c r="AA368" s="83">
        <v>117885.21999999999</v>
      </c>
      <c r="AB368" s="83">
        <v>24599.8</v>
      </c>
      <c r="AC368" s="32">
        <f t="shared" si="23"/>
        <v>142485.01999999999</v>
      </c>
      <c r="AD368" s="83">
        <v>5275.91</v>
      </c>
      <c r="AE368" s="83">
        <v>11005.63</v>
      </c>
      <c r="AF368" s="32">
        <f t="shared" si="24"/>
        <v>16281.539999999999</v>
      </c>
      <c r="AG368" s="83">
        <v>15247.360000000002</v>
      </c>
      <c r="AH368" s="83">
        <v>41014.280000000006</v>
      </c>
      <c r="AI368" s="32">
        <f t="shared" si="25"/>
        <v>56261.640000000007</v>
      </c>
      <c r="AJ368" s="42" t="s">
        <v>75</v>
      </c>
      <c r="AK368" s="42" t="s">
        <v>75</v>
      </c>
      <c r="AL368" s="42">
        <v>61225.3</v>
      </c>
      <c r="AM368" s="42"/>
      <c r="AN368" s="42"/>
      <c r="AO368" s="42"/>
      <c r="AP368" s="42"/>
      <c r="AQ368" s="42"/>
      <c r="AR368" s="42"/>
      <c r="AS368" s="42" t="s">
        <v>75</v>
      </c>
      <c r="AT368" s="42" t="s">
        <v>75</v>
      </c>
      <c r="AU368" s="87">
        <v>1272956.1400000001</v>
      </c>
      <c r="AV368" s="42" t="s">
        <v>75</v>
      </c>
      <c r="AW368" s="42" t="s">
        <v>75</v>
      </c>
      <c r="AX368" s="32">
        <v>31660.89</v>
      </c>
      <c r="AY368" s="32">
        <v>6931014.2000000002</v>
      </c>
      <c r="AZ368" s="32">
        <v>848580</v>
      </c>
      <c r="BA368" s="43">
        <f t="shared" si="16"/>
        <v>7779594.2000000002</v>
      </c>
      <c r="BB368" s="42" t="s">
        <v>75</v>
      </c>
      <c r="BC368" s="42" t="s">
        <v>75</v>
      </c>
      <c r="BD368" s="42">
        <v>1263610.0666666669</v>
      </c>
      <c r="BE368" s="88">
        <v>0</v>
      </c>
      <c r="BF368" s="88">
        <v>0</v>
      </c>
      <c r="BG368" s="32">
        <v>58</v>
      </c>
      <c r="BH368" s="32">
        <v>0</v>
      </c>
      <c r="BI368" s="32">
        <v>0</v>
      </c>
      <c r="BJ368" s="32">
        <v>0</v>
      </c>
      <c r="BK368" s="88">
        <v>0</v>
      </c>
      <c r="BL368" s="88">
        <v>0</v>
      </c>
      <c r="BM368" s="32">
        <v>247</v>
      </c>
      <c r="BN368" s="32">
        <v>0</v>
      </c>
      <c r="BO368" s="32">
        <v>0</v>
      </c>
      <c r="BP368" s="32">
        <v>0</v>
      </c>
      <c r="BQ368" s="88">
        <v>0</v>
      </c>
      <c r="BR368" s="88">
        <v>0</v>
      </c>
      <c r="BS368" s="32">
        <v>44</v>
      </c>
      <c r="BT368" s="32">
        <v>0</v>
      </c>
      <c r="BU368" s="32">
        <v>0</v>
      </c>
      <c r="BV368" s="32">
        <v>0</v>
      </c>
      <c r="BW368" s="32"/>
      <c r="BX368" s="32"/>
      <c r="BY368" s="32"/>
      <c r="BZ368" s="88">
        <v>0</v>
      </c>
      <c r="CA368" s="88">
        <v>0</v>
      </c>
      <c r="CB368" s="88">
        <v>206</v>
      </c>
      <c r="CC368" s="88"/>
      <c r="CD368" s="88"/>
      <c r="CE368" s="88"/>
      <c r="CF368" s="88">
        <v>0</v>
      </c>
      <c r="CG368" s="88">
        <v>0</v>
      </c>
      <c r="CH368" s="32">
        <v>1</v>
      </c>
      <c r="CI368" s="88">
        <v>0</v>
      </c>
      <c r="CJ368" s="88">
        <v>0</v>
      </c>
      <c r="CK368" s="32">
        <v>13</v>
      </c>
      <c r="CL368" s="32">
        <v>0</v>
      </c>
      <c r="CM368" s="32">
        <v>0</v>
      </c>
      <c r="CN368" s="32">
        <v>0</v>
      </c>
      <c r="CO368" s="88">
        <v>0</v>
      </c>
      <c r="CP368" s="88">
        <v>0</v>
      </c>
      <c r="CQ368" s="86">
        <v>4</v>
      </c>
      <c r="CR368" s="86">
        <v>0</v>
      </c>
      <c r="CS368" s="86">
        <v>0</v>
      </c>
      <c r="CT368" s="86">
        <v>0</v>
      </c>
      <c r="CU368" s="88">
        <v>0</v>
      </c>
      <c r="CV368" s="88">
        <v>0</v>
      </c>
      <c r="CW368" s="32">
        <v>267</v>
      </c>
      <c r="CX368" s="32">
        <v>0</v>
      </c>
      <c r="CY368" s="32">
        <v>0</v>
      </c>
      <c r="CZ368" s="32">
        <v>0</v>
      </c>
      <c r="DA368" s="88">
        <v>0</v>
      </c>
      <c r="DB368" s="88">
        <v>0</v>
      </c>
      <c r="DC368" s="32">
        <v>0</v>
      </c>
      <c r="DD368" s="32">
        <v>0</v>
      </c>
      <c r="DE368" s="32">
        <v>0</v>
      </c>
      <c r="DF368" s="32">
        <v>0</v>
      </c>
      <c r="DG368" s="88">
        <v>0</v>
      </c>
      <c r="DH368" s="88">
        <v>0</v>
      </c>
      <c r="DI368" s="32">
        <v>4</v>
      </c>
      <c r="DJ368" s="32">
        <v>0</v>
      </c>
      <c r="DK368" s="32">
        <v>0</v>
      </c>
      <c r="DL368" s="32">
        <v>0</v>
      </c>
      <c r="DM368" s="88">
        <v>0</v>
      </c>
      <c r="DN368" s="88">
        <v>0</v>
      </c>
      <c r="DO368" s="88">
        <v>0</v>
      </c>
      <c r="DP368" s="88">
        <v>0</v>
      </c>
      <c r="DQ368" s="88">
        <v>0</v>
      </c>
      <c r="DR368" s="113">
        <v>0</v>
      </c>
      <c r="DS368" s="87">
        <v>0</v>
      </c>
      <c r="DT368" s="87">
        <v>0</v>
      </c>
      <c r="DU368" s="87">
        <v>16</v>
      </c>
      <c r="DV368" s="87">
        <v>0</v>
      </c>
      <c r="DW368" s="87">
        <v>0</v>
      </c>
      <c r="DX368" s="87">
        <v>0</v>
      </c>
      <c r="DY368" s="88">
        <v>0</v>
      </c>
      <c r="DZ368" s="88">
        <v>0</v>
      </c>
      <c r="EA368" s="87">
        <v>1372</v>
      </c>
      <c r="EB368" s="87">
        <v>0</v>
      </c>
      <c r="EC368" s="87">
        <v>0</v>
      </c>
      <c r="ED368" s="87">
        <v>0</v>
      </c>
      <c r="EE368" s="88">
        <v>0</v>
      </c>
      <c r="EF368" s="88">
        <v>0</v>
      </c>
      <c r="EG368" s="87">
        <v>570</v>
      </c>
      <c r="EH368" s="87">
        <v>0</v>
      </c>
      <c r="EI368" s="87">
        <v>0</v>
      </c>
      <c r="EJ368" s="87">
        <v>0</v>
      </c>
      <c r="EK368" s="88">
        <v>0</v>
      </c>
      <c r="EL368" s="88">
        <v>0</v>
      </c>
      <c r="EM368" s="87">
        <v>790</v>
      </c>
      <c r="EN368" s="87">
        <v>0</v>
      </c>
      <c r="EO368" s="87">
        <v>0</v>
      </c>
      <c r="EP368" s="87">
        <v>1</v>
      </c>
      <c r="EQ368" s="88">
        <v>0</v>
      </c>
      <c r="ER368" s="88">
        <v>0</v>
      </c>
      <c r="ES368" s="87">
        <v>33</v>
      </c>
      <c r="ET368" s="87">
        <v>0</v>
      </c>
      <c r="EU368" s="87">
        <v>0</v>
      </c>
      <c r="EV368" s="87">
        <v>0</v>
      </c>
      <c r="EW368" s="88">
        <v>0</v>
      </c>
      <c r="EX368" s="88">
        <v>0</v>
      </c>
      <c r="EY368" s="87">
        <v>3</v>
      </c>
      <c r="EZ368" s="87">
        <v>0</v>
      </c>
      <c r="FA368" s="87">
        <v>0</v>
      </c>
      <c r="FB368" s="87">
        <v>0</v>
      </c>
      <c r="FC368" s="87">
        <v>0</v>
      </c>
      <c r="FD368" s="87">
        <v>0</v>
      </c>
      <c r="FE368" s="87">
        <v>4</v>
      </c>
      <c r="FF368" s="87">
        <v>0</v>
      </c>
      <c r="FG368" s="87">
        <v>0</v>
      </c>
      <c r="FH368" s="87">
        <v>0</v>
      </c>
      <c r="FI368" s="88">
        <v>0</v>
      </c>
      <c r="FJ368" s="88">
        <v>0</v>
      </c>
      <c r="FK368" s="32">
        <v>31</v>
      </c>
      <c r="FL368" s="88">
        <v>0</v>
      </c>
      <c r="FM368" s="88">
        <v>0</v>
      </c>
      <c r="FN368" s="32">
        <v>3984</v>
      </c>
      <c r="FO368" s="88">
        <v>0</v>
      </c>
      <c r="FP368" s="88">
        <v>0</v>
      </c>
      <c r="FQ368" s="32">
        <v>319</v>
      </c>
      <c r="FR368" s="88">
        <v>0</v>
      </c>
      <c r="FS368" s="88">
        <v>0</v>
      </c>
      <c r="FT368" s="88">
        <v>0</v>
      </c>
      <c r="FU368" s="88">
        <v>0</v>
      </c>
      <c r="FV368" s="88">
        <v>0</v>
      </c>
      <c r="FW368" s="32">
        <v>126</v>
      </c>
      <c r="FX368" s="32">
        <v>0</v>
      </c>
      <c r="FY368" s="32">
        <v>0</v>
      </c>
      <c r="FZ368" s="32">
        <v>114</v>
      </c>
    </row>
    <row r="369" spans="1:182" s="22" customFormat="1" x14ac:dyDescent="0.2">
      <c r="A369" s="41">
        <v>42795</v>
      </c>
      <c r="B369" s="100">
        <f t="shared" si="26"/>
        <v>88600812.940000013</v>
      </c>
      <c r="C369" s="42">
        <v>139865.23000000001</v>
      </c>
      <c r="D369" s="42">
        <v>297342.15000000008</v>
      </c>
      <c r="E369" s="43">
        <f t="shared" si="20"/>
        <v>437207.38000000012</v>
      </c>
      <c r="F369" s="32">
        <v>6684069.3600000003</v>
      </c>
      <c r="G369" s="86">
        <v>2548712.040000001</v>
      </c>
      <c r="H369" s="32">
        <f t="shared" si="19"/>
        <v>9232781.4000000022</v>
      </c>
      <c r="I369" s="42" t="s">
        <v>75</v>
      </c>
      <c r="J369" s="42" t="s">
        <v>75</v>
      </c>
      <c r="K369" s="32">
        <v>18582968.459999997</v>
      </c>
      <c r="L369" s="42" t="s">
        <v>75</v>
      </c>
      <c r="M369" s="42" t="s">
        <v>75</v>
      </c>
      <c r="N369" s="82">
        <v>27412536.390000001</v>
      </c>
      <c r="O369" s="42" t="s">
        <v>75</v>
      </c>
      <c r="P369" s="42" t="s">
        <v>75</v>
      </c>
      <c r="Q369" s="82">
        <v>32249258.330000002</v>
      </c>
      <c r="R369" s="42" t="s">
        <v>75</v>
      </c>
      <c r="S369" s="42" t="s">
        <v>75</v>
      </c>
      <c r="T369" s="42">
        <v>199201.68</v>
      </c>
      <c r="U369" s="83">
        <v>2196.85</v>
      </c>
      <c r="V369" s="83">
        <v>1544.95</v>
      </c>
      <c r="W369" s="42">
        <f t="shared" si="21"/>
        <v>3741.8</v>
      </c>
      <c r="X369" s="83">
        <v>85985.319999999992</v>
      </c>
      <c r="Y369" s="83">
        <v>1964.8</v>
      </c>
      <c r="Z369" s="32">
        <f t="shared" si="22"/>
        <v>87950.12</v>
      </c>
      <c r="AA369" s="83">
        <v>198499.81000000003</v>
      </c>
      <c r="AB369" s="83">
        <v>30392.66</v>
      </c>
      <c r="AC369" s="32">
        <f t="shared" si="23"/>
        <v>228892.47000000003</v>
      </c>
      <c r="AD369" s="83">
        <v>7816.9699999999993</v>
      </c>
      <c r="AE369" s="83">
        <v>10289.24</v>
      </c>
      <c r="AF369" s="32">
        <f t="shared" si="24"/>
        <v>18106.21</v>
      </c>
      <c r="AG369" s="83">
        <v>25802.83</v>
      </c>
      <c r="AH369" s="83">
        <v>52361.619999999995</v>
      </c>
      <c r="AI369" s="32">
        <f t="shared" si="25"/>
        <v>78164.45</v>
      </c>
      <c r="AJ369" s="42" t="s">
        <v>75</v>
      </c>
      <c r="AK369" s="42" t="s">
        <v>75</v>
      </c>
      <c r="AL369" s="42">
        <v>70004.25</v>
      </c>
      <c r="AM369" s="42"/>
      <c r="AN369" s="42"/>
      <c r="AO369" s="42"/>
      <c r="AP369" s="42"/>
      <c r="AQ369" s="42"/>
      <c r="AR369" s="42"/>
      <c r="AS369" s="42" t="s">
        <v>75</v>
      </c>
      <c r="AT369" s="42" t="s">
        <v>75</v>
      </c>
      <c r="AU369" s="87">
        <v>1624266.26</v>
      </c>
      <c r="AV369" s="42" t="s">
        <v>75</v>
      </c>
      <c r="AW369" s="42" t="s">
        <v>75</v>
      </c>
      <c r="AX369" s="32">
        <v>34558.379999999997</v>
      </c>
      <c r="AY369" s="32">
        <v>8529599.4000000004</v>
      </c>
      <c r="AZ369" s="32">
        <v>994260</v>
      </c>
      <c r="BA369" s="43">
        <f t="shared" si="16"/>
        <v>9523859.4000000004</v>
      </c>
      <c r="BB369" s="42" t="s">
        <v>75</v>
      </c>
      <c r="BC369" s="42" t="s">
        <v>75</v>
      </c>
      <c r="BD369" s="42">
        <v>1780942.4222222222</v>
      </c>
      <c r="BE369" s="88">
        <v>0</v>
      </c>
      <c r="BF369" s="88">
        <v>0</v>
      </c>
      <c r="BG369" s="32">
        <v>98</v>
      </c>
      <c r="BH369" s="32">
        <v>0</v>
      </c>
      <c r="BI369" s="32">
        <v>0</v>
      </c>
      <c r="BJ369" s="32">
        <v>0</v>
      </c>
      <c r="BK369" s="88">
        <v>0</v>
      </c>
      <c r="BL369" s="88">
        <v>0</v>
      </c>
      <c r="BM369" s="32">
        <v>364</v>
      </c>
      <c r="BN369" s="32">
        <v>0</v>
      </c>
      <c r="BO369" s="32">
        <v>0</v>
      </c>
      <c r="BP369" s="32">
        <v>0</v>
      </c>
      <c r="BQ369" s="88">
        <v>0</v>
      </c>
      <c r="BR369" s="88">
        <v>0</v>
      </c>
      <c r="BS369" s="32">
        <v>175</v>
      </c>
      <c r="BT369" s="32">
        <v>0</v>
      </c>
      <c r="BU369" s="32">
        <v>0</v>
      </c>
      <c r="BV369" s="32">
        <v>1</v>
      </c>
      <c r="BW369" s="32"/>
      <c r="BX369" s="32"/>
      <c r="BY369" s="32"/>
      <c r="BZ369" s="88">
        <v>0</v>
      </c>
      <c r="CA369" s="88">
        <v>0</v>
      </c>
      <c r="CB369" s="88">
        <v>251</v>
      </c>
      <c r="CC369" s="88"/>
      <c r="CD369" s="88"/>
      <c r="CE369" s="88"/>
      <c r="CF369" s="88">
        <v>0</v>
      </c>
      <c r="CG369" s="88">
        <v>0</v>
      </c>
      <c r="CH369" s="32">
        <v>1</v>
      </c>
      <c r="CI369" s="88">
        <v>0</v>
      </c>
      <c r="CJ369" s="88">
        <v>0</v>
      </c>
      <c r="CK369" s="32">
        <v>19</v>
      </c>
      <c r="CL369" s="32">
        <v>0</v>
      </c>
      <c r="CM369" s="32">
        <v>0</v>
      </c>
      <c r="CN369" s="32">
        <v>0</v>
      </c>
      <c r="CO369" s="88">
        <v>0</v>
      </c>
      <c r="CP369" s="88">
        <v>0</v>
      </c>
      <c r="CQ369" s="86">
        <v>7</v>
      </c>
      <c r="CR369" s="86">
        <v>0</v>
      </c>
      <c r="CS369" s="86">
        <v>0</v>
      </c>
      <c r="CT369" s="86">
        <v>0</v>
      </c>
      <c r="CU369" s="88">
        <v>0</v>
      </c>
      <c r="CV369" s="88">
        <v>0</v>
      </c>
      <c r="CW369" s="32">
        <v>407</v>
      </c>
      <c r="CX369" s="32">
        <v>0</v>
      </c>
      <c r="CY369" s="32">
        <v>0</v>
      </c>
      <c r="CZ369" s="32">
        <v>0</v>
      </c>
      <c r="DA369" s="88">
        <v>0</v>
      </c>
      <c r="DB369" s="88">
        <v>0</v>
      </c>
      <c r="DC369" s="32">
        <v>0</v>
      </c>
      <c r="DD369" s="32">
        <v>0</v>
      </c>
      <c r="DE369" s="32">
        <v>0</v>
      </c>
      <c r="DF369" s="32">
        <v>0</v>
      </c>
      <c r="DG369" s="88">
        <v>0</v>
      </c>
      <c r="DH369" s="88">
        <v>0</v>
      </c>
      <c r="DI369" s="32">
        <v>1</v>
      </c>
      <c r="DJ369" s="32">
        <v>0</v>
      </c>
      <c r="DK369" s="32">
        <v>0</v>
      </c>
      <c r="DL369" s="32">
        <v>0</v>
      </c>
      <c r="DM369" s="88">
        <v>0</v>
      </c>
      <c r="DN369" s="88">
        <v>0</v>
      </c>
      <c r="DO369" s="88">
        <v>0</v>
      </c>
      <c r="DP369" s="88">
        <v>0</v>
      </c>
      <c r="DQ369" s="88">
        <v>0</v>
      </c>
      <c r="DR369" s="113">
        <v>0</v>
      </c>
      <c r="DS369" s="87">
        <v>0</v>
      </c>
      <c r="DT369" s="87">
        <v>0</v>
      </c>
      <c r="DU369" s="87">
        <v>36</v>
      </c>
      <c r="DV369" s="87">
        <v>0</v>
      </c>
      <c r="DW369" s="87">
        <v>0</v>
      </c>
      <c r="DX369" s="87">
        <v>0</v>
      </c>
      <c r="DY369" s="88">
        <v>0</v>
      </c>
      <c r="DZ369" s="88">
        <v>0</v>
      </c>
      <c r="EA369" s="87">
        <v>970</v>
      </c>
      <c r="EB369" s="87">
        <v>0</v>
      </c>
      <c r="EC369" s="87">
        <v>0</v>
      </c>
      <c r="ED369" s="87">
        <v>0</v>
      </c>
      <c r="EE369" s="88">
        <v>0</v>
      </c>
      <c r="EF369" s="88">
        <v>0</v>
      </c>
      <c r="EG369" s="87">
        <v>1263</v>
      </c>
      <c r="EH369" s="87">
        <v>0</v>
      </c>
      <c r="EI369" s="87">
        <v>0</v>
      </c>
      <c r="EJ369" s="87">
        <v>0</v>
      </c>
      <c r="EK369" s="88">
        <v>0</v>
      </c>
      <c r="EL369" s="88">
        <v>0</v>
      </c>
      <c r="EM369" s="87">
        <v>1301</v>
      </c>
      <c r="EN369" s="87">
        <v>0</v>
      </c>
      <c r="EO369" s="87">
        <v>0</v>
      </c>
      <c r="EP369" s="87">
        <v>0</v>
      </c>
      <c r="EQ369" s="88">
        <v>0</v>
      </c>
      <c r="ER369" s="88">
        <v>0</v>
      </c>
      <c r="ES369" s="87">
        <v>91</v>
      </c>
      <c r="ET369" s="87">
        <v>0</v>
      </c>
      <c r="EU369" s="87">
        <v>0</v>
      </c>
      <c r="EV369" s="87">
        <v>0</v>
      </c>
      <c r="EW369" s="88">
        <v>0</v>
      </c>
      <c r="EX369" s="88">
        <v>0</v>
      </c>
      <c r="EY369" s="87">
        <v>14</v>
      </c>
      <c r="EZ369" s="87">
        <v>0</v>
      </c>
      <c r="FA369" s="87">
        <v>0</v>
      </c>
      <c r="FB369" s="87">
        <v>0</v>
      </c>
      <c r="FC369" s="87">
        <v>0</v>
      </c>
      <c r="FD369" s="87">
        <v>0</v>
      </c>
      <c r="FE369" s="87">
        <v>6</v>
      </c>
      <c r="FF369" s="87">
        <v>0</v>
      </c>
      <c r="FG369" s="87">
        <v>0</v>
      </c>
      <c r="FH369" s="87">
        <v>0</v>
      </c>
      <c r="FI369" s="88">
        <v>0</v>
      </c>
      <c r="FJ369" s="88">
        <v>0</v>
      </c>
      <c r="FK369" s="32">
        <v>99</v>
      </c>
      <c r="FL369" s="88">
        <v>0</v>
      </c>
      <c r="FM369" s="88">
        <v>0</v>
      </c>
      <c r="FN369" s="32">
        <v>4690</v>
      </c>
      <c r="FO369" s="88">
        <v>0</v>
      </c>
      <c r="FP369" s="88">
        <v>0</v>
      </c>
      <c r="FQ369" s="32">
        <v>344</v>
      </c>
      <c r="FR369" s="88">
        <v>0</v>
      </c>
      <c r="FS369" s="88">
        <v>0</v>
      </c>
      <c r="FT369" s="88">
        <v>0</v>
      </c>
      <c r="FU369" s="88">
        <v>0</v>
      </c>
      <c r="FV369" s="88">
        <v>0</v>
      </c>
      <c r="FW369" s="32">
        <v>146</v>
      </c>
      <c r="FX369" s="32">
        <v>0</v>
      </c>
      <c r="FY369" s="32">
        <v>0</v>
      </c>
      <c r="FZ369" s="32">
        <v>116</v>
      </c>
    </row>
    <row r="370" spans="1:182" s="22" customFormat="1" x14ac:dyDescent="0.2">
      <c r="A370" s="41">
        <v>42826</v>
      </c>
      <c r="B370" s="100">
        <f t="shared" si="26"/>
        <v>71546664.679999992</v>
      </c>
      <c r="C370" s="42">
        <v>127473.01</v>
      </c>
      <c r="D370" s="42">
        <v>196613.30000000008</v>
      </c>
      <c r="E370" s="43">
        <f t="shared" si="20"/>
        <v>324086.31000000006</v>
      </c>
      <c r="F370" s="32">
        <v>5004751</v>
      </c>
      <c r="G370" s="86">
        <v>1651136.9699999997</v>
      </c>
      <c r="H370" s="32">
        <f t="shared" si="19"/>
        <v>6655887.9699999997</v>
      </c>
      <c r="I370" s="42" t="s">
        <v>75</v>
      </c>
      <c r="J370" s="42" t="s">
        <v>75</v>
      </c>
      <c r="K370" s="32">
        <v>13770574.959999995</v>
      </c>
      <c r="L370" s="42" t="s">
        <v>75</v>
      </c>
      <c r="M370" s="42" t="s">
        <v>75</v>
      </c>
      <c r="N370" s="82">
        <v>23429869.450000003</v>
      </c>
      <c r="O370" s="42" t="s">
        <v>75</v>
      </c>
      <c r="P370" s="42" t="s">
        <v>75</v>
      </c>
      <c r="Q370" s="82">
        <v>26946633.969999999</v>
      </c>
      <c r="R370" s="42" t="s">
        <v>75</v>
      </c>
      <c r="S370" s="42" t="s">
        <v>75</v>
      </c>
      <c r="T370" s="42">
        <v>146816.96000000002</v>
      </c>
      <c r="U370" s="83">
        <v>1700.35</v>
      </c>
      <c r="V370" s="83">
        <v>2281.6</v>
      </c>
      <c r="W370" s="42">
        <f t="shared" si="21"/>
        <v>3981.95</v>
      </c>
      <c r="X370" s="83">
        <v>15706.34</v>
      </c>
      <c r="Y370" s="83">
        <v>773.75</v>
      </c>
      <c r="Z370" s="32">
        <f t="shared" si="22"/>
        <v>16480.09</v>
      </c>
      <c r="AA370" s="83">
        <v>119032.79999999999</v>
      </c>
      <c r="AB370" s="83">
        <v>21649.73</v>
      </c>
      <c r="AC370" s="32">
        <f t="shared" si="23"/>
        <v>140682.53</v>
      </c>
      <c r="AD370" s="83">
        <v>2035.8400000000001</v>
      </c>
      <c r="AE370" s="83">
        <v>6786.76</v>
      </c>
      <c r="AF370" s="32">
        <f t="shared" si="24"/>
        <v>8822.6</v>
      </c>
      <c r="AG370" s="83">
        <v>11938.24</v>
      </c>
      <c r="AH370" s="83">
        <v>32562.899999999998</v>
      </c>
      <c r="AI370" s="32">
        <f t="shared" si="25"/>
        <v>44501.14</v>
      </c>
      <c r="AJ370" s="42" t="s">
        <v>75</v>
      </c>
      <c r="AK370" s="42" t="s">
        <v>75</v>
      </c>
      <c r="AL370" s="42">
        <v>58326.75</v>
      </c>
      <c r="AM370" s="42"/>
      <c r="AN370" s="42"/>
      <c r="AO370" s="42"/>
      <c r="AP370" s="42"/>
      <c r="AQ370" s="42"/>
      <c r="AR370" s="42"/>
      <c r="AS370" s="42" t="s">
        <v>75</v>
      </c>
      <c r="AT370" s="42" t="s">
        <v>75</v>
      </c>
      <c r="AU370" s="87">
        <v>1303033.06</v>
      </c>
      <c r="AV370" s="42" t="s">
        <v>75</v>
      </c>
      <c r="AW370" s="42" t="s">
        <v>75</v>
      </c>
      <c r="AX370" s="32">
        <v>40234.42</v>
      </c>
      <c r="AY370" s="32">
        <v>7950500.7000000002</v>
      </c>
      <c r="AZ370" s="32">
        <v>995020</v>
      </c>
      <c r="BA370" s="43">
        <f t="shared" si="16"/>
        <v>8945520.6999999993</v>
      </c>
      <c r="BB370" s="42" t="s">
        <v>75</v>
      </c>
      <c r="BC370" s="42" t="s">
        <v>75</v>
      </c>
      <c r="BD370" s="42">
        <v>1538800.111111111</v>
      </c>
      <c r="BE370" s="88">
        <v>0</v>
      </c>
      <c r="BF370" s="88">
        <v>0</v>
      </c>
      <c r="BG370" s="32">
        <v>55</v>
      </c>
      <c r="BH370" s="32">
        <v>0</v>
      </c>
      <c r="BI370" s="32">
        <v>0</v>
      </c>
      <c r="BJ370" s="32">
        <v>0</v>
      </c>
      <c r="BK370" s="88">
        <v>0</v>
      </c>
      <c r="BL370" s="88">
        <v>0</v>
      </c>
      <c r="BM370" s="32">
        <v>351</v>
      </c>
      <c r="BN370" s="32">
        <v>0</v>
      </c>
      <c r="BO370" s="32">
        <v>0</v>
      </c>
      <c r="BP370" s="32">
        <v>0</v>
      </c>
      <c r="BQ370" s="88">
        <v>0</v>
      </c>
      <c r="BR370" s="88">
        <v>0</v>
      </c>
      <c r="BS370" s="32">
        <v>91</v>
      </c>
      <c r="BT370" s="32">
        <v>0</v>
      </c>
      <c r="BU370" s="32">
        <v>0</v>
      </c>
      <c r="BV370" s="32">
        <v>0</v>
      </c>
      <c r="BW370" s="32"/>
      <c r="BX370" s="32"/>
      <c r="BY370" s="32"/>
      <c r="BZ370" s="88">
        <v>0</v>
      </c>
      <c r="CA370" s="88">
        <v>0</v>
      </c>
      <c r="CB370" s="88">
        <v>230</v>
      </c>
      <c r="CC370" s="88"/>
      <c r="CD370" s="88"/>
      <c r="CE370" s="88"/>
      <c r="CF370" s="88">
        <v>0</v>
      </c>
      <c r="CG370" s="88">
        <v>0</v>
      </c>
      <c r="CH370" s="32">
        <v>1</v>
      </c>
      <c r="CI370" s="88">
        <v>0</v>
      </c>
      <c r="CJ370" s="88">
        <v>0</v>
      </c>
      <c r="CK370" s="32">
        <v>24</v>
      </c>
      <c r="CL370" s="32">
        <v>0</v>
      </c>
      <c r="CM370" s="32">
        <v>0</v>
      </c>
      <c r="CN370" s="32">
        <v>0</v>
      </c>
      <c r="CO370" s="88">
        <v>0</v>
      </c>
      <c r="CP370" s="88">
        <v>0</v>
      </c>
      <c r="CQ370" s="86">
        <v>2</v>
      </c>
      <c r="CR370" s="86">
        <v>0</v>
      </c>
      <c r="CS370" s="86">
        <v>0</v>
      </c>
      <c r="CT370" s="86">
        <v>0</v>
      </c>
      <c r="CU370" s="88">
        <v>0</v>
      </c>
      <c r="CV370" s="88">
        <v>0</v>
      </c>
      <c r="CW370" s="32">
        <v>302</v>
      </c>
      <c r="CX370" s="32">
        <v>0</v>
      </c>
      <c r="CY370" s="32">
        <v>0</v>
      </c>
      <c r="CZ370" s="32">
        <v>0</v>
      </c>
      <c r="DA370" s="88">
        <v>0</v>
      </c>
      <c r="DB370" s="88">
        <v>0</v>
      </c>
      <c r="DC370" s="32">
        <v>0</v>
      </c>
      <c r="DD370" s="32">
        <v>0</v>
      </c>
      <c r="DE370" s="32">
        <v>0</v>
      </c>
      <c r="DF370" s="32">
        <v>0</v>
      </c>
      <c r="DG370" s="88">
        <v>0</v>
      </c>
      <c r="DH370" s="88">
        <v>0</v>
      </c>
      <c r="DI370" s="32">
        <v>3</v>
      </c>
      <c r="DJ370" s="32">
        <v>0</v>
      </c>
      <c r="DK370" s="32">
        <v>0</v>
      </c>
      <c r="DL370" s="32">
        <v>0</v>
      </c>
      <c r="DM370" s="88">
        <v>0</v>
      </c>
      <c r="DN370" s="88">
        <v>0</v>
      </c>
      <c r="DO370" s="88">
        <v>0</v>
      </c>
      <c r="DP370" s="88">
        <v>0</v>
      </c>
      <c r="DQ370" s="88">
        <v>0</v>
      </c>
      <c r="DR370" s="113">
        <v>0</v>
      </c>
      <c r="DS370" s="87">
        <v>0</v>
      </c>
      <c r="DT370" s="87">
        <v>0</v>
      </c>
      <c r="DU370" s="87">
        <v>19</v>
      </c>
      <c r="DV370" s="87">
        <v>0</v>
      </c>
      <c r="DW370" s="87">
        <v>0</v>
      </c>
      <c r="DX370" s="87">
        <v>0</v>
      </c>
      <c r="DY370" s="88">
        <v>0</v>
      </c>
      <c r="DZ370" s="88">
        <v>0</v>
      </c>
      <c r="EA370" s="87">
        <v>901</v>
      </c>
      <c r="EB370" s="87">
        <v>0</v>
      </c>
      <c r="EC370" s="87">
        <v>0</v>
      </c>
      <c r="ED370" s="87">
        <v>0</v>
      </c>
      <c r="EE370" s="88">
        <v>0</v>
      </c>
      <c r="EF370" s="88">
        <v>0</v>
      </c>
      <c r="EG370" s="87">
        <v>937</v>
      </c>
      <c r="EH370" s="87">
        <v>0</v>
      </c>
      <c r="EI370" s="87">
        <v>0</v>
      </c>
      <c r="EJ370" s="87">
        <v>0</v>
      </c>
      <c r="EK370" s="88">
        <v>0</v>
      </c>
      <c r="EL370" s="88">
        <v>0</v>
      </c>
      <c r="EM370" s="87">
        <v>1069</v>
      </c>
      <c r="EN370" s="87">
        <v>0</v>
      </c>
      <c r="EO370" s="87">
        <v>0</v>
      </c>
      <c r="EP370" s="87">
        <v>3</v>
      </c>
      <c r="EQ370" s="88">
        <v>0</v>
      </c>
      <c r="ER370" s="88">
        <v>0</v>
      </c>
      <c r="ES370" s="87">
        <v>22</v>
      </c>
      <c r="ET370" s="87">
        <v>0</v>
      </c>
      <c r="EU370" s="87">
        <v>0</v>
      </c>
      <c r="EV370" s="87">
        <v>0</v>
      </c>
      <c r="EW370" s="88">
        <v>0</v>
      </c>
      <c r="EX370" s="88">
        <v>0</v>
      </c>
      <c r="EY370" s="87">
        <v>7</v>
      </c>
      <c r="EZ370" s="87">
        <v>0</v>
      </c>
      <c r="FA370" s="87">
        <v>0</v>
      </c>
      <c r="FB370" s="87">
        <v>0</v>
      </c>
      <c r="FC370" s="87">
        <v>0</v>
      </c>
      <c r="FD370" s="87">
        <v>0</v>
      </c>
      <c r="FE370" s="87">
        <v>5</v>
      </c>
      <c r="FF370" s="87">
        <v>0</v>
      </c>
      <c r="FG370" s="87">
        <v>0</v>
      </c>
      <c r="FH370" s="87">
        <v>0</v>
      </c>
      <c r="FI370" s="88">
        <v>0</v>
      </c>
      <c r="FJ370" s="88">
        <v>0</v>
      </c>
      <c r="FK370" s="32">
        <v>41</v>
      </c>
      <c r="FL370" s="88">
        <v>0</v>
      </c>
      <c r="FM370" s="88">
        <v>0</v>
      </c>
      <c r="FN370" s="32">
        <v>2850</v>
      </c>
      <c r="FO370" s="88">
        <v>0</v>
      </c>
      <c r="FP370" s="88">
        <v>0</v>
      </c>
      <c r="FQ370" s="32">
        <v>227</v>
      </c>
      <c r="FR370" s="88">
        <v>0</v>
      </c>
      <c r="FS370" s="88">
        <v>0</v>
      </c>
      <c r="FT370" s="88">
        <v>0</v>
      </c>
      <c r="FU370" s="88">
        <v>0</v>
      </c>
      <c r="FV370" s="88">
        <v>0</v>
      </c>
      <c r="FW370" s="32">
        <v>70</v>
      </c>
      <c r="FX370" s="32">
        <v>0</v>
      </c>
      <c r="FY370" s="32">
        <v>0</v>
      </c>
      <c r="FZ370" s="32">
        <v>294</v>
      </c>
    </row>
    <row r="371" spans="1:182" s="22" customFormat="1" x14ac:dyDescent="0.2">
      <c r="A371" s="41">
        <v>42856</v>
      </c>
      <c r="B371" s="100">
        <f t="shared" si="26"/>
        <v>71758561.389999986</v>
      </c>
      <c r="C371" s="42">
        <v>152416.08000000002</v>
      </c>
      <c r="D371" s="42">
        <v>240155.57</v>
      </c>
      <c r="E371" s="43">
        <f t="shared" si="20"/>
        <v>392571.65</v>
      </c>
      <c r="F371" s="32">
        <v>4363151.0900000008</v>
      </c>
      <c r="G371" s="86">
        <v>1227213.6599999999</v>
      </c>
      <c r="H371" s="32">
        <f t="shared" si="19"/>
        <v>5590364.7500000009</v>
      </c>
      <c r="I371" s="42" t="s">
        <v>75</v>
      </c>
      <c r="J371" s="42" t="s">
        <v>75</v>
      </c>
      <c r="K371" s="32">
        <v>15578197.079999996</v>
      </c>
      <c r="L371" s="42" t="s">
        <v>75</v>
      </c>
      <c r="M371" s="42" t="s">
        <v>75</v>
      </c>
      <c r="N371" s="82">
        <v>22044234.919999994</v>
      </c>
      <c r="O371" s="42" t="s">
        <v>75</v>
      </c>
      <c r="P371" s="42" t="s">
        <v>75</v>
      </c>
      <c r="Q371" s="82">
        <v>27700952.610000003</v>
      </c>
      <c r="R371" s="42" t="s">
        <v>75</v>
      </c>
      <c r="S371" s="42" t="s">
        <v>75</v>
      </c>
      <c r="T371" s="42">
        <v>165299.09</v>
      </c>
      <c r="U371" s="83">
        <v>3019.69</v>
      </c>
      <c r="V371" s="83">
        <v>1971.52</v>
      </c>
      <c r="W371" s="42">
        <f t="shared" si="21"/>
        <v>4991.21</v>
      </c>
      <c r="X371" s="83">
        <v>30617.66</v>
      </c>
      <c r="Y371" s="83">
        <v>961.95</v>
      </c>
      <c r="Z371" s="32">
        <f t="shared" si="22"/>
        <v>31579.61</v>
      </c>
      <c r="AA371" s="83">
        <v>103532.69000000002</v>
      </c>
      <c r="AB371" s="83">
        <v>20084.02</v>
      </c>
      <c r="AC371" s="32">
        <f t="shared" si="23"/>
        <v>123616.71000000002</v>
      </c>
      <c r="AD371" s="83">
        <v>3846.65</v>
      </c>
      <c r="AE371" s="83">
        <v>13093.630000000001</v>
      </c>
      <c r="AF371" s="32">
        <f t="shared" si="24"/>
        <v>16940.280000000002</v>
      </c>
      <c r="AG371" s="83">
        <v>15709.300000000001</v>
      </c>
      <c r="AH371" s="83">
        <v>38526.029999999977</v>
      </c>
      <c r="AI371" s="32">
        <f t="shared" si="25"/>
        <v>54235.32999999998</v>
      </c>
      <c r="AJ371" s="42" t="s">
        <v>75</v>
      </c>
      <c r="AK371" s="42" t="s">
        <v>75</v>
      </c>
      <c r="AL371" s="42">
        <v>55578.149999999994</v>
      </c>
      <c r="AM371" s="42"/>
      <c r="AN371" s="42"/>
      <c r="AO371" s="42"/>
      <c r="AP371" s="42"/>
      <c r="AQ371" s="42"/>
      <c r="AR371" s="42"/>
      <c r="AS371" s="42" t="s">
        <v>75</v>
      </c>
      <c r="AT371" s="42" t="s">
        <v>75</v>
      </c>
      <c r="AU371" s="87">
        <v>1656020.19</v>
      </c>
      <c r="AV371" s="42" t="s">
        <v>75</v>
      </c>
      <c r="AW371" s="42" t="s">
        <v>75</v>
      </c>
      <c r="AX371" s="32">
        <v>37887.81</v>
      </c>
      <c r="AY371" s="32">
        <v>7004744</v>
      </c>
      <c r="AZ371" s="32">
        <v>1477950</v>
      </c>
      <c r="BA371" s="43">
        <f t="shared" si="16"/>
        <v>8482694</v>
      </c>
      <c r="BB371" s="42" t="s">
        <v>75</v>
      </c>
      <c r="BC371" s="42" t="s">
        <v>75</v>
      </c>
      <c r="BD371" s="42">
        <v>1305183.9333333333</v>
      </c>
      <c r="BE371" s="88">
        <v>0</v>
      </c>
      <c r="BF371" s="88">
        <v>0</v>
      </c>
      <c r="BG371" s="32">
        <v>74</v>
      </c>
      <c r="BH371" s="32">
        <v>0</v>
      </c>
      <c r="BI371" s="32">
        <v>0</v>
      </c>
      <c r="BJ371" s="32">
        <v>0</v>
      </c>
      <c r="BK371" s="88">
        <v>0</v>
      </c>
      <c r="BL371" s="88">
        <v>0</v>
      </c>
      <c r="BM371" s="32">
        <v>231</v>
      </c>
      <c r="BN371" s="32">
        <v>0</v>
      </c>
      <c r="BO371" s="32">
        <v>0</v>
      </c>
      <c r="BP371" s="32">
        <v>1</v>
      </c>
      <c r="BQ371" s="88">
        <v>0</v>
      </c>
      <c r="BR371" s="88">
        <v>0</v>
      </c>
      <c r="BS371" s="32">
        <v>272</v>
      </c>
      <c r="BT371" s="32">
        <v>0</v>
      </c>
      <c r="BU371" s="32">
        <v>0</v>
      </c>
      <c r="BV371" s="32">
        <v>0</v>
      </c>
      <c r="BW371" s="32"/>
      <c r="BX371" s="32"/>
      <c r="BY371" s="32"/>
      <c r="BZ371" s="88">
        <v>0</v>
      </c>
      <c r="CA371" s="88">
        <v>0</v>
      </c>
      <c r="CB371" s="88">
        <v>270</v>
      </c>
      <c r="CC371" s="88"/>
      <c r="CD371" s="88"/>
      <c r="CE371" s="88"/>
      <c r="CF371" s="88">
        <v>0</v>
      </c>
      <c r="CG371" s="88">
        <v>0</v>
      </c>
      <c r="CH371" s="32">
        <v>3</v>
      </c>
      <c r="CI371" s="88">
        <v>0</v>
      </c>
      <c r="CJ371" s="88">
        <v>0</v>
      </c>
      <c r="CK371" s="32">
        <v>25</v>
      </c>
      <c r="CL371" s="32">
        <v>0</v>
      </c>
      <c r="CM371" s="32">
        <v>0</v>
      </c>
      <c r="CN371" s="32">
        <v>0</v>
      </c>
      <c r="CO371" s="88">
        <v>0</v>
      </c>
      <c r="CP371" s="88">
        <v>0</v>
      </c>
      <c r="CQ371" s="86">
        <v>3</v>
      </c>
      <c r="CR371" s="86">
        <v>0</v>
      </c>
      <c r="CS371" s="86">
        <v>0</v>
      </c>
      <c r="CT371" s="86">
        <v>0</v>
      </c>
      <c r="CU371" s="88">
        <v>0</v>
      </c>
      <c r="CV371" s="88">
        <v>0</v>
      </c>
      <c r="CW371" s="32">
        <v>322</v>
      </c>
      <c r="CX371" s="32">
        <v>0</v>
      </c>
      <c r="CY371" s="32">
        <v>0</v>
      </c>
      <c r="CZ371" s="32">
        <v>0</v>
      </c>
      <c r="DA371" s="88">
        <v>0</v>
      </c>
      <c r="DB371" s="88">
        <v>0</v>
      </c>
      <c r="DC371" s="32">
        <v>0</v>
      </c>
      <c r="DD371" s="32">
        <v>0</v>
      </c>
      <c r="DE371" s="32">
        <v>0</v>
      </c>
      <c r="DF371" s="32">
        <v>0</v>
      </c>
      <c r="DG371" s="88">
        <v>0</v>
      </c>
      <c r="DH371" s="88">
        <v>0</v>
      </c>
      <c r="DI371" s="32">
        <v>4</v>
      </c>
      <c r="DJ371" s="32">
        <v>0</v>
      </c>
      <c r="DK371" s="32">
        <v>0</v>
      </c>
      <c r="DL371" s="32">
        <v>0</v>
      </c>
      <c r="DM371" s="88">
        <v>0</v>
      </c>
      <c r="DN371" s="88">
        <v>0</v>
      </c>
      <c r="DO371" s="88">
        <v>0</v>
      </c>
      <c r="DP371" s="88">
        <v>0</v>
      </c>
      <c r="DQ371" s="88">
        <v>0</v>
      </c>
      <c r="DR371" s="113">
        <v>0</v>
      </c>
      <c r="DS371" s="87">
        <v>0</v>
      </c>
      <c r="DT371" s="87">
        <v>0</v>
      </c>
      <c r="DU371" s="87">
        <v>43</v>
      </c>
      <c r="DV371" s="87">
        <v>0</v>
      </c>
      <c r="DW371" s="87">
        <v>0</v>
      </c>
      <c r="DX371" s="87">
        <v>0</v>
      </c>
      <c r="DY371" s="88">
        <v>0</v>
      </c>
      <c r="DZ371" s="88">
        <v>0</v>
      </c>
      <c r="EA371" s="87">
        <v>1626</v>
      </c>
      <c r="EB371" s="87">
        <v>0</v>
      </c>
      <c r="EC371" s="87">
        <v>0</v>
      </c>
      <c r="ED371" s="87">
        <v>0</v>
      </c>
      <c r="EE371" s="88">
        <v>0</v>
      </c>
      <c r="EF371" s="88">
        <v>0</v>
      </c>
      <c r="EG371" s="87">
        <v>927</v>
      </c>
      <c r="EH371" s="87">
        <v>0</v>
      </c>
      <c r="EI371" s="87">
        <v>0</v>
      </c>
      <c r="EJ371" s="87">
        <v>0</v>
      </c>
      <c r="EK371" s="88">
        <v>0</v>
      </c>
      <c r="EL371" s="88">
        <v>0</v>
      </c>
      <c r="EM371" s="87">
        <v>1023</v>
      </c>
      <c r="EN371" s="87">
        <v>0</v>
      </c>
      <c r="EO371" s="87">
        <v>0</v>
      </c>
      <c r="EP371" s="87">
        <v>2</v>
      </c>
      <c r="EQ371" s="88">
        <v>0</v>
      </c>
      <c r="ER371" s="88">
        <v>0</v>
      </c>
      <c r="ES371" s="87">
        <v>30</v>
      </c>
      <c r="ET371" s="87">
        <v>0</v>
      </c>
      <c r="EU371" s="87">
        <v>0</v>
      </c>
      <c r="EV371" s="87">
        <v>0</v>
      </c>
      <c r="EW371" s="88">
        <v>0</v>
      </c>
      <c r="EX371" s="88">
        <v>0</v>
      </c>
      <c r="EY371" s="87">
        <v>12</v>
      </c>
      <c r="EZ371" s="87">
        <v>0</v>
      </c>
      <c r="FA371" s="87">
        <v>0</v>
      </c>
      <c r="FB371" s="87">
        <v>0</v>
      </c>
      <c r="FC371" s="87">
        <v>0</v>
      </c>
      <c r="FD371" s="87">
        <v>0</v>
      </c>
      <c r="FE371" s="87">
        <v>6</v>
      </c>
      <c r="FF371" s="87">
        <v>0</v>
      </c>
      <c r="FG371" s="87">
        <v>0</v>
      </c>
      <c r="FH371" s="87">
        <v>0</v>
      </c>
      <c r="FI371" s="88">
        <v>0</v>
      </c>
      <c r="FJ371" s="88">
        <v>0</v>
      </c>
      <c r="FK371" s="32">
        <v>34</v>
      </c>
      <c r="FL371" s="88">
        <v>0</v>
      </c>
      <c r="FM371" s="88">
        <v>0</v>
      </c>
      <c r="FN371" s="32">
        <v>3572</v>
      </c>
      <c r="FO371" s="88">
        <v>0</v>
      </c>
      <c r="FP371" s="88">
        <v>0</v>
      </c>
      <c r="FQ371" s="32">
        <v>297</v>
      </c>
      <c r="FR371" s="88">
        <v>0</v>
      </c>
      <c r="FS371" s="88">
        <v>0</v>
      </c>
      <c r="FT371" s="88">
        <v>0</v>
      </c>
      <c r="FU371" s="88">
        <v>0</v>
      </c>
      <c r="FV371" s="88">
        <v>0</v>
      </c>
      <c r="FW371" s="32">
        <v>73</v>
      </c>
      <c r="FX371" s="32">
        <v>0</v>
      </c>
      <c r="FY371" s="32">
        <v>0</v>
      </c>
      <c r="FZ371" s="32">
        <v>202</v>
      </c>
    </row>
    <row r="372" spans="1:182" s="22" customFormat="1" x14ac:dyDescent="0.2">
      <c r="A372" s="41">
        <v>42887</v>
      </c>
      <c r="B372" s="100">
        <f t="shared" si="26"/>
        <v>66008030.720000006</v>
      </c>
      <c r="C372" s="42">
        <v>149231.32</v>
      </c>
      <c r="D372" s="42">
        <v>313224.02000000008</v>
      </c>
      <c r="E372" s="43">
        <f t="shared" si="20"/>
        <v>462455.34000000008</v>
      </c>
      <c r="F372" s="42">
        <v>4434173.9799999995</v>
      </c>
      <c r="G372" s="42">
        <v>1449988.7099999993</v>
      </c>
      <c r="H372" s="32">
        <f t="shared" si="19"/>
        <v>5884162.6899999985</v>
      </c>
      <c r="I372" s="42" t="s">
        <v>75</v>
      </c>
      <c r="J372" s="42" t="s">
        <v>75</v>
      </c>
      <c r="K372" s="32">
        <v>13019877.169999998</v>
      </c>
      <c r="L372" s="42" t="s">
        <v>75</v>
      </c>
      <c r="M372" s="42" t="s">
        <v>75</v>
      </c>
      <c r="N372" s="82">
        <v>21459662.210000001</v>
      </c>
      <c r="O372" s="42" t="s">
        <v>75</v>
      </c>
      <c r="P372" s="42" t="s">
        <v>75</v>
      </c>
      <c r="Q372" s="82">
        <v>24735418.840000004</v>
      </c>
      <c r="R372" s="42" t="s">
        <v>75</v>
      </c>
      <c r="S372" s="42" t="s">
        <v>75</v>
      </c>
      <c r="T372" s="42">
        <v>158918.52999999997</v>
      </c>
      <c r="U372" s="42">
        <v>237.48000000000002</v>
      </c>
      <c r="V372" s="42">
        <v>1629.41</v>
      </c>
      <c r="W372" s="42">
        <f t="shared" si="21"/>
        <v>1866.89</v>
      </c>
      <c r="X372" s="42">
        <v>20609.07</v>
      </c>
      <c r="Y372" s="42">
        <v>1593.15</v>
      </c>
      <c r="Z372" s="32">
        <f t="shared" si="22"/>
        <v>22202.22</v>
      </c>
      <c r="AA372" s="42">
        <v>131701.54</v>
      </c>
      <c r="AB372" s="42">
        <v>22853.239999999998</v>
      </c>
      <c r="AC372" s="32">
        <f t="shared" si="23"/>
        <v>154554.78</v>
      </c>
      <c r="AD372" s="42">
        <v>5953.67</v>
      </c>
      <c r="AE372" s="42">
        <v>4394.1000000000004</v>
      </c>
      <c r="AF372" s="32">
        <f t="shared" si="24"/>
        <v>10347.77</v>
      </c>
      <c r="AG372" s="42">
        <v>15079.71</v>
      </c>
      <c r="AH372" s="42">
        <v>38347.320000000014</v>
      </c>
      <c r="AI372" s="32">
        <f t="shared" si="25"/>
        <v>53427.030000000013</v>
      </c>
      <c r="AJ372" s="42" t="s">
        <v>75</v>
      </c>
      <c r="AK372" s="42" t="s">
        <v>75</v>
      </c>
      <c r="AL372" s="42">
        <v>45137.25</v>
      </c>
      <c r="AM372" s="42"/>
      <c r="AN372" s="42"/>
      <c r="AO372" s="42"/>
      <c r="AP372" s="42"/>
      <c r="AQ372" s="42"/>
      <c r="AR372" s="42"/>
      <c r="AS372" s="42" t="s">
        <v>75</v>
      </c>
      <c r="AT372" s="42" t="s">
        <v>75</v>
      </c>
      <c r="AU372" s="42">
        <v>1555261.1</v>
      </c>
      <c r="AV372" s="42" t="s">
        <v>75</v>
      </c>
      <c r="AW372" s="42" t="s">
        <v>75</v>
      </c>
      <c r="AX372" s="42">
        <v>32507.93</v>
      </c>
      <c r="AY372" s="42">
        <v>7243931.7999999998</v>
      </c>
      <c r="AZ372" s="42">
        <v>1245340</v>
      </c>
      <c r="BA372" s="43">
        <f t="shared" si="16"/>
        <v>8489271.8000000007</v>
      </c>
      <c r="BB372" s="42" t="s">
        <v>75</v>
      </c>
      <c r="BC372" s="42" t="s">
        <v>75</v>
      </c>
      <c r="BD372" s="42">
        <v>1516093.7333333332</v>
      </c>
      <c r="BE372" s="88">
        <v>0</v>
      </c>
      <c r="BF372" s="88">
        <v>0</v>
      </c>
      <c r="BG372" s="32">
        <v>73</v>
      </c>
      <c r="BH372" s="32">
        <v>0</v>
      </c>
      <c r="BI372" s="32">
        <v>0</v>
      </c>
      <c r="BJ372" s="32">
        <v>0</v>
      </c>
      <c r="BK372" s="88">
        <v>0</v>
      </c>
      <c r="BL372" s="88">
        <v>0</v>
      </c>
      <c r="BM372" s="88">
        <v>283</v>
      </c>
      <c r="BN372" s="88">
        <v>0</v>
      </c>
      <c r="BO372" s="88">
        <v>0</v>
      </c>
      <c r="BP372" s="88">
        <v>0</v>
      </c>
      <c r="BQ372" s="88">
        <v>0</v>
      </c>
      <c r="BR372" s="88">
        <v>0</v>
      </c>
      <c r="BS372" s="88">
        <v>260</v>
      </c>
      <c r="BT372" s="88">
        <v>0</v>
      </c>
      <c r="BU372" s="88">
        <v>0</v>
      </c>
      <c r="BV372" s="88">
        <v>0</v>
      </c>
      <c r="BW372" s="88"/>
      <c r="BX372" s="88"/>
      <c r="BY372" s="88"/>
      <c r="BZ372" s="88">
        <v>0</v>
      </c>
      <c r="CA372" s="88">
        <v>0</v>
      </c>
      <c r="CB372" s="88">
        <v>250</v>
      </c>
      <c r="CC372" s="88"/>
      <c r="CD372" s="88"/>
      <c r="CE372" s="88"/>
      <c r="CF372" s="88">
        <v>0</v>
      </c>
      <c r="CG372" s="88">
        <v>0</v>
      </c>
      <c r="CH372" s="88">
        <v>2</v>
      </c>
      <c r="CI372" s="88">
        <v>0</v>
      </c>
      <c r="CJ372" s="88">
        <v>0</v>
      </c>
      <c r="CK372" s="88">
        <v>13</v>
      </c>
      <c r="CL372" s="88">
        <v>0</v>
      </c>
      <c r="CM372" s="88">
        <v>0</v>
      </c>
      <c r="CN372" s="88">
        <v>0</v>
      </c>
      <c r="CO372" s="88">
        <v>0</v>
      </c>
      <c r="CP372" s="88">
        <v>0</v>
      </c>
      <c r="CQ372" s="86">
        <v>6</v>
      </c>
      <c r="CR372" s="86">
        <v>0</v>
      </c>
      <c r="CS372" s="86">
        <v>0</v>
      </c>
      <c r="CT372" s="86">
        <v>0</v>
      </c>
      <c r="CU372" s="88">
        <v>0</v>
      </c>
      <c r="CV372" s="88">
        <v>0</v>
      </c>
      <c r="CW372" s="88">
        <v>220</v>
      </c>
      <c r="CX372" s="88">
        <v>0</v>
      </c>
      <c r="CY372" s="88">
        <v>0</v>
      </c>
      <c r="CZ372" s="88">
        <v>0</v>
      </c>
      <c r="DA372" s="88">
        <v>0</v>
      </c>
      <c r="DB372" s="88">
        <v>0</v>
      </c>
      <c r="DC372" s="88">
        <v>9</v>
      </c>
      <c r="DD372" s="88">
        <v>0</v>
      </c>
      <c r="DE372" s="88">
        <v>0</v>
      </c>
      <c r="DF372" s="88">
        <v>0</v>
      </c>
      <c r="DG372" s="88">
        <v>0</v>
      </c>
      <c r="DH372" s="88">
        <v>0</v>
      </c>
      <c r="DI372" s="88">
        <v>2</v>
      </c>
      <c r="DJ372" s="88">
        <v>0</v>
      </c>
      <c r="DK372" s="88">
        <v>0</v>
      </c>
      <c r="DL372" s="88">
        <v>0</v>
      </c>
      <c r="DM372" s="88">
        <v>0</v>
      </c>
      <c r="DN372" s="88">
        <v>0</v>
      </c>
      <c r="DO372" s="88">
        <v>0</v>
      </c>
      <c r="DP372" s="88">
        <v>0</v>
      </c>
      <c r="DQ372" s="88">
        <v>0</v>
      </c>
      <c r="DR372" s="113">
        <v>0</v>
      </c>
      <c r="DS372" s="87">
        <v>0</v>
      </c>
      <c r="DT372" s="87">
        <v>0</v>
      </c>
      <c r="DU372" s="87">
        <v>215</v>
      </c>
      <c r="DV372" s="87">
        <v>0</v>
      </c>
      <c r="DW372" s="87">
        <v>0</v>
      </c>
      <c r="DX372" s="87">
        <v>0</v>
      </c>
      <c r="DY372" s="88">
        <v>0</v>
      </c>
      <c r="DZ372" s="88">
        <v>0</v>
      </c>
      <c r="EA372" s="88">
        <v>1219</v>
      </c>
      <c r="EB372" s="88">
        <v>0</v>
      </c>
      <c r="EC372" s="88">
        <v>0</v>
      </c>
      <c r="ED372" s="88">
        <v>0</v>
      </c>
      <c r="EE372" s="88">
        <v>0</v>
      </c>
      <c r="EF372" s="88">
        <v>0</v>
      </c>
      <c r="EG372" s="88">
        <v>1302</v>
      </c>
      <c r="EH372" s="88">
        <v>0</v>
      </c>
      <c r="EI372" s="88">
        <v>0</v>
      </c>
      <c r="EJ372" s="88">
        <v>0</v>
      </c>
      <c r="EK372" s="88">
        <v>0</v>
      </c>
      <c r="EL372" s="88">
        <v>0</v>
      </c>
      <c r="EM372" s="88">
        <v>934</v>
      </c>
      <c r="EN372" s="88">
        <v>0</v>
      </c>
      <c r="EO372" s="88">
        <v>0</v>
      </c>
      <c r="EP372" s="88">
        <v>0</v>
      </c>
      <c r="EQ372" s="88">
        <v>0</v>
      </c>
      <c r="ER372" s="88">
        <v>0</v>
      </c>
      <c r="ES372" s="88">
        <v>29</v>
      </c>
      <c r="ET372" s="88">
        <v>0</v>
      </c>
      <c r="EU372" s="88">
        <v>0</v>
      </c>
      <c r="EV372" s="88">
        <v>0</v>
      </c>
      <c r="EW372" s="88">
        <v>0</v>
      </c>
      <c r="EX372" s="88">
        <v>0</v>
      </c>
      <c r="EY372" s="88">
        <v>5</v>
      </c>
      <c r="EZ372" s="88">
        <v>0</v>
      </c>
      <c r="FA372" s="88">
        <v>0</v>
      </c>
      <c r="FB372" s="88">
        <v>0</v>
      </c>
      <c r="FC372" s="88">
        <v>0</v>
      </c>
      <c r="FD372" s="88">
        <v>0</v>
      </c>
      <c r="FE372" s="88">
        <v>11</v>
      </c>
      <c r="FF372" s="88">
        <v>0</v>
      </c>
      <c r="FG372" s="88">
        <v>0</v>
      </c>
      <c r="FH372" s="88">
        <v>0</v>
      </c>
      <c r="FI372" s="88">
        <v>0</v>
      </c>
      <c r="FJ372" s="88">
        <v>0</v>
      </c>
      <c r="FK372" s="32">
        <v>36</v>
      </c>
      <c r="FL372" s="88">
        <v>0</v>
      </c>
      <c r="FM372" s="88">
        <v>0</v>
      </c>
      <c r="FN372" s="88">
        <v>3117</v>
      </c>
      <c r="FO372" s="88">
        <v>0</v>
      </c>
      <c r="FP372" s="88">
        <v>0</v>
      </c>
      <c r="FQ372" s="88">
        <v>308</v>
      </c>
      <c r="FR372" s="88">
        <v>0</v>
      </c>
      <c r="FS372" s="88">
        <v>0</v>
      </c>
      <c r="FT372" s="88">
        <v>0</v>
      </c>
      <c r="FU372" s="88">
        <v>0</v>
      </c>
      <c r="FV372" s="88">
        <v>0</v>
      </c>
      <c r="FW372" s="88">
        <v>39</v>
      </c>
      <c r="FX372" s="32">
        <v>0</v>
      </c>
      <c r="FY372" s="32">
        <v>0</v>
      </c>
      <c r="FZ372" s="32">
        <v>308</v>
      </c>
    </row>
    <row r="373" spans="1:182" s="22" customFormat="1" x14ac:dyDescent="0.2">
      <c r="A373" s="41">
        <v>42917</v>
      </c>
      <c r="B373" s="100">
        <f t="shared" si="26"/>
        <v>66309108.259999998</v>
      </c>
      <c r="C373" s="42">
        <v>166464.72999999998</v>
      </c>
      <c r="D373" s="42">
        <v>267883.71000000002</v>
      </c>
      <c r="E373" s="43">
        <f t="shared" si="20"/>
        <v>434348.44</v>
      </c>
      <c r="F373" s="42">
        <v>4001809.87</v>
      </c>
      <c r="G373" s="42">
        <v>1341438.7699999996</v>
      </c>
      <c r="H373" s="32">
        <f t="shared" si="19"/>
        <v>5343248.6399999997</v>
      </c>
      <c r="I373" s="42" t="s">
        <v>75</v>
      </c>
      <c r="J373" s="42" t="s">
        <v>75</v>
      </c>
      <c r="K373" s="32">
        <v>14149057.559999999</v>
      </c>
      <c r="L373" s="42" t="s">
        <v>75</v>
      </c>
      <c r="M373" s="42" t="s">
        <v>75</v>
      </c>
      <c r="N373" s="82">
        <v>21891528.550000001</v>
      </c>
      <c r="O373" s="42" t="s">
        <v>75</v>
      </c>
      <c r="P373" s="42" t="s">
        <v>75</v>
      </c>
      <c r="Q373" s="82">
        <v>24067895.400000006</v>
      </c>
      <c r="R373" s="42" t="s">
        <v>75</v>
      </c>
      <c r="S373" s="42" t="s">
        <v>75</v>
      </c>
      <c r="T373" s="42">
        <v>143718.62999999998</v>
      </c>
      <c r="U373" s="42">
        <v>2138.88</v>
      </c>
      <c r="V373" s="42">
        <v>1160.21</v>
      </c>
      <c r="W373" s="42">
        <f t="shared" si="21"/>
        <v>3299.09</v>
      </c>
      <c r="X373" s="42">
        <v>26182.82</v>
      </c>
      <c r="Y373" s="42">
        <v>7348.7999999999993</v>
      </c>
      <c r="Z373" s="32">
        <f t="shared" si="22"/>
        <v>33531.619999999995</v>
      </c>
      <c r="AA373" s="42">
        <v>100193.16</v>
      </c>
      <c r="AB373" s="42">
        <v>22877</v>
      </c>
      <c r="AC373" s="32">
        <f t="shared" si="23"/>
        <v>123070.16</v>
      </c>
      <c r="AD373" s="42">
        <v>4543.4699999999993</v>
      </c>
      <c r="AE373" s="42">
        <v>6696.9000000000005</v>
      </c>
      <c r="AF373" s="32">
        <f t="shared" si="24"/>
        <v>11240.369999999999</v>
      </c>
      <c r="AG373" s="42">
        <v>13790.229999999998</v>
      </c>
      <c r="AH373" s="42">
        <v>44472.770000000011</v>
      </c>
      <c r="AI373" s="32">
        <f t="shared" si="25"/>
        <v>58263.000000000007</v>
      </c>
      <c r="AJ373" s="42" t="s">
        <v>75</v>
      </c>
      <c r="AK373" s="42" t="s">
        <v>75</v>
      </c>
      <c r="AL373" s="42">
        <v>49906.799999999996</v>
      </c>
      <c r="AM373" s="42"/>
      <c r="AN373" s="42"/>
      <c r="AO373" s="42"/>
      <c r="AP373" s="42"/>
      <c r="AQ373" s="42"/>
      <c r="AR373" s="42"/>
      <c r="AS373" s="42" t="s">
        <v>75</v>
      </c>
      <c r="AT373" s="42" t="s">
        <v>75</v>
      </c>
      <c r="AU373" s="42">
        <v>1166482.28</v>
      </c>
      <c r="AV373" s="42" t="s">
        <v>75</v>
      </c>
      <c r="AW373" s="42" t="s">
        <v>75</v>
      </c>
      <c r="AX373" s="42">
        <v>28780.42</v>
      </c>
      <c r="AY373" s="42">
        <v>7224464.5</v>
      </c>
      <c r="AZ373" s="42">
        <v>491830</v>
      </c>
      <c r="BA373" s="43">
        <f t="shared" si="16"/>
        <v>7716294.5</v>
      </c>
      <c r="BB373" s="42" t="s">
        <v>75</v>
      </c>
      <c r="BC373" s="42" t="s">
        <v>75</v>
      </c>
      <c r="BD373" s="42">
        <v>1375655.4444444443</v>
      </c>
      <c r="BE373" s="88">
        <v>0</v>
      </c>
      <c r="BF373" s="88">
        <v>0</v>
      </c>
      <c r="BG373" s="32">
        <v>50</v>
      </c>
      <c r="BH373" s="32">
        <v>0</v>
      </c>
      <c r="BI373" s="32">
        <v>0</v>
      </c>
      <c r="BJ373" s="32">
        <v>0</v>
      </c>
      <c r="BK373" s="88">
        <v>0</v>
      </c>
      <c r="BL373" s="88">
        <v>0</v>
      </c>
      <c r="BM373" s="88">
        <v>308</v>
      </c>
      <c r="BN373" s="88">
        <v>0</v>
      </c>
      <c r="BO373" s="88">
        <v>0</v>
      </c>
      <c r="BP373" s="88">
        <v>0</v>
      </c>
      <c r="BQ373" s="88">
        <v>0</v>
      </c>
      <c r="BR373" s="88">
        <v>0</v>
      </c>
      <c r="BS373" s="88">
        <v>245</v>
      </c>
      <c r="BT373" s="88">
        <v>0</v>
      </c>
      <c r="BU373" s="88">
        <v>0</v>
      </c>
      <c r="BV373" s="88">
        <v>0</v>
      </c>
      <c r="BW373" s="88"/>
      <c r="BX373" s="88"/>
      <c r="BY373" s="88"/>
      <c r="BZ373" s="88">
        <v>0</v>
      </c>
      <c r="CA373" s="88">
        <v>0</v>
      </c>
      <c r="CB373" s="88">
        <v>208</v>
      </c>
      <c r="CC373" s="88"/>
      <c r="CD373" s="88"/>
      <c r="CE373" s="88"/>
      <c r="CF373" s="88">
        <v>0</v>
      </c>
      <c r="CG373" s="88">
        <v>0</v>
      </c>
      <c r="CH373" s="88">
        <v>2</v>
      </c>
      <c r="CI373" s="88">
        <v>0</v>
      </c>
      <c r="CJ373" s="88">
        <v>0</v>
      </c>
      <c r="CK373" s="88">
        <v>21</v>
      </c>
      <c r="CL373" s="88">
        <v>0</v>
      </c>
      <c r="CM373" s="88">
        <v>0</v>
      </c>
      <c r="CN373" s="88">
        <v>0</v>
      </c>
      <c r="CO373" s="88">
        <v>0</v>
      </c>
      <c r="CP373" s="88">
        <v>0</v>
      </c>
      <c r="CQ373" s="86">
        <v>7</v>
      </c>
      <c r="CR373" s="86">
        <v>0</v>
      </c>
      <c r="CS373" s="86">
        <v>0</v>
      </c>
      <c r="CT373" s="86">
        <v>0</v>
      </c>
      <c r="CU373" s="88">
        <v>0</v>
      </c>
      <c r="CV373" s="88">
        <v>0</v>
      </c>
      <c r="CW373" s="88">
        <v>283</v>
      </c>
      <c r="CX373" s="88">
        <v>0</v>
      </c>
      <c r="CY373" s="88">
        <v>0</v>
      </c>
      <c r="CZ373" s="88">
        <v>0</v>
      </c>
      <c r="DA373" s="88">
        <v>0</v>
      </c>
      <c r="DB373" s="88">
        <v>0</v>
      </c>
      <c r="DC373" s="88">
        <v>0</v>
      </c>
      <c r="DD373" s="88">
        <v>0</v>
      </c>
      <c r="DE373" s="88">
        <v>0</v>
      </c>
      <c r="DF373" s="88">
        <v>0</v>
      </c>
      <c r="DG373" s="88">
        <v>0</v>
      </c>
      <c r="DH373" s="88">
        <v>0</v>
      </c>
      <c r="DI373" s="88">
        <v>2</v>
      </c>
      <c r="DJ373" s="88">
        <v>0</v>
      </c>
      <c r="DK373" s="88">
        <v>0</v>
      </c>
      <c r="DL373" s="88">
        <v>0</v>
      </c>
      <c r="DM373" s="88">
        <v>0</v>
      </c>
      <c r="DN373" s="88">
        <v>0</v>
      </c>
      <c r="DO373" s="88">
        <v>0</v>
      </c>
      <c r="DP373" s="88">
        <v>0</v>
      </c>
      <c r="DQ373" s="88">
        <v>0</v>
      </c>
      <c r="DR373" s="113">
        <v>0</v>
      </c>
      <c r="DS373" s="87">
        <v>0</v>
      </c>
      <c r="DT373" s="87">
        <v>0</v>
      </c>
      <c r="DU373" s="87">
        <v>245</v>
      </c>
      <c r="DV373" s="87">
        <v>0</v>
      </c>
      <c r="DW373" s="87">
        <v>0</v>
      </c>
      <c r="DX373" s="87">
        <v>0</v>
      </c>
      <c r="DY373" s="88">
        <v>0</v>
      </c>
      <c r="DZ373" s="88">
        <v>0</v>
      </c>
      <c r="EA373" s="88">
        <v>994</v>
      </c>
      <c r="EB373" s="88">
        <v>0</v>
      </c>
      <c r="EC373" s="88">
        <v>0</v>
      </c>
      <c r="ED373" s="88">
        <v>0</v>
      </c>
      <c r="EE373" s="88">
        <v>0</v>
      </c>
      <c r="EF373" s="88">
        <v>0</v>
      </c>
      <c r="EG373" s="88">
        <v>734</v>
      </c>
      <c r="EH373" s="88">
        <v>0</v>
      </c>
      <c r="EI373" s="88">
        <v>0</v>
      </c>
      <c r="EJ373" s="88">
        <v>0</v>
      </c>
      <c r="EK373" s="88">
        <v>0</v>
      </c>
      <c r="EL373" s="88">
        <v>0</v>
      </c>
      <c r="EM373" s="88">
        <v>971</v>
      </c>
      <c r="EN373" s="88">
        <v>0</v>
      </c>
      <c r="EO373" s="88">
        <v>0</v>
      </c>
      <c r="EP373" s="88">
        <v>2</v>
      </c>
      <c r="EQ373" s="88">
        <v>0</v>
      </c>
      <c r="ER373" s="88">
        <v>0</v>
      </c>
      <c r="ES373" s="88">
        <v>26</v>
      </c>
      <c r="ET373" s="88">
        <v>0</v>
      </c>
      <c r="EU373" s="88">
        <v>0</v>
      </c>
      <c r="EV373" s="88">
        <v>0</v>
      </c>
      <c r="EW373" s="88">
        <v>0</v>
      </c>
      <c r="EX373" s="88">
        <v>0</v>
      </c>
      <c r="EY373" s="88">
        <v>5</v>
      </c>
      <c r="EZ373" s="88">
        <v>0</v>
      </c>
      <c r="FA373" s="88">
        <v>0</v>
      </c>
      <c r="FB373" s="88">
        <v>0</v>
      </c>
      <c r="FC373" s="88">
        <v>0</v>
      </c>
      <c r="FD373" s="88">
        <v>0</v>
      </c>
      <c r="FE373" s="88">
        <v>6</v>
      </c>
      <c r="FF373" s="88">
        <v>0</v>
      </c>
      <c r="FG373" s="88">
        <v>0</v>
      </c>
      <c r="FH373" s="88">
        <v>0</v>
      </c>
      <c r="FI373" s="88">
        <v>0</v>
      </c>
      <c r="FJ373" s="88">
        <v>0</v>
      </c>
      <c r="FK373" s="32">
        <v>49</v>
      </c>
      <c r="FL373" s="88">
        <v>0</v>
      </c>
      <c r="FM373" s="88">
        <v>0</v>
      </c>
      <c r="FN373" s="88">
        <v>3185</v>
      </c>
      <c r="FO373" s="88">
        <v>0</v>
      </c>
      <c r="FP373" s="88">
        <v>0</v>
      </c>
      <c r="FQ373" s="88">
        <v>265</v>
      </c>
      <c r="FR373" s="88">
        <v>0</v>
      </c>
      <c r="FS373" s="88">
        <v>0</v>
      </c>
      <c r="FT373" s="88">
        <v>0</v>
      </c>
      <c r="FU373" s="88">
        <v>0</v>
      </c>
      <c r="FV373" s="88">
        <v>0</v>
      </c>
      <c r="FW373" s="88">
        <v>53</v>
      </c>
      <c r="FX373" s="32">
        <v>0</v>
      </c>
      <c r="FY373" s="32">
        <v>0</v>
      </c>
      <c r="FZ373" s="32">
        <v>628</v>
      </c>
    </row>
    <row r="374" spans="1:182" s="22" customFormat="1" x14ac:dyDescent="0.2">
      <c r="A374" s="41">
        <v>42948</v>
      </c>
      <c r="B374" s="100">
        <f t="shared" si="26"/>
        <v>74900801.399999991</v>
      </c>
      <c r="C374" s="42">
        <v>132317.57</v>
      </c>
      <c r="D374" s="42">
        <v>373486.36999999988</v>
      </c>
      <c r="E374" s="43">
        <f t="shared" si="20"/>
        <v>505803.93999999989</v>
      </c>
      <c r="F374" s="42">
        <v>4599310.32</v>
      </c>
      <c r="G374" s="42">
        <v>1691658.1599999997</v>
      </c>
      <c r="H374" s="32">
        <f t="shared" si="19"/>
        <v>6290968.4800000004</v>
      </c>
      <c r="I374" s="42" t="s">
        <v>75</v>
      </c>
      <c r="J374" s="42" t="s">
        <v>75</v>
      </c>
      <c r="K374" s="32">
        <v>20468908.84</v>
      </c>
      <c r="L374" s="42" t="s">
        <v>75</v>
      </c>
      <c r="M374" s="42" t="s">
        <v>75</v>
      </c>
      <c r="N374" s="82">
        <v>22508397.740000002</v>
      </c>
      <c r="O374" s="42" t="s">
        <v>75</v>
      </c>
      <c r="P374" s="42" t="s">
        <v>75</v>
      </c>
      <c r="Q374" s="82">
        <v>24460624.489999998</v>
      </c>
      <c r="R374" s="42" t="s">
        <v>75</v>
      </c>
      <c r="S374" s="42" t="s">
        <v>75</v>
      </c>
      <c r="T374" s="42">
        <v>177469.22</v>
      </c>
      <c r="U374" s="42">
        <v>2026.8200000000002</v>
      </c>
      <c r="V374" s="42">
        <v>1684.6399999999999</v>
      </c>
      <c r="W374" s="42">
        <f t="shared" si="21"/>
        <v>3711.46</v>
      </c>
      <c r="X374" s="42">
        <v>126320.79</v>
      </c>
      <c r="Y374" s="42">
        <v>2607.25</v>
      </c>
      <c r="Z374" s="32">
        <f t="shared" si="22"/>
        <v>128928.04</v>
      </c>
      <c r="AA374" s="42">
        <v>107657.1</v>
      </c>
      <c r="AB374" s="42">
        <v>34387.449999999997</v>
      </c>
      <c r="AC374" s="32">
        <f t="shared" si="23"/>
        <v>142044.54999999999</v>
      </c>
      <c r="AD374" s="42">
        <v>5555.49</v>
      </c>
      <c r="AE374" s="42">
        <v>10861.829999999998</v>
      </c>
      <c r="AF374" s="32">
        <f t="shared" si="24"/>
        <v>16417.32</v>
      </c>
      <c r="AG374" s="42">
        <v>29868.679999999997</v>
      </c>
      <c r="AH374" s="42">
        <v>106033.69000000002</v>
      </c>
      <c r="AI374" s="32">
        <f t="shared" si="25"/>
        <v>135902.37000000002</v>
      </c>
      <c r="AJ374" s="42" t="s">
        <v>75</v>
      </c>
      <c r="AK374" s="42" t="s">
        <v>75</v>
      </c>
      <c r="AL374" s="42">
        <v>61624.95</v>
      </c>
      <c r="AM374" s="42"/>
      <c r="AN374" s="42"/>
      <c r="AO374" s="42"/>
      <c r="AP374" s="42"/>
      <c r="AQ374" s="42"/>
      <c r="AR374" s="42"/>
      <c r="AS374" s="42" t="s">
        <v>75</v>
      </c>
      <c r="AT374" s="42" t="s">
        <v>75</v>
      </c>
      <c r="AU374" s="42">
        <v>1450603.79</v>
      </c>
      <c r="AV374" s="42" t="s">
        <v>75</v>
      </c>
      <c r="AW374" s="42" t="s">
        <v>75</v>
      </c>
      <c r="AX374" s="42">
        <v>39736.620000000003</v>
      </c>
      <c r="AY374" s="42">
        <v>7366673</v>
      </c>
      <c r="AZ374" s="42">
        <v>1403860</v>
      </c>
      <c r="BA374" s="43">
        <f t="shared" si="16"/>
        <v>8770533</v>
      </c>
      <c r="BB374" s="42" t="s">
        <v>75</v>
      </c>
      <c r="BC374" s="42" t="s">
        <v>75</v>
      </c>
      <c r="BD374" s="42">
        <v>1444498.0888888889</v>
      </c>
      <c r="BE374" s="88">
        <v>0</v>
      </c>
      <c r="BF374" s="88">
        <v>0</v>
      </c>
      <c r="BG374" s="32">
        <v>71</v>
      </c>
      <c r="BH374" s="32">
        <v>0</v>
      </c>
      <c r="BI374" s="32">
        <v>0</v>
      </c>
      <c r="BJ374" s="32">
        <v>0</v>
      </c>
      <c r="BK374" s="88">
        <v>0</v>
      </c>
      <c r="BL374" s="88">
        <v>0</v>
      </c>
      <c r="BM374" s="88">
        <v>255</v>
      </c>
      <c r="BN374" s="88">
        <v>0</v>
      </c>
      <c r="BO374" s="88">
        <v>0</v>
      </c>
      <c r="BP374" s="88">
        <v>0</v>
      </c>
      <c r="BQ374" s="88">
        <v>0</v>
      </c>
      <c r="BR374" s="88">
        <v>0</v>
      </c>
      <c r="BS374" s="88">
        <v>174</v>
      </c>
      <c r="BT374" s="88">
        <v>0</v>
      </c>
      <c r="BU374" s="88">
        <v>0</v>
      </c>
      <c r="BV374" s="88">
        <v>0</v>
      </c>
      <c r="BW374" s="88"/>
      <c r="BX374" s="88"/>
      <c r="BY374" s="88"/>
      <c r="BZ374" s="88">
        <v>0</v>
      </c>
      <c r="CA374" s="88">
        <v>0</v>
      </c>
      <c r="CB374" s="88">
        <v>234</v>
      </c>
      <c r="CC374" s="88"/>
      <c r="CD374" s="88"/>
      <c r="CE374" s="88"/>
      <c r="CF374" s="88">
        <v>0</v>
      </c>
      <c r="CG374" s="88">
        <v>0</v>
      </c>
      <c r="CH374" s="88">
        <v>0</v>
      </c>
      <c r="CI374" s="88">
        <v>0</v>
      </c>
      <c r="CJ374" s="88">
        <v>0</v>
      </c>
      <c r="CK374" s="88">
        <v>32</v>
      </c>
      <c r="CL374" s="88">
        <v>0</v>
      </c>
      <c r="CM374" s="88">
        <v>0</v>
      </c>
      <c r="CN374" s="88">
        <v>0</v>
      </c>
      <c r="CO374" s="88">
        <v>0</v>
      </c>
      <c r="CP374" s="88">
        <v>0</v>
      </c>
      <c r="CQ374" s="88">
        <v>5</v>
      </c>
      <c r="CR374" s="88">
        <v>0</v>
      </c>
      <c r="CS374" s="88">
        <v>0</v>
      </c>
      <c r="CT374" s="88">
        <v>0</v>
      </c>
      <c r="CU374" s="88">
        <v>0</v>
      </c>
      <c r="CV374" s="88">
        <v>0</v>
      </c>
      <c r="CW374" s="88">
        <v>423</v>
      </c>
      <c r="CX374" s="88">
        <v>0</v>
      </c>
      <c r="CY374" s="88">
        <v>0</v>
      </c>
      <c r="CZ374" s="88">
        <v>0</v>
      </c>
      <c r="DA374" s="88">
        <v>0</v>
      </c>
      <c r="DB374" s="88">
        <v>0</v>
      </c>
      <c r="DC374" s="88">
        <v>0</v>
      </c>
      <c r="DD374" s="88">
        <v>0</v>
      </c>
      <c r="DE374" s="88">
        <v>0</v>
      </c>
      <c r="DF374" s="88">
        <v>0</v>
      </c>
      <c r="DG374" s="88">
        <v>0</v>
      </c>
      <c r="DH374" s="88">
        <v>0</v>
      </c>
      <c r="DI374" s="88">
        <v>2</v>
      </c>
      <c r="DJ374" s="88">
        <v>0</v>
      </c>
      <c r="DK374" s="88">
        <v>0</v>
      </c>
      <c r="DL374" s="88">
        <v>0</v>
      </c>
      <c r="DM374" s="88">
        <v>0</v>
      </c>
      <c r="DN374" s="88">
        <v>0</v>
      </c>
      <c r="DO374" s="88">
        <v>0</v>
      </c>
      <c r="DP374" s="88">
        <v>0</v>
      </c>
      <c r="DQ374" s="88">
        <v>0</v>
      </c>
      <c r="DR374" s="113">
        <v>0</v>
      </c>
      <c r="DS374" s="87">
        <v>0</v>
      </c>
      <c r="DT374" s="87">
        <v>0</v>
      </c>
      <c r="DU374" s="87">
        <v>222</v>
      </c>
      <c r="DV374" s="87">
        <v>0</v>
      </c>
      <c r="DW374" s="87">
        <v>0</v>
      </c>
      <c r="DX374" s="87">
        <v>0</v>
      </c>
      <c r="DY374" s="88">
        <v>0</v>
      </c>
      <c r="DZ374" s="88">
        <v>0</v>
      </c>
      <c r="EA374" s="88">
        <v>956</v>
      </c>
      <c r="EB374" s="88">
        <v>0</v>
      </c>
      <c r="EC374" s="88">
        <v>0</v>
      </c>
      <c r="ED374" s="88">
        <v>0</v>
      </c>
      <c r="EE374" s="88">
        <v>0</v>
      </c>
      <c r="EF374" s="88">
        <v>0</v>
      </c>
      <c r="EG374" s="88">
        <v>947</v>
      </c>
      <c r="EH374" s="88">
        <v>0</v>
      </c>
      <c r="EI374" s="88">
        <v>0</v>
      </c>
      <c r="EJ374" s="88">
        <v>0</v>
      </c>
      <c r="EK374" s="88">
        <v>0</v>
      </c>
      <c r="EL374" s="88">
        <v>0</v>
      </c>
      <c r="EM374" s="88">
        <v>1123</v>
      </c>
      <c r="EN374" s="88">
        <v>0</v>
      </c>
      <c r="EO374" s="88">
        <v>0</v>
      </c>
      <c r="EP374" s="88">
        <v>0</v>
      </c>
      <c r="EQ374" s="88">
        <v>0</v>
      </c>
      <c r="ER374" s="88">
        <v>0</v>
      </c>
      <c r="ES374" s="88">
        <v>18</v>
      </c>
      <c r="ET374" s="88">
        <v>0</v>
      </c>
      <c r="EU374" s="88">
        <v>0</v>
      </c>
      <c r="EV374" s="88">
        <v>6</v>
      </c>
      <c r="EW374" s="88">
        <v>0</v>
      </c>
      <c r="EX374" s="88">
        <v>0</v>
      </c>
      <c r="EY374" s="88">
        <v>10</v>
      </c>
      <c r="EZ374" s="88">
        <v>0</v>
      </c>
      <c r="FA374" s="88">
        <v>0</v>
      </c>
      <c r="FB374" s="88">
        <v>0</v>
      </c>
      <c r="FC374" s="88">
        <v>0</v>
      </c>
      <c r="FD374" s="88">
        <v>0</v>
      </c>
      <c r="FE374" s="88">
        <v>9</v>
      </c>
      <c r="FF374" s="88">
        <v>0</v>
      </c>
      <c r="FG374" s="88">
        <v>0</v>
      </c>
      <c r="FH374" s="88">
        <v>0</v>
      </c>
      <c r="FI374" s="88">
        <v>0</v>
      </c>
      <c r="FJ374" s="88">
        <v>0</v>
      </c>
      <c r="FK374" s="32">
        <v>62</v>
      </c>
      <c r="FL374" s="88">
        <v>0</v>
      </c>
      <c r="FM374" s="88">
        <v>0</v>
      </c>
      <c r="FN374" s="88">
        <v>2814</v>
      </c>
      <c r="FO374" s="88">
        <v>0</v>
      </c>
      <c r="FP374" s="88">
        <v>0</v>
      </c>
      <c r="FQ374" s="88">
        <v>305</v>
      </c>
      <c r="FR374" s="88">
        <v>0</v>
      </c>
      <c r="FS374" s="88">
        <v>0</v>
      </c>
      <c r="FT374" s="88">
        <v>0</v>
      </c>
      <c r="FU374" s="88">
        <v>0</v>
      </c>
      <c r="FV374" s="88">
        <v>0</v>
      </c>
      <c r="FW374" s="88">
        <v>59</v>
      </c>
      <c r="FX374" s="32">
        <v>0</v>
      </c>
      <c r="FY374" s="32">
        <v>0</v>
      </c>
      <c r="FZ374" s="32">
        <v>1122</v>
      </c>
    </row>
    <row r="375" spans="1:182" s="22" customFormat="1" x14ac:dyDescent="0.2">
      <c r="A375" s="41">
        <v>42979</v>
      </c>
      <c r="B375" s="100">
        <f t="shared" si="26"/>
        <v>81948773.029999986</v>
      </c>
      <c r="C375" s="42">
        <v>160580.51</v>
      </c>
      <c r="D375" s="42">
        <v>307337.87</v>
      </c>
      <c r="E375" s="43">
        <f t="shared" si="20"/>
        <v>467918.38</v>
      </c>
      <c r="F375" s="42">
        <v>4863777.2</v>
      </c>
      <c r="G375" s="42">
        <v>2164648.9600000004</v>
      </c>
      <c r="H375" s="32">
        <f t="shared" si="19"/>
        <v>7028426.1600000001</v>
      </c>
      <c r="I375" s="42" t="s">
        <v>75</v>
      </c>
      <c r="J375" s="42" t="s">
        <v>75</v>
      </c>
      <c r="K375" s="32">
        <v>25566845.479999997</v>
      </c>
      <c r="L375" s="42" t="s">
        <v>75</v>
      </c>
      <c r="M375" s="42" t="s">
        <v>75</v>
      </c>
      <c r="N375" s="82">
        <v>22833253.050000004</v>
      </c>
      <c r="O375" s="42" t="s">
        <v>75</v>
      </c>
      <c r="P375" s="42" t="s">
        <v>75</v>
      </c>
      <c r="Q375" s="82">
        <v>25649515.189999994</v>
      </c>
      <c r="R375" s="42" t="s">
        <v>75</v>
      </c>
      <c r="S375" s="42" t="s">
        <v>75</v>
      </c>
      <c r="T375" s="42">
        <v>128830.89</v>
      </c>
      <c r="U375" s="42">
        <v>2134.59</v>
      </c>
      <c r="V375" s="42">
        <v>1856.19</v>
      </c>
      <c r="W375" s="42">
        <f t="shared" si="21"/>
        <v>3990.78</v>
      </c>
      <c r="X375" s="42">
        <v>4799.12</v>
      </c>
      <c r="Y375" s="42">
        <v>4568.5</v>
      </c>
      <c r="Z375" s="32">
        <f t="shared" si="22"/>
        <v>9367.619999999999</v>
      </c>
      <c r="AA375" s="42">
        <v>87457.78</v>
      </c>
      <c r="AB375" s="42">
        <v>29115.269999999993</v>
      </c>
      <c r="AC375" s="32">
        <f t="shared" si="23"/>
        <v>116573.04999999999</v>
      </c>
      <c r="AD375" s="42">
        <v>8320.9599999999991</v>
      </c>
      <c r="AE375" s="42">
        <v>18823.84</v>
      </c>
      <c r="AF375" s="32">
        <f t="shared" si="24"/>
        <v>27144.799999999999</v>
      </c>
      <c r="AG375" s="42">
        <v>12155.18</v>
      </c>
      <c r="AH375" s="42">
        <v>53179.9</v>
      </c>
      <c r="AI375" s="32">
        <f t="shared" si="25"/>
        <v>65335.08</v>
      </c>
      <c r="AJ375" s="42" t="s">
        <v>75</v>
      </c>
      <c r="AK375" s="42" t="s">
        <v>75</v>
      </c>
      <c r="AL375" s="42">
        <v>51572.549999999996</v>
      </c>
      <c r="AM375" s="42"/>
      <c r="AN375" s="42"/>
      <c r="AO375" s="42"/>
      <c r="AP375" s="42"/>
      <c r="AQ375" s="42"/>
      <c r="AR375" s="42"/>
      <c r="AS375" s="42" t="s">
        <v>75</v>
      </c>
      <c r="AT375" s="42" t="s">
        <v>75</v>
      </c>
      <c r="AU375" s="42">
        <v>1375517.55</v>
      </c>
      <c r="AV375" s="42" t="s">
        <v>75</v>
      </c>
      <c r="AW375" s="42" t="s">
        <v>75</v>
      </c>
      <c r="AX375" s="42">
        <v>31714.859999999997</v>
      </c>
      <c r="AY375" s="42">
        <v>7123703.9000000004</v>
      </c>
      <c r="AZ375" s="42">
        <v>1076260</v>
      </c>
      <c r="BA375" s="43">
        <f t="shared" si="16"/>
        <v>8199963.9000000004</v>
      </c>
      <c r="BB375" s="42" t="s">
        <v>75</v>
      </c>
      <c r="BC375" s="42" t="s">
        <v>75</v>
      </c>
      <c r="BD375" s="42">
        <v>1403235.0444444444</v>
      </c>
      <c r="BE375" s="88">
        <v>0</v>
      </c>
      <c r="BF375" s="88">
        <v>0</v>
      </c>
      <c r="BG375" s="88">
        <v>78</v>
      </c>
      <c r="BH375" s="88">
        <v>0</v>
      </c>
      <c r="BI375" s="88">
        <v>0</v>
      </c>
      <c r="BJ375" s="88">
        <v>0</v>
      </c>
      <c r="BK375" s="88">
        <v>0</v>
      </c>
      <c r="BL375" s="88">
        <v>0</v>
      </c>
      <c r="BM375" s="88">
        <v>260</v>
      </c>
      <c r="BN375" s="88">
        <v>0</v>
      </c>
      <c r="BO375" s="88">
        <v>0</v>
      </c>
      <c r="BP375" s="88">
        <v>0</v>
      </c>
      <c r="BQ375" s="88">
        <v>0</v>
      </c>
      <c r="BR375" s="88">
        <v>0</v>
      </c>
      <c r="BS375" s="88">
        <v>200</v>
      </c>
      <c r="BT375" s="88">
        <v>0</v>
      </c>
      <c r="BU375" s="88">
        <v>0</v>
      </c>
      <c r="BV375" s="88">
        <v>0</v>
      </c>
      <c r="BW375" s="88"/>
      <c r="BX375" s="88"/>
      <c r="BY375" s="88"/>
      <c r="BZ375" s="88">
        <v>0</v>
      </c>
      <c r="CA375" s="88">
        <v>0</v>
      </c>
      <c r="CB375" s="88">
        <v>219</v>
      </c>
      <c r="CC375" s="88"/>
      <c r="CD375" s="88"/>
      <c r="CE375" s="88"/>
      <c r="CF375" s="88">
        <v>0</v>
      </c>
      <c r="CG375" s="88">
        <v>0</v>
      </c>
      <c r="CH375" s="88">
        <v>1</v>
      </c>
      <c r="CI375" s="88">
        <v>0</v>
      </c>
      <c r="CJ375" s="88">
        <v>0</v>
      </c>
      <c r="CK375" s="88">
        <v>22</v>
      </c>
      <c r="CL375" s="88">
        <v>0</v>
      </c>
      <c r="CM375" s="88">
        <v>0</v>
      </c>
      <c r="CN375" s="88">
        <v>0</v>
      </c>
      <c r="CO375" s="88">
        <v>0</v>
      </c>
      <c r="CP375" s="88">
        <v>0</v>
      </c>
      <c r="CQ375" s="88">
        <v>2</v>
      </c>
      <c r="CR375" s="88">
        <v>0</v>
      </c>
      <c r="CS375" s="88">
        <v>0</v>
      </c>
      <c r="CT375" s="88">
        <v>0</v>
      </c>
      <c r="CU375" s="88">
        <v>0</v>
      </c>
      <c r="CV375" s="88">
        <v>0</v>
      </c>
      <c r="CW375" s="88">
        <v>333</v>
      </c>
      <c r="CX375" s="88">
        <v>0</v>
      </c>
      <c r="CY375" s="88">
        <v>0</v>
      </c>
      <c r="CZ375" s="88">
        <v>0</v>
      </c>
      <c r="DA375" s="88">
        <v>0</v>
      </c>
      <c r="DB375" s="88">
        <v>0</v>
      </c>
      <c r="DC375" s="88">
        <v>0</v>
      </c>
      <c r="DD375" s="88">
        <v>0</v>
      </c>
      <c r="DE375" s="88">
        <v>0</v>
      </c>
      <c r="DF375" s="88">
        <v>0</v>
      </c>
      <c r="DG375" s="88">
        <v>0</v>
      </c>
      <c r="DH375" s="88">
        <v>0</v>
      </c>
      <c r="DI375" s="88">
        <v>1</v>
      </c>
      <c r="DJ375" s="88">
        <v>0</v>
      </c>
      <c r="DK375" s="88">
        <v>0</v>
      </c>
      <c r="DL375" s="88">
        <v>0</v>
      </c>
      <c r="DM375" s="88">
        <v>0</v>
      </c>
      <c r="DN375" s="88">
        <v>0</v>
      </c>
      <c r="DO375" s="88">
        <v>0</v>
      </c>
      <c r="DP375" s="88">
        <v>0</v>
      </c>
      <c r="DQ375" s="88">
        <v>0</v>
      </c>
      <c r="DR375" s="113">
        <v>0</v>
      </c>
      <c r="DS375" s="87">
        <v>0</v>
      </c>
      <c r="DT375" s="87">
        <v>0</v>
      </c>
      <c r="DU375" s="87">
        <v>68</v>
      </c>
      <c r="DV375" s="87">
        <v>0</v>
      </c>
      <c r="DW375" s="87">
        <v>0</v>
      </c>
      <c r="DX375" s="87">
        <v>0</v>
      </c>
      <c r="DY375" s="88">
        <v>0</v>
      </c>
      <c r="DZ375" s="88">
        <v>0</v>
      </c>
      <c r="EA375" s="88">
        <v>1357</v>
      </c>
      <c r="EB375" s="88">
        <v>0</v>
      </c>
      <c r="EC375" s="88">
        <v>0</v>
      </c>
      <c r="ED375" s="88">
        <v>0</v>
      </c>
      <c r="EE375" s="88">
        <v>0</v>
      </c>
      <c r="EF375" s="88">
        <v>0</v>
      </c>
      <c r="EG375" s="88">
        <v>829</v>
      </c>
      <c r="EH375" s="88">
        <v>0</v>
      </c>
      <c r="EI375" s="88">
        <v>0</v>
      </c>
      <c r="EJ375" s="88">
        <v>0</v>
      </c>
      <c r="EK375" s="88">
        <v>0</v>
      </c>
      <c r="EL375" s="88">
        <v>0</v>
      </c>
      <c r="EM375" s="88">
        <v>1051</v>
      </c>
      <c r="EN375" s="88">
        <v>0</v>
      </c>
      <c r="EO375" s="88">
        <v>0</v>
      </c>
      <c r="EP375" s="88">
        <v>1</v>
      </c>
      <c r="EQ375" s="88">
        <v>0</v>
      </c>
      <c r="ER375" s="88">
        <v>0</v>
      </c>
      <c r="ES375" s="88">
        <v>22</v>
      </c>
      <c r="ET375" s="88">
        <v>0</v>
      </c>
      <c r="EU375" s="88">
        <v>0</v>
      </c>
      <c r="EV375" s="88">
        <v>2</v>
      </c>
      <c r="EW375" s="88">
        <v>0</v>
      </c>
      <c r="EX375" s="88">
        <v>0</v>
      </c>
      <c r="EY375" s="88">
        <v>7</v>
      </c>
      <c r="EZ375" s="88">
        <v>0</v>
      </c>
      <c r="FA375" s="88">
        <v>0</v>
      </c>
      <c r="FB375" s="88">
        <v>0</v>
      </c>
      <c r="FC375" s="88">
        <v>0</v>
      </c>
      <c r="FD375" s="88">
        <v>0</v>
      </c>
      <c r="FE375" s="88">
        <v>4</v>
      </c>
      <c r="FF375" s="88">
        <v>0</v>
      </c>
      <c r="FG375" s="88">
        <v>0</v>
      </c>
      <c r="FH375" s="88">
        <v>0</v>
      </c>
      <c r="FI375" s="88">
        <v>0</v>
      </c>
      <c r="FJ375" s="88">
        <v>0</v>
      </c>
      <c r="FK375" s="32">
        <v>58</v>
      </c>
      <c r="FL375" s="88">
        <v>0</v>
      </c>
      <c r="FM375" s="88">
        <v>0</v>
      </c>
      <c r="FN375" s="88">
        <v>3015</v>
      </c>
      <c r="FO375" s="88">
        <v>0</v>
      </c>
      <c r="FP375" s="88">
        <v>0</v>
      </c>
      <c r="FQ375" s="88">
        <v>250</v>
      </c>
      <c r="FR375" s="88">
        <v>0</v>
      </c>
      <c r="FS375" s="88">
        <v>0</v>
      </c>
      <c r="FT375" s="88">
        <v>0</v>
      </c>
      <c r="FU375" s="88">
        <v>0</v>
      </c>
      <c r="FV375" s="88">
        <v>0</v>
      </c>
      <c r="FW375" s="88">
        <v>158</v>
      </c>
      <c r="FX375" s="32">
        <v>0</v>
      </c>
      <c r="FY375" s="32">
        <v>0</v>
      </c>
      <c r="FZ375" s="32">
        <v>244</v>
      </c>
    </row>
    <row r="376" spans="1:182" s="22" customFormat="1" x14ac:dyDescent="0.2">
      <c r="A376" s="41">
        <v>43009</v>
      </c>
      <c r="B376" s="100">
        <f t="shared" si="26"/>
        <v>86849789.98999998</v>
      </c>
      <c r="C376" s="42">
        <v>127415.89000000001</v>
      </c>
      <c r="D376" s="42">
        <v>313311.24000000005</v>
      </c>
      <c r="E376" s="43">
        <f t="shared" si="20"/>
        <v>440727.13000000006</v>
      </c>
      <c r="F376" s="42">
        <v>6208381.1800000006</v>
      </c>
      <c r="G376" s="42">
        <v>2796573.6299999994</v>
      </c>
      <c r="H376" s="32">
        <f t="shared" si="19"/>
        <v>9004954.8100000005</v>
      </c>
      <c r="I376" s="42" t="s">
        <v>75</v>
      </c>
      <c r="J376" s="42" t="s">
        <v>75</v>
      </c>
      <c r="K376" s="32">
        <v>20555376.699999999</v>
      </c>
      <c r="L376" s="42" t="s">
        <v>75</v>
      </c>
      <c r="M376" s="42" t="s">
        <v>75</v>
      </c>
      <c r="N376" s="82">
        <v>25443239.100000001</v>
      </c>
      <c r="O376" s="42" t="s">
        <v>75</v>
      </c>
      <c r="P376" s="42" t="s">
        <v>75</v>
      </c>
      <c r="Q376" s="82">
        <v>30897862.240000006</v>
      </c>
      <c r="R376" s="42" t="s">
        <v>75</v>
      </c>
      <c r="S376" s="42" t="s">
        <v>75</v>
      </c>
      <c r="T376" s="42">
        <v>157828.16000000003</v>
      </c>
      <c r="U376" s="42">
        <v>4187.8</v>
      </c>
      <c r="V376" s="42">
        <v>5763.6900000000005</v>
      </c>
      <c r="W376" s="42">
        <f t="shared" si="21"/>
        <v>9951.4900000000016</v>
      </c>
      <c r="X376" s="42">
        <v>54077.45</v>
      </c>
      <c r="Y376" s="42">
        <v>1691.6</v>
      </c>
      <c r="Z376" s="32">
        <f t="shared" si="22"/>
        <v>55769.049999999996</v>
      </c>
      <c r="AA376" s="42">
        <v>73965.69</v>
      </c>
      <c r="AB376" s="42">
        <v>28288.779999999995</v>
      </c>
      <c r="AC376" s="32">
        <f t="shared" si="23"/>
        <v>102254.47</v>
      </c>
      <c r="AD376" s="42">
        <v>9046.0499999999993</v>
      </c>
      <c r="AE376" s="42">
        <v>21322.61</v>
      </c>
      <c r="AF376" s="32">
        <f t="shared" si="24"/>
        <v>30368.66</v>
      </c>
      <c r="AG376" s="42">
        <v>19370.189999999999</v>
      </c>
      <c r="AH376" s="42">
        <v>65621.689999999973</v>
      </c>
      <c r="AI376" s="32">
        <f t="shared" si="25"/>
        <v>84991.879999999976</v>
      </c>
      <c r="AJ376" s="42" t="s">
        <v>75</v>
      </c>
      <c r="AK376" s="42" t="s">
        <v>75</v>
      </c>
      <c r="AL376" s="42">
        <v>66466.3</v>
      </c>
      <c r="AM376" s="42"/>
      <c r="AN376" s="42"/>
      <c r="AO376" s="42"/>
      <c r="AP376" s="42"/>
      <c r="AQ376" s="42"/>
      <c r="AR376" s="42"/>
      <c r="AS376" s="42" t="s">
        <v>75</v>
      </c>
      <c r="AT376" s="42" t="s">
        <v>75</v>
      </c>
      <c r="AU376" s="42">
        <v>1457077.1400000001</v>
      </c>
      <c r="AV376" s="42" t="s">
        <v>75</v>
      </c>
      <c r="AW376" s="42" t="s">
        <v>75</v>
      </c>
      <c r="AX376" s="42">
        <v>41982.71</v>
      </c>
      <c r="AY376" s="42">
        <v>8009779.9000000004</v>
      </c>
      <c r="AZ376" s="42">
        <v>1420940</v>
      </c>
      <c r="BA376" s="43">
        <f t="shared" si="16"/>
        <v>9430719.9000000004</v>
      </c>
      <c r="BB376" s="42" t="s">
        <v>75</v>
      </c>
      <c r="BC376" s="42" t="s">
        <v>75</v>
      </c>
      <c r="BD376" s="42">
        <v>1658371.5333333332</v>
      </c>
      <c r="BE376" s="88">
        <v>0</v>
      </c>
      <c r="BF376" s="88">
        <v>0</v>
      </c>
      <c r="BG376" s="88">
        <v>66</v>
      </c>
      <c r="BH376" s="88">
        <v>0</v>
      </c>
      <c r="BI376" s="88">
        <v>0</v>
      </c>
      <c r="BJ376" s="88">
        <v>0</v>
      </c>
      <c r="BK376" s="88">
        <v>0</v>
      </c>
      <c r="BL376" s="88">
        <v>0</v>
      </c>
      <c r="BM376" s="88">
        <v>237</v>
      </c>
      <c r="BN376" s="88">
        <v>0</v>
      </c>
      <c r="BO376" s="88">
        <v>0</v>
      </c>
      <c r="BP376" s="88">
        <v>0</v>
      </c>
      <c r="BQ376" s="88">
        <v>0</v>
      </c>
      <c r="BR376" s="88">
        <v>0</v>
      </c>
      <c r="BS376" s="88">
        <v>179</v>
      </c>
      <c r="BT376" s="88">
        <v>0</v>
      </c>
      <c r="BU376" s="88">
        <v>0</v>
      </c>
      <c r="BV376" s="88">
        <v>0</v>
      </c>
      <c r="BW376" s="88"/>
      <c r="BX376" s="88"/>
      <c r="BY376" s="88"/>
      <c r="BZ376" s="88">
        <v>0</v>
      </c>
      <c r="CA376" s="88">
        <v>0</v>
      </c>
      <c r="CB376" s="88">
        <v>208</v>
      </c>
      <c r="CC376" s="88"/>
      <c r="CD376" s="88"/>
      <c r="CE376" s="88"/>
      <c r="CF376" s="88">
        <v>0</v>
      </c>
      <c r="CG376" s="88">
        <v>0</v>
      </c>
      <c r="CH376" s="88">
        <v>0</v>
      </c>
      <c r="CI376" s="88">
        <v>0</v>
      </c>
      <c r="CJ376" s="88">
        <v>0</v>
      </c>
      <c r="CK376" s="88">
        <v>21</v>
      </c>
      <c r="CL376" s="88">
        <v>0</v>
      </c>
      <c r="CM376" s="88">
        <v>0</v>
      </c>
      <c r="CN376" s="88">
        <v>0</v>
      </c>
      <c r="CO376" s="88">
        <v>0</v>
      </c>
      <c r="CP376" s="88">
        <v>0</v>
      </c>
      <c r="CQ376" s="88">
        <v>8</v>
      </c>
      <c r="CR376" s="88">
        <v>0</v>
      </c>
      <c r="CS376" s="88">
        <v>0</v>
      </c>
      <c r="CT376" s="88">
        <v>0</v>
      </c>
      <c r="CU376" s="88">
        <v>0</v>
      </c>
      <c r="CV376" s="88">
        <v>0</v>
      </c>
      <c r="CW376" s="88">
        <v>260</v>
      </c>
      <c r="CX376" s="88">
        <v>0</v>
      </c>
      <c r="CY376" s="88">
        <v>0</v>
      </c>
      <c r="CZ376" s="88">
        <v>0</v>
      </c>
      <c r="DA376" s="88">
        <v>0</v>
      </c>
      <c r="DB376" s="88">
        <v>0</v>
      </c>
      <c r="DC376" s="88">
        <v>0</v>
      </c>
      <c r="DD376" s="88">
        <v>0</v>
      </c>
      <c r="DE376" s="88">
        <v>0</v>
      </c>
      <c r="DF376" s="88">
        <v>0</v>
      </c>
      <c r="DG376" s="88">
        <v>0</v>
      </c>
      <c r="DH376" s="88">
        <v>0</v>
      </c>
      <c r="DI376" s="88">
        <v>3</v>
      </c>
      <c r="DJ376" s="88">
        <v>0</v>
      </c>
      <c r="DK376" s="88">
        <v>0</v>
      </c>
      <c r="DL376" s="88">
        <v>0</v>
      </c>
      <c r="DM376" s="88">
        <v>0</v>
      </c>
      <c r="DN376" s="88">
        <v>0</v>
      </c>
      <c r="DO376" s="88">
        <v>0</v>
      </c>
      <c r="DP376" s="88">
        <v>0</v>
      </c>
      <c r="DQ376" s="88">
        <v>0</v>
      </c>
      <c r="DR376" s="113">
        <v>0</v>
      </c>
      <c r="DS376" s="87">
        <v>0</v>
      </c>
      <c r="DT376" s="87">
        <v>0</v>
      </c>
      <c r="DU376" s="87">
        <v>230</v>
      </c>
      <c r="DV376" s="87">
        <v>0</v>
      </c>
      <c r="DW376" s="87">
        <v>0</v>
      </c>
      <c r="DX376" s="87">
        <v>0</v>
      </c>
      <c r="DY376" s="88">
        <v>0</v>
      </c>
      <c r="DZ376" s="88">
        <v>0</v>
      </c>
      <c r="EA376" s="88">
        <v>1309</v>
      </c>
      <c r="EB376" s="88">
        <v>0</v>
      </c>
      <c r="EC376" s="88">
        <v>0</v>
      </c>
      <c r="ED376" s="88">
        <v>0</v>
      </c>
      <c r="EE376" s="88">
        <v>0</v>
      </c>
      <c r="EF376" s="88">
        <v>0</v>
      </c>
      <c r="EG376" s="88">
        <v>885</v>
      </c>
      <c r="EH376" s="88">
        <v>0</v>
      </c>
      <c r="EI376" s="88">
        <v>0</v>
      </c>
      <c r="EJ376" s="88">
        <v>0</v>
      </c>
      <c r="EK376" s="88">
        <v>0</v>
      </c>
      <c r="EL376" s="88">
        <v>0</v>
      </c>
      <c r="EM376" s="88">
        <v>1112</v>
      </c>
      <c r="EN376" s="88">
        <v>0</v>
      </c>
      <c r="EO376" s="88">
        <v>0</v>
      </c>
      <c r="EP376" s="88">
        <v>1</v>
      </c>
      <c r="EQ376" s="88">
        <v>0</v>
      </c>
      <c r="ER376" s="88">
        <v>0</v>
      </c>
      <c r="ES376" s="88">
        <v>31</v>
      </c>
      <c r="ET376" s="88">
        <v>0</v>
      </c>
      <c r="EU376" s="88">
        <v>0</v>
      </c>
      <c r="EV376" s="88">
        <v>3</v>
      </c>
      <c r="EW376" s="88">
        <v>0</v>
      </c>
      <c r="EX376" s="88">
        <v>0</v>
      </c>
      <c r="EY376" s="88">
        <v>11</v>
      </c>
      <c r="EZ376" s="88">
        <v>0</v>
      </c>
      <c r="FA376" s="88">
        <v>0</v>
      </c>
      <c r="FB376" s="88">
        <v>0</v>
      </c>
      <c r="FC376" s="88">
        <v>0</v>
      </c>
      <c r="FD376" s="88">
        <v>0</v>
      </c>
      <c r="FE376" s="88">
        <v>6</v>
      </c>
      <c r="FF376" s="88">
        <v>0</v>
      </c>
      <c r="FG376" s="88">
        <v>0</v>
      </c>
      <c r="FH376" s="88">
        <v>0</v>
      </c>
      <c r="FI376" s="88">
        <v>0</v>
      </c>
      <c r="FJ376" s="88">
        <v>0</v>
      </c>
      <c r="FK376" s="32">
        <v>58</v>
      </c>
      <c r="FL376" s="88">
        <v>0</v>
      </c>
      <c r="FM376" s="88">
        <v>0</v>
      </c>
      <c r="FN376" s="88">
        <v>4753</v>
      </c>
      <c r="FO376" s="88">
        <v>0</v>
      </c>
      <c r="FP376" s="88">
        <v>0</v>
      </c>
      <c r="FQ376" s="88">
        <v>426</v>
      </c>
      <c r="FR376" s="88">
        <v>0</v>
      </c>
      <c r="FS376" s="88">
        <v>0</v>
      </c>
      <c r="FT376" s="88">
        <v>0</v>
      </c>
      <c r="FU376" s="88">
        <v>0</v>
      </c>
      <c r="FV376" s="88">
        <v>0</v>
      </c>
      <c r="FW376" s="88">
        <v>131</v>
      </c>
      <c r="FX376" s="32">
        <v>0</v>
      </c>
      <c r="FY376" s="32">
        <v>0</v>
      </c>
      <c r="FZ376" s="32">
        <v>293</v>
      </c>
    </row>
    <row r="377" spans="1:182" s="22" customFormat="1" x14ac:dyDescent="0.2">
      <c r="A377" s="41">
        <v>43040</v>
      </c>
      <c r="B377" s="100">
        <f t="shared" si="26"/>
        <v>100419979.95000002</v>
      </c>
      <c r="C377" s="42">
        <v>162893.6</v>
      </c>
      <c r="D377" s="42">
        <v>477524.99000000005</v>
      </c>
      <c r="E377" s="43">
        <f t="shared" si="20"/>
        <v>640418.59000000008</v>
      </c>
      <c r="F377" s="42">
        <v>11166927.650000004</v>
      </c>
      <c r="G377" s="42">
        <v>4084468.95</v>
      </c>
      <c r="H377" s="32">
        <f t="shared" si="19"/>
        <v>15251396.600000005</v>
      </c>
      <c r="I377" s="42" t="s">
        <v>75</v>
      </c>
      <c r="J377" s="42" t="s">
        <v>75</v>
      </c>
      <c r="K377" s="32">
        <v>21749595.41</v>
      </c>
      <c r="L377" s="42" t="s">
        <v>75</v>
      </c>
      <c r="M377" s="42" t="s">
        <v>75</v>
      </c>
      <c r="N377" s="82">
        <v>29569265.050000001</v>
      </c>
      <c r="O377" s="42" t="s">
        <v>75</v>
      </c>
      <c r="P377" s="42" t="s">
        <v>75</v>
      </c>
      <c r="Q377" s="82">
        <v>32602618.640000004</v>
      </c>
      <c r="R377" s="42" t="s">
        <v>75</v>
      </c>
      <c r="S377" s="42" t="s">
        <v>75</v>
      </c>
      <c r="T377" s="42">
        <v>157919.84</v>
      </c>
      <c r="U377" s="42">
        <v>15385.109999999999</v>
      </c>
      <c r="V377" s="42">
        <v>11584.95</v>
      </c>
      <c r="W377" s="42">
        <f t="shared" si="21"/>
        <v>26970.059999999998</v>
      </c>
      <c r="X377" s="42">
        <v>75323.69</v>
      </c>
      <c r="Y377" s="42">
        <v>2033.0500000000002</v>
      </c>
      <c r="Z377" s="32">
        <f t="shared" si="22"/>
        <v>77356.740000000005</v>
      </c>
      <c r="AA377" s="42">
        <v>67545.930000000008</v>
      </c>
      <c r="AB377" s="42">
        <v>39747.86</v>
      </c>
      <c r="AC377" s="32">
        <f t="shared" si="23"/>
        <v>107293.79000000001</v>
      </c>
      <c r="AD377" s="42">
        <v>10858.619999999999</v>
      </c>
      <c r="AE377" s="42">
        <v>55514.329999999994</v>
      </c>
      <c r="AF377" s="32">
        <f t="shared" si="24"/>
        <v>66372.95</v>
      </c>
      <c r="AG377" s="42">
        <v>20559.64</v>
      </c>
      <c r="AH377" s="42">
        <v>84961.739999999976</v>
      </c>
      <c r="AI377" s="32">
        <f t="shared" si="25"/>
        <v>105521.37999999998</v>
      </c>
      <c r="AJ377" s="42" t="s">
        <v>75</v>
      </c>
      <c r="AK377" s="42" t="s">
        <v>75</v>
      </c>
      <c r="AL377" s="42">
        <v>65250.899999999994</v>
      </c>
      <c r="AM377" s="42"/>
      <c r="AN377" s="42"/>
      <c r="AO377" s="42"/>
      <c r="AP377" s="42"/>
      <c r="AQ377" s="42"/>
      <c r="AR377" s="42"/>
      <c r="AS377" s="42" t="s">
        <v>75</v>
      </c>
      <c r="AT377" s="42" t="s">
        <v>75</v>
      </c>
      <c r="AU377" s="42">
        <v>1671948.67</v>
      </c>
      <c r="AV377" s="42" t="s">
        <v>75</v>
      </c>
      <c r="AW377" s="42" t="s">
        <v>75</v>
      </c>
      <c r="AX377" s="42">
        <v>41451.93</v>
      </c>
      <c r="AY377" s="42">
        <v>8198150.5999999996</v>
      </c>
      <c r="AZ377" s="42">
        <v>2595330</v>
      </c>
      <c r="BA377" s="43">
        <f t="shared" si="16"/>
        <v>10793480.6</v>
      </c>
      <c r="BB377" s="42" t="s">
        <v>75</v>
      </c>
      <c r="BC377" s="42" t="s">
        <v>75</v>
      </c>
      <c r="BD377" s="42">
        <v>1647373.9111111111</v>
      </c>
      <c r="BE377" s="88">
        <v>0</v>
      </c>
      <c r="BF377" s="88">
        <v>0</v>
      </c>
      <c r="BG377" s="88">
        <v>55</v>
      </c>
      <c r="BH377" s="88">
        <v>0</v>
      </c>
      <c r="BI377" s="88">
        <v>0</v>
      </c>
      <c r="BJ377" s="88">
        <v>0</v>
      </c>
      <c r="BK377" s="88">
        <v>0</v>
      </c>
      <c r="BL377" s="88">
        <v>0</v>
      </c>
      <c r="BM377" s="88">
        <v>255</v>
      </c>
      <c r="BN377" s="88">
        <v>0</v>
      </c>
      <c r="BO377" s="88">
        <v>0</v>
      </c>
      <c r="BP377" s="88">
        <v>0</v>
      </c>
      <c r="BQ377" s="88">
        <v>0</v>
      </c>
      <c r="BR377" s="88">
        <v>0</v>
      </c>
      <c r="BS377" s="88">
        <v>199</v>
      </c>
      <c r="BT377" s="88">
        <v>0</v>
      </c>
      <c r="BU377" s="88">
        <v>0</v>
      </c>
      <c r="BV377" s="88">
        <v>0</v>
      </c>
      <c r="BW377" s="88"/>
      <c r="BX377" s="88"/>
      <c r="BY377" s="88"/>
      <c r="BZ377" s="88">
        <v>0</v>
      </c>
      <c r="CA377" s="88">
        <v>0</v>
      </c>
      <c r="CB377" s="88">
        <v>244</v>
      </c>
      <c r="CC377" s="88"/>
      <c r="CD377" s="88"/>
      <c r="CE377" s="88"/>
      <c r="CF377" s="88">
        <v>0</v>
      </c>
      <c r="CG377" s="88">
        <v>0</v>
      </c>
      <c r="CH377" s="88">
        <v>2</v>
      </c>
      <c r="CI377" s="88">
        <v>0</v>
      </c>
      <c r="CJ377" s="88">
        <v>0</v>
      </c>
      <c r="CK377" s="88">
        <v>26</v>
      </c>
      <c r="CL377" s="88">
        <v>0</v>
      </c>
      <c r="CM377" s="88">
        <v>0</v>
      </c>
      <c r="CN377" s="88">
        <v>0</v>
      </c>
      <c r="CO377" s="88">
        <v>0</v>
      </c>
      <c r="CP377" s="88">
        <v>0</v>
      </c>
      <c r="CQ377" s="88">
        <v>3</v>
      </c>
      <c r="CR377" s="88">
        <v>0</v>
      </c>
      <c r="CS377" s="88">
        <v>0</v>
      </c>
      <c r="CT377" s="88">
        <v>0</v>
      </c>
      <c r="CU377" s="88">
        <v>0</v>
      </c>
      <c r="CV377" s="88">
        <v>0</v>
      </c>
      <c r="CW377" s="88">
        <v>308</v>
      </c>
      <c r="CX377" s="88">
        <v>0</v>
      </c>
      <c r="CY377" s="88">
        <v>0</v>
      </c>
      <c r="CZ377" s="88">
        <v>0</v>
      </c>
      <c r="DA377" s="88">
        <v>0</v>
      </c>
      <c r="DB377" s="88">
        <v>0</v>
      </c>
      <c r="DC377" s="88">
        <v>0</v>
      </c>
      <c r="DD377" s="88">
        <v>0</v>
      </c>
      <c r="DE377" s="88">
        <v>0</v>
      </c>
      <c r="DF377" s="88">
        <v>0</v>
      </c>
      <c r="DG377" s="88">
        <v>0</v>
      </c>
      <c r="DH377" s="88">
        <v>0</v>
      </c>
      <c r="DI377" s="88">
        <v>0</v>
      </c>
      <c r="DJ377" s="88">
        <v>0</v>
      </c>
      <c r="DK377" s="88">
        <v>0</v>
      </c>
      <c r="DL377" s="88">
        <v>0</v>
      </c>
      <c r="DM377" s="88">
        <v>0</v>
      </c>
      <c r="DN377" s="88">
        <v>0</v>
      </c>
      <c r="DO377" s="88">
        <v>0</v>
      </c>
      <c r="DP377" s="88">
        <v>0</v>
      </c>
      <c r="DQ377" s="88">
        <v>0</v>
      </c>
      <c r="DR377" s="113">
        <v>0</v>
      </c>
      <c r="DS377" s="87">
        <v>0</v>
      </c>
      <c r="DT377" s="87">
        <v>0</v>
      </c>
      <c r="DU377" s="87">
        <v>449</v>
      </c>
      <c r="DV377" s="87">
        <v>0</v>
      </c>
      <c r="DW377" s="87">
        <v>0</v>
      </c>
      <c r="DX377" s="87">
        <v>0</v>
      </c>
      <c r="DY377" s="88">
        <v>0</v>
      </c>
      <c r="DZ377" s="88">
        <v>0</v>
      </c>
      <c r="EA377" s="88">
        <v>1161</v>
      </c>
      <c r="EB377" s="88">
        <v>0</v>
      </c>
      <c r="EC377" s="88">
        <v>0</v>
      </c>
      <c r="ED377" s="88">
        <v>0</v>
      </c>
      <c r="EE377" s="88">
        <v>0</v>
      </c>
      <c r="EF377" s="88">
        <v>0</v>
      </c>
      <c r="EG377" s="88">
        <v>925</v>
      </c>
      <c r="EH377" s="88">
        <v>0</v>
      </c>
      <c r="EI377" s="88">
        <v>0</v>
      </c>
      <c r="EJ377" s="88">
        <v>0</v>
      </c>
      <c r="EK377" s="88">
        <v>0</v>
      </c>
      <c r="EL377" s="88">
        <v>0</v>
      </c>
      <c r="EM377" s="88">
        <v>1217</v>
      </c>
      <c r="EN377" s="88">
        <v>0</v>
      </c>
      <c r="EO377" s="88">
        <v>0</v>
      </c>
      <c r="EP377" s="88">
        <v>2</v>
      </c>
      <c r="EQ377" s="88">
        <v>0</v>
      </c>
      <c r="ER377" s="88">
        <v>0</v>
      </c>
      <c r="ES377" s="88">
        <v>15</v>
      </c>
      <c r="ET377" s="88">
        <v>0</v>
      </c>
      <c r="EU377" s="88">
        <v>0</v>
      </c>
      <c r="EV377" s="88">
        <v>7</v>
      </c>
      <c r="EW377" s="88">
        <v>0</v>
      </c>
      <c r="EX377" s="88">
        <v>0</v>
      </c>
      <c r="EY377" s="88">
        <v>3</v>
      </c>
      <c r="EZ377" s="88">
        <v>0</v>
      </c>
      <c r="FA377" s="88">
        <v>0</v>
      </c>
      <c r="FB377" s="88">
        <v>0</v>
      </c>
      <c r="FC377" s="88">
        <v>0</v>
      </c>
      <c r="FD377" s="88">
        <v>0</v>
      </c>
      <c r="FE377" s="88">
        <v>3</v>
      </c>
      <c r="FF377" s="88">
        <v>0</v>
      </c>
      <c r="FG377" s="88">
        <v>0</v>
      </c>
      <c r="FH377" s="88">
        <v>0</v>
      </c>
      <c r="FI377" s="88">
        <v>0</v>
      </c>
      <c r="FJ377" s="88">
        <v>0</v>
      </c>
      <c r="FK377" s="32">
        <v>122</v>
      </c>
      <c r="FL377" s="88">
        <v>0</v>
      </c>
      <c r="FM377" s="88">
        <v>0</v>
      </c>
      <c r="FN377" s="88">
        <v>3061</v>
      </c>
      <c r="FO377" s="88">
        <v>0</v>
      </c>
      <c r="FP377" s="88">
        <v>0</v>
      </c>
      <c r="FQ377" s="88">
        <v>429</v>
      </c>
      <c r="FR377" s="88">
        <v>0</v>
      </c>
      <c r="FS377" s="88">
        <v>0</v>
      </c>
      <c r="FT377" s="88">
        <v>0</v>
      </c>
      <c r="FU377" s="88">
        <v>0</v>
      </c>
      <c r="FV377" s="88">
        <v>0</v>
      </c>
      <c r="FW377" s="88">
        <v>206</v>
      </c>
      <c r="FX377" s="32">
        <v>0</v>
      </c>
      <c r="FY377" s="32">
        <v>0</v>
      </c>
      <c r="FZ377" s="32">
        <v>858</v>
      </c>
    </row>
    <row r="378" spans="1:182" s="97" customFormat="1" x14ac:dyDescent="0.2">
      <c r="A378" s="92">
        <v>43070</v>
      </c>
      <c r="B378" s="93">
        <f t="shared" si="26"/>
        <v>116552881.77</v>
      </c>
      <c r="C378" s="94">
        <v>215448.33000000002</v>
      </c>
      <c r="D378" s="94">
        <v>415715.06</v>
      </c>
      <c r="E378" s="93">
        <f t="shared" si="20"/>
        <v>631163.39</v>
      </c>
      <c r="F378" s="94">
        <v>13092819.92</v>
      </c>
      <c r="G378" s="94">
        <v>5147188.0199999986</v>
      </c>
      <c r="H378" s="95">
        <f t="shared" si="19"/>
        <v>18240007.939999998</v>
      </c>
      <c r="I378" s="94" t="s">
        <v>75</v>
      </c>
      <c r="J378" s="94" t="s">
        <v>75</v>
      </c>
      <c r="K378" s="95">
        <v>23473200.539999999</v>
      </c>
      <c r="L378" s="94" t="s">
        <v>75</v>
      </c>
      <c r="M378" s="94" t="s">
        <v>75</v>
      </c>
      <c r="N378" s="96">
        <v>37740271.710000001</v>
      </c>
      <c r="O378" s="94" t="s">
        <v>75</v>
      </c>
      <c r="P378" s="94" t="s">
        <v>75</v>
      </c>
      <c r="Q378" s="96">
        <v>35750481.650000006</v>
      </c>
      <c r="R378" s="94" t="s">
        <v>75</v>
      </c>
      <c r="S378" s="94" t="s">
        <v>75</v>
      </c>
      <c r="T378" s="94">
        <v>124654.70000000001</v>
      </c>
      <c r="U378" s="94">
        <v>30250.22</v>
      </c>
      <c r="V378" s="94">
        <v>21348.95</v>
      </c>
      <c r="W378" s="94">
        <f t="shared" si="21"/>
        <v>51599.17</v>
      </c>
      <c r="X378" s="94">
        <v>76970.84</v>
      </c>
      <c r="Y378" s="94">
        <v>3985.4</v>
      </c>
      <c r="Z378" s="95">
        <f t="shared" si="22"/>
        <v>80956.239999999991</v>
      </c>
      <c r="AA378" s="94">
        <v>59977.9</v>
      </c>
      <c r="AB378" s="94">
        <v>60644.81</v>
      </c>
      <c r="AC378" s="95">
        <f t="shared" si="23"/>
        <v>120622.70999999999</v>
      </c>
      <c r="AD378" s="94">
        <v>16872.52</v>
      </c>
      <c r="AE378" s="94">
        <v>93897.74</v>
      </c>
      <c r="AF378" s="95">
        <f t="shared" si="24"/>
        <v>110770.26000000001</v>
      </c>
      <c r="AG378" s="94">
        <v>17404.099999999999</v>
      </c>
      <c r="AH378" s="94">
        <v>114148.10999999997</v>
      </c>
      <c r="AI378" s="95">
        <f t="shared" si="25"/>
        <v>131552.20999999996</v>
      </c>
      <c r="AJ378" s="94" t="s">
        <v>75</v>
      </c>
      <c r="AK378" s="94" t="s">
        <v>75</v>
      </c>
      <c r="AL378" s="94">
        <v>97601.25</v>
      </c>
      <c r="AM378" s="94"/>
      <c r="AN378" s="94"/>
      <c r="AO378" s="94"/>
      <c r="AP378" s="94"/>
      <c r="AQ378" s="94"/>
      <c r="AR378" s="94"/>
      <c r="AS378" s="94" t="s">
        <v>75</v>
      </c>
      <c r="AT378" s="94" t="s">
        <v>75</v>
      </c>
      <c r="AU378" s="94">
        <v>1574234.89</v>
      </c>
      <c r="AV378" s="94" t="s">
        <v>75</v>
      </c>
      <c r="AW378" s="94" t="s">
        <v>75</v>
      </c>
      <c r="AX378" s="94">
        <v>33938.639999999999</v>
      </c>
      <c r="AY378" s="94">
        <v>11562032.5</v>
      </c>
      <c r="AZ378" s="94">
        <v>3292221.5</v>
      </c>
      <c r="BA378" s="93">
        <f t="shared" si="16"/>
        <v>14854254</v>
      </c>
      <c r="BB378" s="94" t="s">
        <v>75</v>
      </c>
      <c r="BC378" s="94" t="s">
        <v>75</v>
      </c>
      <c r="BD378" s="94">
        <v>2211718.8444444444</v>
      </c>
      <c r="BE378" s="117">
        <v>0</v>
      </c>
      <c r="BF378" s="117">
        <v>0</v>
      </c>
      <c r="BG378" s="117">
        <v>84</v>
      </c>
      <c r="BH378" s="117">
        <v>0</v>
      </c>
      <c r="BI378" s="117">
        <v>0</v>
      </c>
      <c r="BJ378" s="117">
        <v>0</v>
      </c>
      <c r="BK378" s="117">
        <v>0</v>
      </c>
      <c r="BL378" s="117">
        <v>0</v>
      </c>
      <c r="BM378" s="117">
        <v>433</v>
      </c>
      <c r="BN378" s="117">
        <v>0</v>
      </c>
      <c r="BO378" s="117">
        <v>0</v>
      </c>
      <c r="BP378" s="117">
        <v>0</v>
      </c>
      <c r="BQ378" s="117">
        <v>0</v>
      </c>
      <c r="BR378" s="117">
        <v>0</v>
      </c>
      <c r="BS378" s="117">
        <v>220</v>
      </c>
      <c r="BT378" s="117">
        <v>0</v>
      </c>
      <c r="BU378" s="117">
        <v>0</v>
      </c>
      <c r="BV378" s="117">
        <v>0</v>
      </c>
      <c r="BW378" s="117"/>
      <c r="BX378" s="117"/>
      <c r="BY378" s="117"/>
      <c r="BZ378" s="117">
        <v>0</v>
      </c>
      <c r="CA378" s="117">
        <v>0</v>
      </c>
      <c r="CB378" s="117">
        <v>382</v>
      </c>
      <c r="CC378" s="117"/>
      <c r="CD378" s="117"/>
      <c r="CE378" s="117"/>
      <c r="CF378" s="117">
        <v>0</v>
      </c>
      <c r="CG378" s="117">
        <v>0</v>
      </c>
      <c r="CH378" s="117">
        <v>3</v>
      </c>
      <c r="CI378" s="117">
        <v>0</v>
      </c>
      <c r="CJ378" s="117">
        <v>0</v>
      </c>
      <c r="CK378" s="117">
        <v>24</v>
      </c>
      <c r="CL378" s="117">
        <v>0</v>
      </c>
      <c r="CM378" s="117">
        <v>0</v>
      </c>
      <c r="CN378" s="117">
        <v>0</v>
      </c>
      <c r="CO378" s="117">
        <v>0</v>
      </c>
      <c r="CP378" s="117">
        <v>0</v>
      </c>
      <c r="CQ378" s="117">
        <v>20</v>
      </c>
      <c r="CR378" s="117">
        <v>0</v>
      </c>
      <c r="CS378" s="117">
        <v>0</v>
      </c>
      <c r="CT378" s="117">
        <v>0</v>
      </c>
      <c r="CU378" s="117">
        <v>0</v>
      </c>
      <c r="CV378" s="117">
        <v>0</v>
      </c>
      <c r="CW378" s="117">
        <v>370</v>
      </c>
      <c r="CX378" s="117">
        <v>0</v>
      </c>
      <c r="CY378" s="117">
        <v>0</v>
      </c>
      <c r="CZ378" s="117">
        <v>0</v>
      </c>
      <c r="DA378" s="117">
        <v>0</v>
      </c>
      <c r="DB378" s="117">
        <v>0</v>
      </c>
      <c r="DC378" s="117">
        <v>3</v>
      </c>
      <c r="DD378" s="117">
        <v>0</v>
      </c>
      <c r="DE378" s="117">
        <v>0</v>
      </c>
      <c r="DF378" s="117">
        <v>0</v>
      </c>
      <c r="DG378" s="117">
        <v>0</v>
      </c>
      <c r="DH378" s="117">
        <v>0</v>
      </c>
      <c r="DI378" s="117">
        <v>0</v>
      </c>
      <c r="DJ378" s="117">
        <v>0</v>
      </c>
      <c r="DK378" s="117">
        <v>0</v>
      </c>
      <c r="DL378" s="117">
        <v>0</v>
      </c>
      <c r="DM378" s="117">
        <v>0</v>
      </c>
      <c r="DN378" s="117">
        <v>0</v>
      </c>
      <c r="DO378" s="117">
        <v>0</v>
      </c>
      <c r="DP378" s="117">
        <v>0</v>
      </c>
      <c r="DQ378" s="117">
        <v>0</v>
      </c>
      <c r="DR378" s="117">
        <v>0</v>
      </c>
      <c r="DS378" s="95">
        <v>0</v>
      </c>
      <c r="DT378" s="95">
        <v>0</v>
      </c>
      <c r="DU378" s="95">
        <v>1263</v>
      </c>
      <c r="DV378" s="95">
        <v>0</v>
      </c>
      <c r="DW378" s="95">
        <v>0</v>
      </c>
      <c r="DX378" s="95">
        <v>0</v>
      </c>
      <c r="DY378" s="117">
        <v>0</v>
      </c>
      <c r="DZ378" s="117">
        <v>0</v>
      </c>
      <c r="EA378" s="117">
        <v>1912</v>
      </c>
      <c r="EB378" s="117">
        <v>0</v>
      </c>
      <c r="EC378" s="117">
        <v>0</v>
      </c>
      <c r="ED378" s="117">
        <v>0</v>
      </c>
      <c r="EE378" s="117">
        <v>0</v>
      </c>
      <c r="EF378" s="117">
        <v>0</v>
      </c>
      <c r="EG378" s="117">
        <v>1302</v>
      </c>
      <c r="EH378" s="117">
        <v>0</v>
      </c>
      <c r="EI378" s="117">
        <v>0</v>
      </c>
      <c r="EJ378" s="117">
        <v>0</v>
      </c>
      <c r="EK378" s="117">
        <v>0</v>
      </c>
      <c r="EL378" s="117">
        <v>0</v>
      </c>
      <c r="EM378" s="117">
        <v>1724</v>
      </c>
      <c r="EN378" s="117">
        <v>0</v>
      </c>
      <c r="EO378" s="117">
        <v>0</v>
      </c>
      <c r="EP378" s="117">
        <v>1</v>
      </c>
      <c r="EQ378" s="117">
        <v>0</v>
      </c>
      <c r="ER378" s="117">
        <v>0</v>
      </c>
      <c r="ES378" s="117">
        <v>43</v>
      </c>
      <c r="ET378" s="117">
        <v>0</v>
      </c>
      <c r="EU378" s="117">
        <v>0</v>
      </c>
      <c r="EV378" s="117">
        <v>4</v>
      </c>
      <c r="EW378" s="117">
        <v>0</v>
      </c>
      <c r="EX378" s="117">
        <v>0</v>
      </c>
      <c r="EY378" s="117">
        <v>5</v>
      </c>
      <c r="EZ378" s="117">
        <v>0</v>
      </c>
      <c r="FA378" s="117">
        <v>0</v>
      </c>
      <c r="FB378" s="117">
        <v>0</v>
      </c>
      <c r="FC378" s="117">
        <v>0</v>
      </c>
      <c r="FD378" s="117">
        <v>0</v>
      </c>
      <c r="FE378" s="117">
        <v>2</v>
      </c>
      <c r="FF378" s="117">
        <v>0</v>
      </c>
      <c r="FG378" s="117">
        <v>0</v>
      </c>
      <c r="FH378" s="117">
        <v>0</v>
      </c>
      <c r="FI378" s="117">
        <v>0</v>
      </c>
      <c r="FJ378" s="117">
        <v>0</v>
      </c>
      <c r="FK378" s="95">
        <v>133</v>
      </c>
      <c r="FL378" s="117">
        <v>0</v>
      </c>
      <c r="FM378" s="117">
        <v>0</v>
      </c>
      <c r="FN378" s="117">
        <v>4086</v>
      </c>
      <c r="FO378" s="117">
        <v>0</v>
      </c>
      <c r="FP378" s="117">
        <v>0</v>
      </c>
      <c r="FQ378" s="117">
        <v>481</v>
      </c>
      <c r="FR378" s="117">
        <v>0</v>
      </c>
      <c r="FS378" s="117">
        <v>0</v>
      </c>
      <c r="FT378" s="117">
        <v>0</v>
      </c>
      <c r="FU378" s="117">
        <v>0</v>
      </c>
      <c r="FV378" s="117">
        <v>0</v>
      </c>
      <c r="FW378" s="117">
        <v>184</v>
      </c>
      <c r="FX378" s="95">
        <v>0</v>
      </c>
      <c r="FY378" s="95">
        <v>0</v>
      </c>
      <c r="FZ378" s="95">
        <v>2553</v>
      </c>
    </row>
    <row r="379" spans="1:182" s="22" customFormat="1" x14ac:dyDescent="0.2">
      <c r="A379" s="41">
        <v>43101</v>
      </c>
      <c r="B379" s="100">
        <f t="shared" si="26"/>
        <v>97352665.599999994</v>
      </c>
      <c r="C379" s="42">
        <v>72767.820000000007</v>
      </c>
      <c r="D379" s="42">
        <v>142417.19</v>
      </c>
      <c r="E379" s="43">
        <f t="shared" si="20"/>
        <v>215185.01</v>
      </c>
      <c r="F379" s="42">
        <v>6480575.2999999998</v>
      </c>
      <c r="G379" s="42">
        <v>3237717.1099999985</v>
      </c>
      <c r="H379" s="32">
        <f t="shared" si="19"/>
        <v>9718292.4099999983</v>
      </c>
      <c r="I379" s="42"/>
      <c r="J379" s="42"/>
      <c r="K379" s="98">
        <v>21460679.48</v>
      </c>
      <c r="L379" s="42"/>
      <c r="M379" s="42"/>
      <c r="N379" s="98">
        <v>25805879.150000002</v>
      </c>
      <c r="O379" s="42"/>
      <c r="P379" s="42"/>
      <c r="Q379" s="98">
        <v>39568490.75</v>
      </c>
      <c r="R379" s="42"/>
      <c r="S379" s="42"/>
      <c r="T379" s="42">
        <v>148556.34999999998</v>
      </c>
      <c r="U379" s="42">
        <v>3182.1099999999997</v>
      </c>
      <c r="V379" s="42">
        <v>6880.3</v>
      </c>
      <c r="W379" s="42">
        <f t="shared" si="21"/>
        <v>10062.41</v>
      </c>
      <c r="X379" s="42">
        <v>53042.16</v>
      </c>
      <c r="Y379" s="42">
        <v>10089</v>
      </c>
      <c r="Z379" s="32">
        <f t="shared" si="22"/>
        <v>63131.16</v>
      </c>
      <c r="AA379" s="42">
        <v>62128.280000000006</v>
      </c>
      <c r="AB379" s="42">
        <v>43110.5</v>
      </c>
      <c r="AC379" s="32">
        <f t="shared" si="23"/>
        <v>105238.78</v>
      </c>
      <c r="AD379" s="42">
        <v>7137.08</v>
      </c>
      <c r="AE379" s="42">
        <v>29886.48</v>
      </c>
      <c r="AF379" s="32">
        <f t="shared" si="24"/>
        <v>37023.56</v>
      </c>
      <c r="AG379" s="32">
        <v>26173.970000000005</v>
      </c>
      <c r="AH379" s="32">
        <v>60975.369999999995</v>
      </c>
      <c r="AI379" s="32">
        <f t="shared" si="25"/>
        <v>87149.34</v>
      </c>
      <c r="AJ379" s="42"/>
      <c r="AK379" s="42"/>
      <c r="AL379" s="42">
        <v>132977.20000000001</v>
      </c>
      <c r="AM379" s="42"/>
      <c r="AN379" s="42"/>
      <c r="AO379" s="42"/>
      <c r="AP379" s="42"/>
      <c r="AQ379" s="42"/>
      <c r="AR379" s="42"/>
      <c r="AS379" s="42"/>
      <c r="AT379" s="42"/>
      <c r="AU379" s="42">
        <v>1377827.1400000001</v>
      </c>
      <c r="AV379" s="42"/>
      <c r="AW379" s="42"/>
      <c r="AX379" s="42">
        <v>42508.78</v>
      </c>
      <c r="AY379" s="42">
        <v>6576151.2999999998</v>
      </c>
      <c r="AZ379" s="42">
        <v>178050</v>
      </c>
      <c r="BA379" s="43">
        <f t="shared" ref="BA379:BA442" si="27">+AZ379+AY379</f>
        <v>6754201.2999999998</v>
      </c>
      <c r="BB379" s="42"/>
      <c r="BC379" s="42"/>
      <c r="BD379" s="42">
        <v>893447.53333333333</v>
      </c>
      <c r="BE379" s="88">
        <v>0</v>
      </c>
      <c r="BF379" s="88">
        <v>0</v>
      </c>
      <c r="BG379" s="88">
        <v>42</v>
      </c>
      <c r="BH379" s="88">
        <v>0</v>
      </c>
      <c r="BI379" s="88">
        <v>0</v>
      </c>
      <c r="BJ379" s="88">
        <v>0</v>
      </c>
      <c r="BK379" s="88">
        <v>0</v>
      </c>
      <c r="BL379" s="88">
        <v>0</v>
      </c>
      <c r="BM379" s="88">
        <v>85</v>
      </c>
      <c r="BN379" s="88">
        <v>0</v>
      </c>
      <c r="BO379" s="88">
        <v>0</v>
      </c>
      <c r="BP379" s="88">
        <v>0</v>
      </c>
      <c r="BQ379" s="88">
        <v>0</v>
      </c>
      <c r="BR379" s="88">
        <v>0</v>
      </c>
      <c r="BS379" s="88">
        <v>228</v>
      </c>
      <c r="BT379" s="88">
        <v>0</v>
      </c>
      <c r="BU379" s="88">
        <v>0</v>
      </c>
      <c r="BV379" s="88">
        <v>0</v>
      </c>
      <c r="BW379" s="88"/>
      <c r="BX379" s="88"/>
      <c r="BY379" s="88"/>
      <c r="BZ379" s="88">
        <v>0</v>
      </c>
      <c r="CA379" s="88">
        <v>0</v>
      </c>
      <c r="CB379" s="88">
        <v>175</v>
      </c>
      <c r="CC379" s="88"/>
      <c r="CD379" s="88"/>
      <c r="CE379" s="88"/>
      <c r="CF379" s="88">
        <v>0</v>
      </c>
      <c r="CG379" s="88">
        <v>0</v>
      </c>
      <c r="CH379" s="88">
        <v>1</v>
      </c>
      <c r="CI379" s="88">
        <v>0</v>
      </c>
      <c r="CJ379" s="88">
        <v>0</v>
      </c>
      <c r="CK379" s="88">
        <v>23</v>
      </c>
      <c r="CL379" s="88">
        <v>0</v>
      </c>
      <c r="CM379" s="88">
        <v>0</v>
      </c>
      <c r="CN379" s="88">
        <v>0</v>
      </c>
      <c r="CO379" s="88">
        <v>0</v>
      </c>
      <c r="CP379" s="88">
        <v>0</v>
      </c>
      <c r="CQ379" s="88">
        <v>3</v>
      </c>
      <c r="CR379" s="88">
        <v>0</v>
      </c>
      <c r="CS379" s="88">
        <v>0</v>
      </c>
      <c r="CT379" s="88">
        <v>0</v>
      </c>
      <c r="CU379" s="88">
        <v>0</v>
      </c>
      <c r="CV379" s="88">
        <v>0</v>
      </c>
      <c r="CW379" s="88">
        <v>199</v>
      </c>
      <c r="CX379" s="88">
        <v>0</v>
      </c>
      <c r="CY379" s="88">
        <v>0</v>
      </c>
      <c r="CZ379" s="88">
        <v>0</v>
      </c>
      <c r="DA379" s="88">
        <v>0</v>
      </c>
      <c r="DB379" s="88">
        <v>0</v>
      </c>
      <c r="DC379" s="88">
        <v>2</v>
      </c>
      <c r="DD379" s="88">
        <v>0</v>
      </c>
      <c r="DE379" s="88">
        <v>0</v>
      </c>
      <c r="DF379" s="88">
        <v>0</v>
      </c>
      <c r="DG379" s="88">
        <v>0</v>
      </c>
      <c r="DH379" s="88">
        <v>0</v>
      </c>
      <c r="DI379" s="88">
        <v>1</v>
      </c>
      <c r="DJ379" s="88">
        <v>0</v>
      </c>
      <c r="DK379" s="88">
        <v>0</v>
      </c>
      <c r="DL379" s="88">
        <v>0</v>
      </c>
      <c r="DM379" s="88">
        <v>0</v>
      </c>
      <c r="DN379" s="88">
        <v>0</v>
      </c>
      <c r="DO379" s="88">
        <v>0</v>
      </c>
      <c r="DP379" s="88">
        <v>0</v>
      </c>
      <c r="DQ379" s="88">
        <v>0</v>
      </c>
      <c r="DR379" s="113">
        <v>0</v>
      </c>
      <c r="DS379" s="87">
        <v>0</v>
      </c>
      <c r="DT379" s="87">
        <v>0</v>
      </c>
      <c r="DU379" s="87">
        <v>37</v>
      </c>
      <c r="DV379" s="87">
        <v>0</v>
      </c>
      <c r="DW379" s="87">
        <v>0</v>
      </c>
      <c r="DX379" s="87">
        <v>0</v>
      </c>
      <c r="DY379" s="88">
        <v>0</v>
      </c>
      <c r="DZ379" s="88">
        <v>0</v>
      </c>
      <c r="EA379" s="88">
        <v>1167</v>
      </c>
      <c r="EB379" s="88">
        <v>0</v>
      </c>
      <c r="EC379" s="88">
        <v>0</v>
      </c>
      <c r="ED379" s="88">
        <v>0</v>
      </c>
      <c r="EE379" s="88">
        <v>0</v>
      </c>
      <c r="EF379" s="88">
        <v>0</v>
      </c>
      <c r="EG379" s="88">
        <v>600</v>
      </c>
      <c r="EH379" s="88">
        <v>0</v>
      </c>
      <c r="EI379" s="88">
        <v>0</v>
      </c>
      <c r="EJ379" s="88">
        <v>0</v>
      </c>
      <c r="EK379" s="88">
        <v>0</v>
      </c>
      <c r="EL379" s="88">
        <v>0</v>
      </c>
      <c r="EM379" s="88">
        <v>943</v>
      </c>
      <c r="EN379" s="88">
        <v>0</v>
      </c>
      <c r="EO379" s="88">
        <v>0</v>
      </c>
      <c r="EP379" s="88">
        <v>1</v>
      </c>
      <c r="EQ379" s="88">
        <v>0</v>
      </c>
      <c r="ER379" s="88">
        <v>0</v>
      </c>
      <c r="ES379" s="88">
        <v>20</v>
      </c>
      <c r="ET379" s="88">
        <v>0</v>
      </c>
      <c r="EU379" s="88">
        <v>0</v>
      </c>
      <c r="EV379" s="88">
        <v>3</v>
      </c>
      <c r="EW379" s="88">
        <v>0</v>
      </c>
      <c r="EX379" s="88">
        <v>0</v>
      </c>
      <c r="EY379" s="88">
        <v>11</v>
      </c>
      <c r="EZ379" s="88">
        <v>0</v>
      </c>
      <c r="FA379" s="88">
        <v>0</v>
      </c>
      <c r="FB379" s="88">
        <v>0</v>
      </c>
      <c r="FC379" s="88">
        <v>0</v>
      </c>
      <c r="FD379" s="88">
        <v>0</v>
      </c>
      <c r="FE379" s="88">
        <v>2</v>
      </c>
      <c r="FF379" s="88">
        <v>0</v>
      </c>
      <c r="FG379" s="88">
        <v>0</v>
      </c>
      <c r="FH379" s="88">
        <v>0</v>
      </c>
      <c r="FI379" s="88">
        <v>0</v>
      </c>
      <c r="FJ379" s="88">
        <v>0</v>
      </c>
      <c r="FK379" s="32">
        <v>115</v>
      </c>
      <c r="FL379" s="88">
        <v>0</v>
      </c>
      <c r="FM379" s="88">
        <v>0</v>
      </c>
      <c r="FN379" s="88">
        <v>4429</v>
      </c>
      <c r="FO379" s="88">
        <v>0</v>
      </c>
      <c r="FP379" s="88">
        <v>0</v>
      </c>
      <c r="FQ379" s="88">
        <v>548</v>
      </c>
      <c r="FR379" s="88">
        <v>0</v>
      </c>
      <c r="FS379" s="88">
        <v>0</v>
      </c>
      <c r="FT379" s="88">
        <v>0</v>
      </c>
      <c r="FU379" s="88">
        <v>0</v>
      </c>
      <c r="FV379" s="88">
        <v>0</v>
      </c>
      <c r="FW379" s="88">
        <v>144</v>
      </c>
      <c r="FX379" s="32">
        <v>0</v>
      </c>
      <c r="FY379" s="32">
        <v>0</v>
      </c>
      <c r="FZ379" s="32">
        <v>497</v>
      </c>
    </row>
    <row r="380" spans="1:182" s="22" customFormat="1" x14ac:dyDescent="0.2">
      <c r="A380" s="41">
        <v>43132</v>
      </c>
      <c r="B380" s="100">
        <f t="shared" si="26"/>
        <v>90713977.099999979</v>
      </c>
      <c r="C380" s="42">
        <v>113056.01000000001</v>
      </c>
      <c r="D380" s="42">
        <v>164164.63</v>
      </c>
      <c r="E380" s="43">
        <f t="shared" si="20"/>
        <v>277220.64</v>
      </c>
      <c r="F380" s="42">
        <v>6749059.7300000004</v>
      </c>
      <c r="G380" s="42">
        <v>3190138.8999999994</v>
      </c>
      <c r="H380" s="32">
        <f t="shared" si="19"/>
        <v>9939198.629999999</v>
      </c>
      <c r="I380" s="42"/>
      <c r="J380" s="42"/>
      <c r="K380" s="98">
        <v>22307823.659999996</v>
      </c>
      <c r="L380" s="42"/>
      <c r="M380" s="42"/>
      <c r="N380" s="98">
        <v>24953327.610000003</v>
      </c>
      <c r="O380" s="42"/>
      <c r="P380" s="42"/>
      <c r="Q380" s="98">
        <v>32885840.249999996</v>
      </c>
      <c r="R380" s="42"/>
      <c r="S380" s="42"/>
      <c r="T380" s="42">
        <v>106067.88</v>
      </c>
      <c r="U380" s="42">
        <v>1675.6999999999998</v>
      </c>
      <c r="V380" s="42">
        <v>4573.74</v>
      </c>
      <c r="W380" s="42">
        <f t="shared" si="21"/>
        <v>6249.44</v>
      </c>
      <c r="X380" s="42">
        <v>14461.3</v>
      </c>
      <c r="Y380" s="42">
        <v>3103.6499999999996</v>
      </c>
      <c r="Z380" s="32">
        <f t="shared" si="22"/>
        <v>17564.949999999997</v>
      </c>
      <c r="AA380" s="42">
        <v>66918.31</v>
      </c>
      <c r="AB380" s="42">
        <v>25421.25</v>
      </c>
      <c r="AC380" s="32">
        <f t="shared" si="23"/>
        <v>92339.56</v>
      </c>
      <c r="AD380" s="42">
        <v>6352.09</v>
      </c>
      <c r="AE380" s="42">
        <v>12376.93</v>
      </c>
      <c r="AF380" s="32">
        <f t="shared" si="24"/>
        <v>18729.02</v>
      </c>
      <c r="AG380" s="32">
        <v>11991.68</v>
      </c>
      <c r="AH380" s="32">
        <v>36983.530000000013</v>
      </c>
      <c r="AI380" s="32">
        <f t="shared" si="25"/>
        <v>48975.210000000014</v>
      </c>
      <c r="AJ380" s="42"/>
      <c r="AK380" s="42"/>
      <c r="AL380" s="42">
        <v>60640.25</v>
      </c>
      <c r="AM380" s="42"/>
      <c r="AN380" s="42"/>
      <c r="AO380" s="42"/>
      <c r="AP380" s="42"/>
      <c r="AQ380" s="42"/>
      <c r="AR380" s="42"/>
      <c r="AS380" s="42"/>
      <c r="AT380" s="42"/>
      <c r="AU380" s="42">
        <v>1248882.0699999998</v>
      </c>
      <c r="AV380" s="42"/>
      <c r="AW380" s="42"/>
      <c r="AX380" s="42">
        <v>38061.019999999997</v>
      </c>
      <c r="AY380" s="42">
        <v>5786835.5</v>
      </c>
      <c r="AZ380" s="42">
        <v>133410</v>
      </c>
      <c r="BA380" s="43">
        <f t="shared" si="27"/>
        <v>5920245.5</v>
      </c>
      <c r="BB380" s="42"/>
      <c r="BC380" s="42"/>
      <c r="BD380" s="42">
        <v>1495024.9555555556</v>
      </c>
      <c r="BE380" s="88">
        <v>0</v>
      </c>
      <c r="BF380" s="88">
        <v>0</v>
      </c>
      <c r="BG380" s="88">
        <v>50</v>
      </c>
      <c r="BH380" s="88">
        <v>0</v>
      </c>
      <c r="BI380" s="88">
        <v>0</v>
      </c>
      <c r="BJ380" s="88">
        <v>0</v>
      </c>
      <c r="BK380" s="88">
        <v>0</v>
      </c>
      <c r="BL380" s="88">
        <v>0</v>
      </c>
      <c r="BM380" s="88">
        <v>141</v>
      </c>
      <c r="BN380" s="88">
        <v>0</v>
      </c>
      <c r="BO380" s="88">
        <v>0</v>
      </c>
      <c r="BP380" s="88">
        <v>0</v>
      </c>
      <c r="BQ380" s="88">
        <v>0</v>
      </c>
      <c r="BR380" s="88">
        <v>0</v>
      </c>
      <c r="BS380" s="88">
        <v>158</v>
      </c>
      <c r="BT380" s="88">
        <v>0</v>
      </c>
      <c r="BU380" s="88">
        <v>0</v>
      </c>
      <c r="BV380" s="88">
        <v>0</v>
      </c>
      <c r="BW380" s="88"/>
      <c r="BX380" s="88"/>
      <c r="BY380" s="88"/>
      <c r="BZ380" s="88">
        <v>0</v>
      </c>
      <c r="CA380" s="88">
        <v>0</v>
      </c>
      <c r="CB380" s="88">
        <v>135</v>
      </c>
      <c r="CC380" s="88"/>
      <c r="CD380" s="88"/>
      <c r="CE380" s="88"/>
      <c r="CF380" s="88">
        <v>0</v>
      </c>
      <c r="CG380" s="88">
        <v>0</v>
      </c>
      <c r="CH380" s="88">
        <v>0</v>
      </c>
      <c r="CI380" s="88">
        <v>0</v>
      </c>
      <c r="CJ380" s="88">
        <v>0</v>
      </c>
      <c r="CK380" s="88">
        <v>23</v>
      </c>
      <c r="CL380" s="88">
        <v>0</v>
      </c>
      <c r="CM380" s="88">
        <v>0</v>
      </c>
      <c r="CN380" s="88">
        <v>0</v>
      </c>
      <c r="CO380" s="88">
        <v>0</v>
      </c>
      <c r="CP380" s="88">
        <v>0</v>
      </c>
      <c r="CQ380" s="88">
        <v>4</v>
      </c>
      <c r="CR380" s="88">
        <v>0</v>
      </c>
      <c r="CS380" s="88">
        <v>0</v>
      </c>
      <c r="CT380" s="88">
        <v>0</v>
      </c>
      <c r="CU380" s="88">
        <v>0</v>
      </c>
      <c r="CV380" s="88">
        <v>0</v>
      </c>
      <c r="CW380" s="88">
        <v>147</v>
      </c>
      <c r="CX380" s="88">
        <v>0</v>
      </c>
      <c r="CY380" s="88">
        <v>0</v>
      </c>
      <c r="CZ380" s="88">
        <v>0</v>
      </c>
      <c r="DA380" s="88">
        <v>0</v>
      </c>
      <c r="DB380" s="88">
        <v>0</v>
      </c>
      <c r="DC380" s="88">
        <v>0</v>
      </c>
      <c r="DD380" s="88">
        <v>0</v>
      </c>
      <c r="DE380" s="88">
        <v>0</v>
      </c>
      <c r="DF380" s="88">
        <v>0</v>
      </c>
      <c r="DG380" s="88">
        <v>0</v>
      </c>
      <c r="DH380" s="88">
        <v>0</v>
      </c>
      <c r="DI380" s="88">
        <v>4</v>
      </c>
      <c r="DJ380" s="88">
        <v>0</v>
      </c>
      <c r="DK380" s="88">
        <v>0</v>
      </c>
      <c r="DL380" s="88">
        <v>0</v>
      </c>
      <c r="DM380" s="88">
        <v>0</v>
      </c>
      <c r="DN380" s="88">
        <v>0</v>
      </c>
      <c r="DO380" s="88">
        <v>0</v>
      </c>
      <c r="DP380" s="88">
        <v>0</v>
      </c>
      <c r="DQ380" s="88">
        <v>0</v>
      </c>
      <c r="DR380" s="113">
        <v>0</v>
      </c>
      <c r="DS380" s="87">
        <v>0</v>
      </c>
      <c r="DT380" s="87">
        <v>0</v>
      </c>
      <c r="DU380" s="87">
        <v>31</v>
      </c>
      <c r="DV380" s="87">
        <v>0</v>
      </c>
      <c r="DW380" s="87">
        <v>0</v>
      </c>
      <c r="DX380" s="87">
        <v>0</v>
      </c>
      <c r="DY380" s="88">
        <v>0</v>
      </c>
      <c r="DZ380" s="88">
        <v>0</v>
      </c>
      <c r="EA380" s="88">
        <v>1534</v>
      </c>
      <c r="EB380" s="88">
        <v>0</v>
      </c>
      <c r="EC380" s="88">
        <v>0</v>
      </c>
      <c r="ED380" s="88">
        <v>0</v>
      </c>
      <c r="EE380" s="88">
        <v>0</v>
      </c>
      <c r="EF380" s="88">
        <v>0</v>
      </c>
      <c r="EG380" s="88">
        <v>601</v>
      </c>
      <c r="EH380" s="88">
        <v>0</v>
      </c>
      <c r="EI380" s="88">
        <v>0</v>
      </c>
      <c r="EJ380" s="88">
        <v>0</v>
      </c>
      <c r="EK380" s="88">
        <v>0</v>
      </c>
      <c r="EL380" s="88">
        <v>0</v>
      </c>
      <c r="EM380" s="88">
        <v>615</v>
      </c>
      <c r="EN380" s="88">
        <v>0</v>
      </c>
      <c r="EO380" s="88">
        <v>0</v>
      </c>
      <c r="EP380" s="88">
        <v>3</v>
      </c>
      <c r="EQ380" s="88">
        <v>0</v>
      </c>
      <c r="ER380" s="88">
        <v>0</v>
      </c>
      <c r="ES380" s="88">
        <v>7</v>
      </c>
      <c r="ET380" s="88">
        <v>0</v>
      </c>
      <c r="EU380" s="88">
        <v>0</v>
      </c>
      <c r="EV380" s="88">
        <v>4</v>
      </c>
      <c r="EW380" s="88">
        <v>0</v>
      </c>
      <c r="EX380" s="88">
        <v>0</v>
      </c>
      <c r="EY380" s="88">
        <v>5</v>
      </c>
      <c r="EZ380" s="88">
        <v>0</v>
      </c>
      <c r="FA380" s="88">
        <v>0</v>
      </c>
      <c r="FB380" s="88">
        <v>0</v>
      </c>
      <c r="FC380" s="88">
        <v>0</v>
      </c>
      <c r="FD380" s="88">
        <v>0</v>
      </c>
      <c r="FE380" s="88">
        <v>7</v>
      </c>
      <c r="FF380" s="88">
        <v>0</v>
      </c>
      <c r="FG380" s="88">
        <v>0</v>
      </c>
      <c r="FH380" s="88">
        <v>0</v>
      </c>
      <c r="FI380" s="88">
        <v>0</v>
      </c>
      <c r="FJ380" s="88">
        <v>0</v>
      </c>
      <c r="FK380" s="32">
        <v>113</v>
      </c>
      <c r="FL380" s="88">
        <v>0</v>
      </c>
      <c r="FM380" s="88">
        <v>0</v>
      </c>
      <c r="FN380" s="88">
        <v>3857</v>
      </c>
      <c r="FO380" s="88">
        <v>0</v>
      </c>
      <c r="FP380" s="88">
        <v>0</v>
      </c>
      <c r="FQ380" s="88">
        <v>449</v>
      </c>
      <c r="FR380" s="88">
        <v>0</v>
      </c>
      <c r="FS380" s="88">
        <v>0</v>
      </c>
      <c r="FT380" s="88">
        <v>0</v>
      </c>
      <c r="FU380" s="88">
        <v>0</v>
      </c>
      <c r="FV380" s="88">
        <v>0</v>
      </c>
      <c r="FW380" s="88">
        <v>156</v>
      </c>
      <c r="FX380" s="32">
        <v>0</v>
      </c>
      <c r="FY380" s="32">
        <v>0</v>
      </c>
      <c r="FZ380" s="32">
        <v>146</v>
      </c>
    </row>
    <row r="381" spans="1:182" s="22" customFormat="1" x14ac:dyDescent="0.2">
      <c r="A381" s="41">
        <v>43160</v>
      </c>
      <c r="B381" s="100">
        <f t="shared" si="26"/>
        <v>85651147.87999998</v>
      </c>
      <c r="C381" s="42">
        <v>108239.51999999999</v>
      </c>
      <c r="D381" s="42">
        <v>240089.96000000002</v>
      </c>
      <c r="E381" s="43">
        <f t="shared" si="20"/>
        <v>348329.48</v>
      </c>
      <c r="F381" s="42">
        <v>7193085.9799999995</v>
      </c>
      <c r="G381" s="42">
        <v>2538312.7600000002</v>
      </c>
      <c r="H381" s="32">
        <f t="shared" si="19"/>
        <v>9731398.7400000002</v>
      </c>
      <c r="I381" s="42"/>
      <c r="J381" s="42"/>
      <c r="K381" s="98">
        <v>15960602.32</v>
      </c>
      <c r="L381" s="42"/>
      <c r="M381" s="42"/>
      <c r="N381" s="98">
        <v>26296970.180000003</v>
      </c>
      <c r="O381" s="42"/>
      <c r="P381" s="42"/>
      <c r="Q381" s="98">
        <v>32883008.099999998</v>
      </c>
      <c r="R381" s="42"/>
      <c r="S381" s="42"/>
      <c r="T381" s="42">
        <v>131757.80000000002</v>
      </c>
      <c r="U381" s="42">
        <v>1680.71</v>
      </c>
      <c r="V381" s="42">
        <v>2123</v>
      </c>
      <c r="W381" s="42">
        <f t="shared" si="21"/>
        <v>3803.71</v>
      </c>
      <c r="X381" s="42">
        <v>12139.72</v>
      </c>
      <c r="Y381" s="42">
        <v>1739.8500000000001</v>
      </c>
      <c r="Z381" s="32">
        <f t="shared" si="22"/>
        <v>13879.57</v>
      </c>
      <c r="AA381" s="42">
        <v>139709.62</v>
      </c>
      <c r="AB381" s="42">
        <v>25268.74</v>
      </c>
      <c r="AC381" s="32">
        <f t="shared" si="23"/>
        <v>164978.35999999999</v>
      </c>
      <c r="AD381" s="42">
        <v>3571.24</v>
      </c>
      <c r="AE381" s="42">
        <v>10331.699999999999</v>
      </c>
      <c r="AF381" s="32">
        <f t="shared" si="24"/>
        <v>13902.939999999999</v>
      </c>
      <c r="AG381" s="32">
        <v>13398.650000000001</v>
      </c>
      <c r="AH381" s="32">
        <v>27782.030000000002</v>
      </c>
      <c r="AI381" s="32">
        <f t="shared" si="25"/>
        <v>41180.680000000008</v>
      </c>
      <c r="AJ381" s="42"/>
      <c r="AK381" s="42"/>
      <c r="AL381" s="42">
        <v>61336</v>
      </c>
      <c r="AM381" s="42"/>
      <c r="AN381" s="42"/>
      <c r="AO381" s="42"/>
      <c r="AP381" s="42"/>
      <c r="AQ381" s="42"/>
      <c r="AR381" s="42"/>
      <c r="AS381" s="42"/>
      <c r="AT381" s="42"/>
      <c r="AU381" s="42">
        <v>1486806.82</v>
      </c>
      <c r="AV381" s="42"/>
      <c r="AW381" s="42"/>
      <c r="AX381" s="42">
        <v>42311.76</v>
      </c>
      <c r="AY381" s="42">
        <v>7601918.0999999996</v>
      </c>
      <c r="AZ381" s="42">
        <v>938000</v>
      </c>
      <c r="BA381" s="43">
        <f t="shared" si="27"/>
        <v>8539918.0999999996</v>
      </c>
      <c r="BB381" s="42"/>
      <c r="BC381" s="42"/>
      <c r="BD381" s="42">
        <v>1547155.6444444444</v>
      </c>
      <c r="BE381" s="88">
        <v>0</v>
      </c>
      <c r="BF381" s="88">
        <v>0</v>
      </c>
      <c r="BG381" s="88">
        <v>56</v>
      </c>
      <c r="BH381" s="88">
        <v>0</v>
      </c>
      <c r="BI381" s="88">
        <v>0</v>
      </c>
      <c r="BJ381" s="88">
        <v>0</v>
      </c>
      <c r="BK381" s="88">
        <v>0</v>
      </c>
      <c r="BL381" s="88">
        <v>0</v>
      </c>
      <c r="BM381" s="88">
        <v>215</v>
      </c>
      <c r="BN381" s="88">
        <v>0</v>
      </c>
      <c r="BO381" s="88">
        <v>0</v>
      </c>
      <c r="BP381" s="88">
        <v>2</v>
      </c>
      <c r="BQ381" s="88">
        <v>0</v>
      </c>
      <c r="BR381" s="88">
        <v>0</v>
      </c>
      <c r="BS381" s="88">
        <v>181</v>
      </c>
      <c r="BT381" s="88">
        <v>0</v>
      </c>
      <c r="BU381" s="88">
        <v>0</v>
      </c>
      <c r="BV381" s="88">
        <v>0</v>
      </c>
      <c r="BW381" s="88"/>
      <c r="BX381" s="88"/>
      <c r="BY381" s="88"/>
      <c r="BZ381" s="88">
        <v>0</v>
      </c>
      <c r="CA381" s="88">
        <v>0</v>
      </c>
      <c r="CB381" s="88">
        <v>381</v>
      </c>
      <c r="CC381" s="88"/>
      <c r="CD381" s="88"/>
      <c r="CE381" s="88"/>
      <c r="CF381" s="88">
        <v>0</v>
      </c>
      <c r="CG381" s="88">
        <v>0</v>
      </c>
      <c r="CH381" s="88">
        <v>1</v>
      </c>
      <c r="CI381" s="88">
        <v>0</v>
      </c>
      <c r="CJ381" s="88">
        <v>0</v>
      </c>
      <c r="CK381" s="88">
        <v>27</v>
      </c>
      <c r="CL381" s="88">
        <v>0</v>
      </c>
      <c r="CM381" s="88">
        <v>0</v>
      </c>
      <c r="CN381" s="88">
        <v>0</v>
      </c>
      <c r="CO381" s="88">
        <v>0</v>
      </c>
      <c r="CP381" s="88">
        <v>0</v>
      </c>
      <c r="CQ381" s="88">
        <v>7</v>
      </c>
      <c r="CR381" s="88">
        <v>0</v>
      </c>
      <c r="CS381" s="88">
        <v>0</v>
      </c>
      <c r="CT381" s="88">
        <v>0</v>
      </c>
      <c r="CU381" s="88">
        <v>0</v>
      </c>
      <c r="CV381" s="88">
        <v>0</v>
      </c>
      <c r="CW381" s="88">
        <v>214</v>
      </c>
      <c r="CX381" s="88">
        <v>0</v>
      </c>
      <c r="CY381" s="88">
        <v>0</v>
      </c>
      <c r="CZ381" s="88">
        <v>0</v>
      </c>
      <c r="DA381" s="88">
        <v>0</v>
      </c>
      <c r="DB381" s="88">
        <v>0</v>
      </c>
      <c r="DC381" s="88">
        <v>0</v>
      </c>
      <c r="DD381" s="88">
        <v>0</v>
      </c>
      <c r="DE381" s="88">
        <v>0</v>
      </c>
      <c r="DF381" s="88">
        <v>0</v>
      </c>
      <c r="DG381" s="88">
        <v>0</v>
      </c>
      <c r="DH381" s="88">
        <v>0</v>
      </c>
      <c r="DI381" s="88">
        <v>4</v>
      </c>
      <c r="DJ381" s="88">
        <v>0</v>
      </c>
      <c r="DK381" s="88">
        <v>0</v>
      </c>
      <c r="DL381" s="88">
        <v>0</v>
      </c>
      <c r="DM381" s="88">
        <v>0</v>
      </c>
      <c r="DN381" s="88">
        <v>0</v>
      </c>
      <c r="DO381" s="88">
        <v>0</v>
      </c>
      <c r="DP381" s="88">
        <v>0</v>
      </c>
      <c r="DQ381" s="88">
        <v>0</v>
      </c>
      <c r="DR381" s="113">
        <v>0</v>
      </c>
      <c r="DS381" s="87">
        <v>0</v>
      </c>
      <c r="DT381" s="87">
        <v>0</v>
      </c>
      <c r="DU381" s="87">
        <v>39</v>
      </c>
      <c r="DV381" s="87">
        <v>0</v>
      </c>
      <c r="DW381" s="87">
        <v>0</v>
      </c>
      <c r="DX381" s="87">
        <v>0</v>
      </c>
      <c r="DY381" s="88">
        <v>0</v>
      </c>
      <c r="DZ381" s="88">
        <v>0</v>
      </c>
      <c r="EA381" s="88">
        <v>1316</v>
      </c>
      <c r="EB381" s="88">
        <v>0</v>
      </c>
      <c r="EC381" s="88">
        <v>0</v>
      </c>
      <c r="ED381" s="88">
        <v>0</v>
      </c>
      <c r="EE381" s="88">
        <v>0</v>
      </c>
      <c r="EF381" s="88">
        <v>0</v>
      </c>
      <c r="EG381" s="88">
        <v>609.01</v>
      </c>
      <c r="EH381" s="88">
        <v>0</v>
      </c>
      <c r="EI381" s="88">
        <v>0</v>
      </c>
      <c r="EJ381" s="88">
        <v>0</v>
      </c>
      <c r="EK381" s="88">
        <v>0</v>
      </c>
      <c r="EL381" s="88">
        <v>0</v>
      </c>
      <c r="EM381" s="88">
        <v>817</v>
      </c>
      <c r="EN381" s="88">
        <v>0</v>
      </c>
      <c r="EO381" s="88">
        <v>0</v>
      </c>
      <c r="EP381" s="88">
        <v>7</v>
      </c>
      <c r="EQ381" s="88">
        <v>0</v>
      </c>
      <c r="ER381" s="88">
        <v>0</v>
      </c>
      <c r="ES381" s="88">
        <v>17</v>
      </c>
      <c r="ET381" s="88">
        <v>0</v>
      </c>
      <c r="EU381" s="88">
        <v>0</v>
      </c>
      <c r="EV381" s="88">
        <v>0</v>
      </c>
      <c r="EW381" s="88">
        <v>0</v>
      </c>
      <c r="EX381" s="88">
        <v>0</v>
      </c>
      <c r="EY381" s="88">
        <v>8</v>
      </c>
      <c r="EZ381" s="88">
        <v>0</v>
      </c>
      <c r="FA381" s="88">
        <v>0</v>
      </c>
      <c r="FB381" s="88">
        <v>0</v>
      </c>
      <c r="FC381" s="88">
        <v>0</v>
      </c>
      <c r="FD381" s="88">
        <v>0</v>
      </c>
      <c r="FE381" s="88">
        <v>9</v>
      </c>
      <c r="FF381" s="88">
        <v>0</v>
      </c>
      <c r="FG381" s="88">
        <v>0</v>
      </c>
      <c r="FH381" s="88">
        <v>0</v>
      </c>
      <c r="FI381" s="88">
        <v>0</v>
      </c>
      <c r="FJ381" s="88">
        <v>0</v>
      </c>
      <c r="FK381" s="32">
        <v>107</v>
      </c>
      <c r="FL381" s="88">
        <v>0</v>
      </c>
      <c r="FM381" s="88">
        <v>0</v>
      </c>
      <c r="FN381" s="88">
        <v>5050</v>
      </c>
      <c r="FO381" s="88">
        <v>0</v>
      </c>
      <c r="FP381" s="88">
        <v>0</v>
      </c>
      <c r="FQ381" s="88">
        <v>520</v>
      </c>
      <c r="FR381" s="88">
        <v>0</v>
      </c>
      <c r="FS381" s="88">
        <v>0</v>
      </c>
      <c r="FT381" s="88">
        <v>0</v>
      </c>
      <c r="FU381" s="88">
        <v>0</v>
      </c>
      <c r="FV381" s="88">
        <v>0</v>
      </c>
      <c r="FW381" s="88">
        <v>117</v>
      </c>
      <c r="FX381" s="32">
        <v>0</v>
      </c>
      <c r="FY381" s="32">
        <v>0</v>
      </c>
      <c r="FZ381" s="32">
        <v>414</v>
      </c>
    </row>
    <row r="382" spans="1:182" s="22" customFormat="1" x14ac:dyDescent="0.2">
      <c r="A382" s="41">
        <v>43191</v>
      </c>
      <c r="B382" s="100">
        <f t="shared" si="26"/>
        <v>76826293.970000029</v>
      </c>
      <c r="C382" s="42">
        <v>137684.58000000002</v>
      </c>
      <c r="D382" s="42">
        <v>238266.60999999993</v>
      </c>
      <c r="E382" s="43">
        <f t="shared" si="20"/>
        <v>375951.18999999994</v>
      </c>
      <c r="F382" s="42">
        <v>5148398.7200000007</v>
      </c>
      <c r="G382" s="42">
        <v>1832397.4499999993</v>
      </c>
      <c r="H382" s="32">
        <f t="shared" si="19"/>
        <v>6980796.1699999999</v>
      </c>
      <c r="I382" s="42"/>
      <c r="J382" s="42"/>
      <c r="K382" s="98">
        <v>15096737.230000002</v>
      </c>
      <c r="L382" s="42"/>
      <c r="M382" s="42"/>
      <c r="N382" s="98">
        <v>24781961.390000004</v>
      </c>
      <c r="O382" s="42"/>
      <c r="P382" s="42"/>
      <c r="Q382" s="98">
        <v>29125369.990000002</v>
      </c>
      <c r="R382" s="42"/>
      <c r="S382" s="42"/>
      <c r="T382" s="42">
        <v>162603.48000000001</v>
      </c>
      <c r="U382" s="42">
        <v>1520.9599999999998</v>
      </c>
      <c r="V382" s="42">
        <v>1726.58</v>
      </c>
      <c r="W382" s="42">
        <f t="shared" si="21"/>
        <v>3247.54</v>
      </c>
      <c r="X382" s="42">
        <v>34908.1</v>
      </c>
      <c r="Y382" s="42">
        <v>2429.6000000000004</v>
      </c>
      <c r="Z382" s="32">
        <f t="shared" si="22"/>
        <v>37337.699999999997</v>
      </c>
      <c r="AA382" s="42">
        <v>113159.81000000001</v>
      </c>
      <c r="AB382" s="42">
        <v>26765</v>
      </c>
      <c r="AC382" s="32">
        <f t="shared" si="23"/>
        <v>139924.81</v>
      </c>
      <c r="AD382" s="42">
        <v>5190.32</v>
      </c>
      <c r="AE382" s="42">
        <v>7671.33</v>
      </c>
      <c r="AF382" s="32">
        <f t="shared" si="24"/>
        <v>12861.65</v>
      </c>
      <c r="AG382" s="32">
        <v>12382.119999999999</v>
      </c>
      <c r="AH382" s="32">
        <v>33651.800000000003</v>
      </c>
      <c r="AI382" s="32">
        <f t="shared" si="25"/>
        <v>46033.919999999998</v>
      </c>
      <c r="AJ382" s="42"/>
      <c r="AK382" s="42"/>
      <c r="AL382" s="42">
        <v>63468.900000000009</v>
      </c>
      <c r="AM382" s="42"/>
      <c r="AN382" s="42"/>
      <c r="AO382" s="42"/>
      <c r="AP382" s="42"/>
      <c r="AQ382" s="42"/>
      <c r="AR382" s="42"/>
      <c r="AS382" s="42"/>
      <c r="AT382" s="42"/>
      <c r="AU382" s="42">
        <v>1510006.4</v>
      </c>
      <c r="AV382" s="42"/>
      <c r="AW382" s="42"/>
      <c r="AX382" s="42">
        <v>46274.729999999996</v>
      </c>
      <c r="AY382" s="42">
        <v>7598767</v>
      </c>
      <c r="AZ382" s="42">
        <v>1358820</v>
      </c>
      <c r="BA382" s="43">
        <f t="shared" si="27"/>
        <v>8957587</v>
      </c>
      <c r="BB382" s="42"/>
      <c r="BC382" s="42"/>
      <c r="BD382" s="42">
        <v>1555580.2444444445</v>
      </c>
      <c r="BE382" s="88">
        <v>0</v>
      </c>
      <c r="BF382" s="88">
        <v>0</v>
      </c>
      <c r="BG382" s="88">
        <v>49</v>
      </c>
      <c r="BH382" s="88">
        <v>0</v>
      </c>
      <c r="BI382" s="88">
        <v>0</v>
      </c>
      <c r="BJ382" s="88">
        <v>0</v>
      </c>
      <c r="BK382" s="88">
        <v>0</v>
      </c>
      <c r="BL382" s="88">
        <v>0</v>
      </c>
      <c r="BM382" s="88">
        <v>206</v>
      </c>
      <c r="BN382" s="88">
        <v>0</v>
      </c>
      <c r="BO382" s="88">
        <v>0</v>
      </c>
      <c r="BP382" s="88">
        <v>0</v>
      </c>
      <c r="BQ382" s="88">
        <v>0</v>
      </c>
      <c r="BR382" s="88">
        <v>0</v>
      </c>
      <c r="BS382" s="88">
        <v>104</v>
      </c>
      <c r="BT382" s="88">
        <v>0</v>
      </c>
      <c r="BU382" s="88">
        <v>0</v>
      </c>
      <c r="BV382" s="88">
        <v>0</v>
      </c>
      <c r="BW382" s="88"/>
      <c r="BX382" s="88"/>
      <c r="BY382" s="88"/>
      <c r="BZ382" s="88">
        <v>0</v>
      </c>
      <c r="CA382" s="88">
        <v>0</v>
      </c>
      <c r="CB382" s="88">
        <v>141</v>
      </c>
      <c r="CC382" s="88"/>
      <c r="CD382" s="88"/>
      <c r="CE382" s="88"/>
      <c r="CF382" s="88">
        <v>0</v>
      </c>
      <c r="CG382" s="88">
        <v>0</v>
      </c>
      <c r="CH382" s="88">
        <v>1</v>
      </c>
      <c r="CI382" s="88">
        <v>0</v>
      </c>
      <c r="CJ382" s="88">
        <v>0</v>
      </c>
      <c r="CK382" s="88">
        <v>20</v>
      </c>
      <c r="CL382" s="88">
        <v>0</v>
      </c>
      <c r="CM382" s="88">
        <v>0</v>
      </c>
      <c r="CN382" s="88">
        <v>0</v>
      </c>
      <c r="CO382" s="88">
        <v>0</v>
      </c>
      <c r="CP382" s="88">
        <v>0</v>
      </c>
      <c r="CQ382" s="88">
        <v>15</v>
      </c>
      <c r="CR382" s="88">
        <v>0</v>
      </c>
      <c r="CS382" s="88">
        <v>0</v>
      </c>
      <c r="CT382" s="88">
        <v>0</v>
      </c>
      <c r="CU382" s="88">
        <v>0</v>
      </c>
      <c r="CV382" s="88">
        <v>0</v>
      </c>
      <c r="CW382" s="88">
        <v>244</v>
      </c>
      <c r="CX382" s="88">
        <v>0</v>
      </c>
      <c r="CY382" s="88">
        <v>0</v>
      </c>
      <c r="CZ382" s="88">
        <v>0</v>
      </c>
      <c r="DA382" s="88">
        <v>0</v>
      </c>
      <c r="DB382" s="88">
        <v>0</v>
      </c>
      <c r="DC382" s="88">
        <v>0</v>
      </c>
      <c r="DD382" s="88">
        <v>0</v>
      </c>
      <c r="DE382" s="88">
        <v>0</v>
      </c>
      <c r="DF382" s="88">
        <v>0</v>
      </c>
      <c r="DG382" s="88">
        <v>0</v>
      </c>
      <c r="DH382" s="88">
        <v>0</v>
      </c>
      <c r="DI382" s="88">
        <v>4</v>
      </c>
      <c r="DJ382" s="88">
        <v>0</v>
      </c>
      <c r="DK382" s="88">
        <v>0</v>
      </c>
      <c r="DL382" s="88">
        <v>0</v>
      </c>
      <c r="DM382" s="88">
        <v>0</v>
      </c>
      <c r="DN382" s="88">
        <v>0</v>
      </c>
      <c r="DO382" s="88">
        <v>0</v>
      </c>
      <c r="DP382" s="88">
        <v>0</v>
      </c>
      <c r="DQ382" s="88">
        <v>0</v>
      </c>
      <c r="DR382" s="113">
        <v>0</v>
      </c>
      <c r="DS382" s="87">
        <v>0</v>
      </c>
      <c r="DT382" s="87">
        <v>0</v>
      </c>
      <c r="DU382" s="87">
        <v>61</v>
      </c>
      <c r="DV382" s="87">
        <v>0</v>
      </c>
      <c r="DW382" s="87">
        <v>0</v>
      </c>
      <c r="DX382" s="87">
        <v>0</v>
      </c>
      <c r="DY382" s="88">
        <v>0</v>
      </c>
      <c r="DZ382" s="88">
        <v>0</v>
      </c>
      <c r="EA382" s="88">
        <v>1583</v>
      </c>
      <c r="EB382" s="88">
        <v>0</v>
      </c>
      <c r="EC382" s="88">
        <v>0</v>
      </c>
      <c r="ED382" s="88">
        <v>0</v>
      </c>
      <c r="EE382" s="88">
        <v>0</v>
      </c>
      <c r="EF382" s="88">
        <v>0</v>
      </c>
      <c r="EG382" s="88">
        <v>703.5</v>
      </c>
      <c r="EH382" s="88">
        <v>0</v>
      </c>
      <c r="EI382" s="88">
        <v>0</v>
      </c>
      <c r="EJ382" s="88">
        <v>33</v>
      </c>
      <c r="EK382" s="88">
        <v>0</v>
      </c>
      <c r="EL382" s="88">
        <v>0</v>
      </c>
      <c r="EM382" s="88">
        <v>741</v>
      </c>
      <c r="EN382" s="88">
        <v>0</v>
      </c>
      <c r="EO382" s="88">
        <v>0</v>
      </c>
      <c r="EP382" s="88">
        <v>24</v>
      </c>
      <c r="EQ382" s="88">
        <v>0</v>
      </c>
      <c r="ER382" s="88">
        <v>0</v>
      </c>
      <c r="ES382" s="88">
        <v>28</v>
      </c>
      <c r="ET382" s="88">
        <v>0</v>
      </c>
      <c r="EU382" s="88">
        <v>0</v>
      </c>
      <c r="EV382" s="88">
        <v>3</v>
      </c>
      <c r="EW382" s="88">
        <v>0</v>
      </c>
      <c r="EX382" s="88">
        <v>0</v>
      </c>
      <c r="EY382" s="88">
        <v>3</v>
      </c>
      <c r="EZ382" s="88">
        <v>0</v>
      </c>
      <c r="FA382" s="88">
        <v>0</v>
      </c>
      <c r="FB382" s="88">
        <v>0</v>
      </c>
      <c r="FC382" s="88">
        <v>0</v>
      </c>
      <c r="FD382" s="88">
        <v>0</v>
      </c>
      <c r="FE382" s="88">
        <v>3</v>
      </c>
      <c r="FF382" s="88">
        <v>0</v>
      </c>
      <c r="FG382" s="88">
        <v>0</v>
      </c>
      <c r="FH382" s="88">
        <v>0</v>
      </c>
      <c r="FI382" s="88">
        <v>0</v>
      </c>
      <c r="FJ382" s="88">
        <v>0</v>
      </c>
      <c r="FK382" s="32">
        <v>74</v>
      </c>
      <c r="FL382" s="88">
        <v>0</v>
      </c>
      <c r="FM382" s="88">
        <v>0</v>
      </c>
      <c r="FN382" s="88">
        <v>3246</v>
      </c>
      <c r="FO382" s="88">
        <v>0</v>
      </c>
      <c r="FP382" s="88">
        <v>0</v>
      </c>
      <c r="FQ382" s="88">
        <v>390</v>
      </c>
      <c r="FR382" s="88">
        <v>0</v>
      </c>
      <c r="FS382" s="88">
        <v>0</v>
      </c>
      <c r="FT382" s="88">
        <v>0</v>
      </c>
      <c r="FU382" s="88">
        <v>0</v>
      </c>
      <c r="FV382" s="88">
        <v>0</v>
      </c>
      <c r="FW382" s="88">
        <v>84</v>
      </c>
      <c r="FX382" s="32">
        <v>0</v>
      </c>
      <c r="FY382" s="32">
        <v>0</v>
      </c>
      <c r="FZ382" s="32">
        <v>917</v>
      </c>
    </row>
    <row r="383" spans="1:182" s="22" customFormat="1" x14ac:dyDescent="0.2">
      <c r="A383" s="41">
        <v>43221</v>
      </c>
      <c r="B383" s="100">
        <f t="shared" si="26"/>
        <v>70104824.639999971</v>
      </c>
      <c r="C383" s="42">
        <v>74755.23000000001</v>
      </c>
      <c r="D383" s="42">
        <v>375899.27</v>
      </c>
      <c r="E383" s="43">
        <f t="shared" si="20"/>
        <v>450654.5</v>
      </c>
      <c r="F383" s="42">
        <v>4096951.5599999996</v>
      </c>
      <c r="G383" s="42">
        <v>1431598.8399999994</v>
      </c>
      <c r="H383" s="32">
        <f t="shared" si="19"/>
        <v>5528550.3999999985</v>
      </c>
      <c r="I383" s="42"/>
      <c r="J383" s="42"/>
      <c r="K383" s="98">
        <v>14681396.1</v>
      </c>
      <c r="L383" s="42"/>
      <c r="M383" s="42"/>
      <c r="N383" s="98">
        <v>22251157.549999997</v>
      </c>
      <c r="O383" s="42"/>
      <c r="P383" s="42"/>
      <c r="Q383" s="98">
        <v>26719899.839999996</v>
      </c>
      <c r="R383" s="42"/>
      <c r="S383" s="42"/>
      <c r="T383" s="42">
        <v>158513</v>
      </c>
      <c r="U383" s="42">
        <v>1305.5899999999999</v>
      </c>
      <c r="V383" s="42">
        <v>2458.48</v>
      </c>
      <c r="W383" s="42">
        <f t="shared" si="21"/>
        <v>3764.0699999999997</v>
      </c>
      <c r="X383" s="42">
        <v>6068.92</v>
      </c>
      <c r="Y383" s="42">
        <v>1890.95</v>
      </c>
      <c r="Z383" s="32">
        <f t="shared" si="22"/>
        <v>7959.87</v>
      </c>
      <c r="AA383" s="42">
        <v>146963.52000000002</v>
      </c>
      <c r="AB383" s="42">
        <v>25344.36</v>
      </c>
      <c r="AC383" s="32">
        <f t="shared" si="23"/>
        <v>172307.88</v>
      </c>
      <c r="AD383" s="42">
        <v>3353.02</v>
      </c>
      <c r="AE383" s="42">
        <v>9374.369999999999</v>
      </c>
      <c r="AF383" s="32">
        <f t="shared" si="24"/>
        <v>12727.39</v>
      </c>
      <c r="AG383" s="32">
        <v>23862.059999999998</v>
      </c>
      <c r="AH383" s="32">
        <v>36648.880000000005</v>
      </c>
      <c r="AI383" s="32">
        <f t="shared" si="25"/>
        <v>60510.94</v>
      </c>
      <c r="AJ383" s="42"/>
      <c r="AK383" s="42"/>
      <c r="AL383" s="42">
        <v>57383.1</v>
      </c>
      <c r="AM383" s="42"/>
      <c r="AN383" s="42"/>
      <c r="AO383" s="42"/>
      <c r="AP383" s="42"/>
      <c r="AQ383" s="42"/>
      <c r="AR383" s="42"/>
      <c r="AS383" s="42"/>
      <c r="AT383" s="42"/>
      <c r="AU383" s="42">
        <v>1564058.0699999998</v>
      </c>
      <c r="AV383" s="42"/>
      <c r="AW383" s="42"/>
      <c r="AX383" s="42">
        <v>42678.090000000004</v>
      </c>
      <c r="AY383" s="42">
        <v>7155716.4000000004</v>
      </c>
      <c r="AZ383" s="42">
        <v>1401590</v>
      </c>
      <c r="BA383" s="43">
        <f t="shared" si="27"/>
        <v>8557306.4000000004</v>
      </c>
      <c r="BB383" s="42"/>
      <c r="BC383" s="42"/>
      <c r="BD383" s="42">
        <v>1608754</v>
      </c>
      <c r="BE383" s="88">
        <v>0</v>
      </c>
      <c r="BF383" s="88">
        <v>0</v>
      </c>
      <c r="BG383" s="88">
        <v>60</v>
      </c>
      <c r="BH383" s="88">
        <v>0</v>
      </c>
      <c r="BI383" s="88">
        <v>0</v>
      </c>
      <c r="BJ383" s="88">
        <v>0</v>
      </c>
      <c r="BK383" s="88">
        <v>0</v>
      </c>
      <c r="BL383" s="88">
        <v>0</v>
      </c>
      <c r="BM383" s="88">
        <v>378</v>
      </c>
      <c r="BN383" s="88">
        <v>0</v>
      </c>
      <c r="BO383" s="88">
        <v>0</v>
      </c>
      <c r="BP383" s="88">
        <v>1</v>
      </c>
      <c r="BQ383" s="88">
        <v>0</v>
      </c>
      <c r="BR383" s="88">
        <v>0</v>
      </c>
      <c r="BS383" s="88">
        <v>16</v>
      </c>
      <c r="BT383" s="88">
        <v>0</v>
      </c>
      <c r="BU383" s="88">
        <v>0</v>
      </c>
      <c r="BV383" s="88">
        <v>0</v>
      </c>
      <c r="BW383" s="88"/>
      <c r="BX383" s="88"/>
      <c r="BY383" s="88"/>
      <c r="BZ383" s="88">
        <v>0</v>
      </c>
      <c r="CA383" s="88">
        <v>0</v>
      </c>
      <c r="CB383" s="88">
        <v>259</v>
      </c>
      <c r="CC383" s="88"/>
      <c r="CD383" s="88"/>
      <c r="CE383" s="88"/>
      <c r="CF383" s="88">
        <v>0</v>
      </c>
      <c r="CG383" s="88">
        <v>0</v>
      </c>
      <c r="CH383" s="88">
        <v>0</v>
      </c>
      <c r="CI383" s="88">
        <v>0</v>
      </c>
      <c r="CJ383" s="88">
        <v>0</v>
      </c>
      <c r="CK383" s="88">
        <v>20</v>
      </c>
      <c r="CL383" s="88">
        <v>0</v>
      </c>
      <c r="CM383" s="88">
        <v>0</v>
      </c>
      <c r="CN383" s="88">
        <v>0</v>
      </c>
      <c r="CO383" s="88">
        <v>0</v>
      </c>
      <c r="CP383" s="88">
        <v>0</v>
      </c>
      <c r="CQ383" s="88">
        <v>5</v>
      </c>
      <c r="CR383" s="88">
        <v>0</v>
      </c>
      <c r="CS383" s="88">
        <v>0</v>
      </c>
      <c r="CT383" s="88">
        <v>0</v>
      </c>
      <c r="CU383" s="88">
        <v>0</v>
      </c>
      <c r="CV383" s="88">
        <v>0</v>
      </c>
      <c r="CW383" s="88">
        <v>184</v>
      </c>
      <c r="CX383" s="88">
        <v>0</v>
      </c>
      <c r="CY383" s="88">
        <v>0</v>
      </c>
      <c r="CZ383" s="88">
        <v>0</v>
      </c>
      <c r="DA383" s="88">
        <v>0</v>
      </c>
      <c r="DB383" s="88">
        <v>0</v>
      </c>
      <c r="DC383" s="88">
        <v>0</v>
      </c>
      <c r="DD383" s="88">
        <v>0</v>
      </c>
      <c r="DE383" s="88">
        <v>0</v>
      </c>
      <c r="DF383" s="88">
        <v>0</v>
      </c>
      <c r="DG383" s="88">
        <v>0</v>
      </c>
      <c r="DH383" s="88">
        <v>0</v>
      </c>
      <c r="DI383" s="88">
        <v>5</v>
      </c>
      <c r="DJ383" s="88">
        <v>0</v>
      </c>
      <c r="DK383" s="88">
        <v>0</v>
      </c>
      <c r="DL383" s="88">
        <v>0</v>
      </c>
      <c r="DM383" s="88">
        <v>0</v>
      </c>
      <c r="DN383" s="88">
        <v>0</v>
      </c>
      <c r="DO383" s="88">
        <v>0</v>
      </c>
      <c r="DP383" s="88">
        <v>0</v>
      </c>
      <c r="DQ383" s="88">
        <v>0</v>
      </c>
      <c r="DR383" s="113">
        <v>0</v>
      </c>
      <c r="DS383" s="87">
        <v>0</v>
      </c>
      <c r="DT383" s="87">
        <v>0</v>
      </c>
      <c r="DU383" s="87">
        <v>66</v>
      </c>
      <c r="DV383" s="87">
        <v>0</v>
      </c>
      <c r="DW383" s="87">
        <v>0</v>
      </c>
      <c r="DX383" s="87">
        <v>0</v>
      </c>
      <c r="DY383" s="88">
        <v>0</v>
      </c>
      <c r="DZ383" s="88">
        <v>0</v>
      </c>
      <c r="EA383" s="88">
        <v>1371</v>
      </c>
      <c r="EB383" s="88">
        <v>0</v>
      </c>
      <c r="EC383" s="88">
        <v>0</v>
      </c>
      <c r="ED383" s="88">
        <v>2</v>
      </c>
      <c r="EE383" s="88">
        <v>0</v>
      </c>
      <c r="EF383" s="88">
        <v>0</v>
      </c>
      <c r="EG383" s="88">
        <v>647</v>
      </c>
      <c r="EH383" s="88">
        <v>0</v>
      </c>
      <c r="EI383" s="88">
        <v>0</v>
      </c>
      <c r="EJ383" s="88">
        <v>32</v>
      </c>
      <c r="EK383" s="88">
        <v>0</v>
      </c>
      <c r="EL383" s="88">
        <v>0</v>
      </c>
      <c r="EM383" s="88">
        <v>714</v>
      </c>
      <c r="EN383" s="88">
        <v>0</v>
      </c>
      <c r="EO383" s="88">
        <v>0</v>
      </c>
      <c r="EP383" s="88">
        <v>17</v>
      </c>
      <c r="EQ383" s="88">
        <v>0</v>
      </c>
      <c r="ER383" s="88">
        <v>0</v>
      </c>
      <c r="ES383" s="88">
        <v>19</v>
      </c>
      <c r="ET383" s="88">
        <v>0</v>
      </c>
      <c r="EU383" s="88">
        <v>0</v>
      </c>
      <c r="EV383" s="88">
        <v>7</v>
      </c>
      <c r="EW383" s="88">
        <v>0</v>
      </c>
      <c r="EX383" s="88">
        <v>0</v>
      </c>
      <c r="EY383" s="88">
        <v>3</v>
      </c>
      <c r="EZ383" s="88">
        <v>0</v>
      </c>
      <c r="FA383" s="88">
        <v>0</v>
      </c>
      <c r="FB383" s="88">
        <v>0</v>
      </c>
      <c r="FC383" s="88">
        <v>0</v>
      </c>
      <c r="FD383" s="88">
        <v>0</v>
      </c>
      <c r="FE383" s="88">
        <v>6</v>
      </c>
      <c r="FF383" s="88">
        <v>0</v>
      </c>
      <c r="FG383" s="88">
        <v>0</v>
      </c>
      <c r="FH383" s="88">
        <v>0</v>
      </c>
      <c r="FI383" s="88">
        <v>0</v>
      </c>
      <c r="FJ383" s="88">
        <v>0</v>
      </c>
      <c r="FK383" s="32">
        <v>69</v>
      </c>
      <c r="FL383" s="88">
        <v>0</v>
      </c>
      <c r="FM383" s="88">
        <v>0</v>
      </c>
      <c r="FN383" s="88">
        <v>2725</v>
      </c>
      <c r="FO383" s="88">
        <v>0</v>
      </c>
      <c r="FP383" s="88">
        <v>0</v>
      </c>
      <c r="FQ383" s="88">
        <v>302</v>
      </c>
      <c r="FR383" s="88">
        <v>0</v>
      </c>
      <c r="FS383" s="88">
        <v>0</v>
      </c>
      <c r="FT383" s="88">
        <v>0</v>
      </c>
      <c r="FU383" s="88">
        <v>0</v>
      </c>
      <c r="FV383" s="88">
        <v>0</v>
      </c>
      <c r="FW383" s="88">
        <v>119</v>
      </c>
      <c r="FX383" s="32">
        <v>0</v>
      </c>
      <c r="FY383" s="32">
        <v>0</v>
      </c>
      <c r="FZ383" s="32">
        <v>261</v>
      </c>
    </row>
    <row r="384" spans="1:182" s="22" customFormat="1" x14ac:dyDescent="0.2">
      <c r="A384" s="41">
        <v>43252</v>
      </c>
      <c r="B384" s="100">
        <f t="shared" si="26"/>
        <v>62948237.119999997</v>
      </c>
      <c r="C384" s="42">
        <v>84026.4</v>
      </c>
      <c r="D384" s="42">
        <v>366557.86000000004</v>
      </c>
      <c r="E384" s="43">
        <f t="shared" si="20"/>
        <v>450584.26</v>
      </c>
      <c r="F384" s="42">
        <v>5136389.1399999997</v>
      </c>
      <c r="G384" s="42">
        <v>1213758.9600000002</v>
      </c>
      <c r="H384" s="32">
        <f t="shared" si="19"/>
        <v>6350148.0999999996</v>
      </c>
      <c r="I384" s="42"/>
      <c r="J384" s="42"/>
      <c r="K384" s="98">
        <v>11711361.42</v>
      </c>
      <c r="L384" s="42"/>
      <c r="M384" s="42"/>
      <c r="N384" s="98">
        <v>20408183.439999998</v>
      </c>
      <c r="O384" s="42"/>
      <c r="P384" s="42"/>
      <c r="Q384" s="98">
        <v>23538142.099999998</v>
      </c>
      <c r="R384" s="42"/>
      <c r="S384" s="42"/>
      <c r="T384" s="42">
        <v>157885.21</v>
      </c>
      <c r="U384" s="42">
        <v>1610.9299999999998</v>
      </c>
      <c r="V384" s="42">
        <v>1372.53</v>
      </c>
      <c r="W384" s="42">
        <f t="shared" si="21"/>
        <v>2983.46</v>
      </c>
      <c r="X384" s="42">
        <v>44143.229999999996</v>
      </c>
      <c r="Y384" s="42">
        <v>1492.4</v>
      </c>
      <c r="Z384" s="32">
        <f t="shared" si="22"/>
        <v>45635.63</v>
      </c>
      <c r="AA384" s="42">
        <v>158344.66999999998</v>
      </c>
      <c r="AB384" s="42">
        <v>22246.260000000002</v>
      </c>
      <c r="AC384" s="32">
        <f t="shared" si="23"/>
        <v>180590.93</v>
      </c>
      <c r="AD384" s="42">
        <v>4131.8999999999996</v>
      </c>
      <c r="AE384" s="42">
        <v>7422.1899999999987</v>
      </c>
      <c r="AF384" s="32">
        <f t="shared" si="24"/>
        <v>11554.089999999998</v>
      </c>
      <c r="AG384" s="32">
        <v>9685.76</v>
      </c>
      <c r="AH384" s="32">
        <v>36061.97</v>
      </c>
      <c r="AI384" s="32">
        <f t="shared" si="25"/>
        <v>45747.73</v>
      </c>
      <c r="AJ384" s="42"/>
      <c r="AK384" s="42"/>
      <c r="AL384" s="42">
        <v>45420.75</v>
      </c>
      <c r="AM384" s="42"/>
      <c r="AN384" s="42"/>
      <c r="AO384" s="42"/>
      <c r="AP384" s="42"/>
      <c r="AQ384" s="42"/>
      <c r="AR384" s="42"/>
      <c r="AS384" s="42"/>
      <c r="AT384" s="42"/>
      <c r="AU384" s="42">
        <v>1465783.8399999999</v>
      </c>
      <c r="AV384" s="42"/>
      <c r="AW384" s="42"/>
      <c r="AX384" s="42">
        <v>34355.369999999995</v>
      </c>
      <c r="AY384" s="42">
        <v>6508455.5</v>
      </c>
      <c r="AZ384" s="42">
        <v>1034240</v>
      </c>
      <c r="BA384" s="43">
        <f t="shared" si="27"/>
        <v>7542695.5</v>
      </c>
      <c r="BB384" s="42"/>
      <c r="BC384" s="42"/>
      <c r="BD384" s="42">
        <v>1404002.4444444443</v>
      </c>
      <c r="BE384" s="88">
        <v>0</v>
      </c>
      <c r="BF384" s="88">
        <v>0</v>
      </c>
      <c r="BG384" s="88">
        <v>45</v>
      </c>
      <c r="BH384" s="88">
        <v>0</v>
      </c>
      <c r="BI384" s="88">
        <v>0</v>
      </c>
      <c r="BJ384" s="88">
        <v>0</v>
      </c>
      <c r="BK384" s="88">
        <v>0</v>
      </c>
      <c r="BL384" s="88">
        <v>0</v>
      </c>
      <c r="BM384" s="88">
        <v>91</v>
      </c>
      <c r="BN384" s="88">
        <v>0</v>
      </c>
      <c r="BO384" s="88">
        <v>0</v>
      </c>
      <c r="BP384" s="88">
        <v>1</v>
      </c>
      <c r="BQ384" s="88">
        <v>0</v>
      </c>
      <c r="BR384" s="88">
        <v>0</v>
      </c>
      <c r="BS384" s="88">
        <v>108</v>
      </c>
      <c r="BT384" s="88">
        <v>0</v>
      </c>
      <c r="BU384" s="88">
        <v>0</v>
      </c>
      <c r="BV384" s="88">
        <v>0</v>
      </c>
      <c r="BW384" s="88"/>
      <c r="BX384" s="88"/>
      <c r="BY384" s="88"/>
      <c r="BZ384" s="88">
        <v>0</v>
      </c>
      <c r="CA384" s="88">
        <v>0</v>
      </c>
      <c r="CB384" s="88">
        <v>176</v>
      </c>
      <c r="CC384" s="88"/>
      <c r="CD384" s="88"/>
      <c r="CE384" s="88"/>
      <c r="CF384" s="88">
        <v>0</v>
      </c>
      <c r="CG384" s="88">
        <v>0</v>
      </c>
      <c r="CH384" s="88">
        <v>2</v>
      </c>
      <c r="CI384" s="88">
        <v>0</v>
      </c>
      <c r="CJ384" s="88">
        <v>0</v>
      </c>
      <c r="CK384" s="88">
        <v>24</v>
      </c>
      <c r="CL384" s="88">
        <v>0</v>
      </c>
      <c r="CM384" s="88">
        <v>0</v>
      </c>
      <c r="CN384" s="88">
        <v>0</v>
      </c>
      <c r="CO384" s="88">
        <v>0</v>
      </c>
      <c r="CP384" s="88">
        <v>0</v>
      </c>
      <c r="CQ384" s="88">
        <v>3</v>
      </c>
      <c r="CR384" s="88">
        <v>0</v>
      </c>
      <c r="CS384" s="88">
        <v>0</v>
      </c>
      <c r="CT384" s="88">
        <v>0</v>
      </c>
      <c r="CU384" s="88">
        <v>0</v>
      </c>
      <c r="CV384" s="88">
        <v>0</v>
      </c>
      <c r="CW384" s="88">
        <v>172</v>
      </c>
      <c r="CX384" s="88">
        <v>0</v>
      </c>
      <c r="CY384" s="88">
        <v>0</v>
      </c>
      <c r="CZ384" s="88">
        <v>0</v>
      </c>
      <c r="DA384" s="88">
        <v>0</v>
      </c>
      <c r="DB384" s="88">
        <v>0</v>
      </c>
      <c r="DC384" s="88">
        <v>1</v>
      </c>
      <c r="DD384" s="88">
        <v>0</v>
      </c>
      <c r="DE384" s="88">
        <v>0</v>
      </c>
      <c r="DF384" s="88">
        <v>0</v>
      </c>
      <c r="DG384" s="88">
        <v>0</v>
      </c>
      <c r="DH384" s="88">
        <v>0</v>
      </c>
      <c r="DI384" s="88">
        <v>1</v>
      </c>
      <c r="DJ384" s="88">
        <v>0</v>
      </c>
      <c r="DK384" s="88">
        <v>0</v>
      </c>
      <c r="DL384" s="88">
        <v>0</v>
      </c>
      <c r="DM384" s="88">
        <v>0</v>
      </c>
      <c r="DN384" s="88">
        <v>0</v>
      </c>
      <c r="DO384" s="88">
        <v>0</v>
      </c>
      <c r="DP384" s="88">
        <v>0</v>
      </c>
      <c r="DQ384" s="88">
        <v>0</v>
      </c>
      <c r="DR384" s="113">
        <v>0</v>
      </c>
      <c r="DS384" s="87">
        <v>0</v>
      </c>
      <c r="DT384" s="87">
        <v>0</v>
      </c>
      <c r="DU384" s="87">
        <v>67</v>
      </c>
      <c r="DV384" s="87">
        <v>0</v>
      </c>
      <c r="DW384" s="87">
        <v>0</v>
      </c>
      <c r="DX384" s="87">
        <v>0</v>
      </c>
      <c r="DY384" s="88">
        <v>0</v>
      </c>
      <c r="DZ384" s="88">
        <v>0</v>
      </c>
      <c r="EA384" s="88">
        <v>907</v>
      </c>
      <c r="EB384" s="88">
        <v>0</v>
      </c>
      <c r="EC384" s="88">
        <v>0</v>
      </c>
      <c r="ED384" s="88">
        <v>2</v>
      </c>
      <c r="EE384" s="88">
        <v>0</v>
      </c>
      <c r="EF384" s="88">
        <v>0</v>
      </c>
      <c r="EG384" s="88">
        <v>487</v>
      </c>
      <c r="EH384" s="88">
        <v>0</v>
      </c>
      <c r="EI384" s="88">
        <v>0</v>
      </c>
      <c r="EJ384" s="88">
        <v>34</v>
      </c>
      <c r="EK384" s="88">
        <v>0</v>
      </c>
      <c r="EL384" s="88">
        <v>0</v>
      </c>
      <c r="EM384" s="88">
        <v>762</v>
      </c>
      <c r="EN384" s="88">
        <v>0</v>
      </c>
      <c r="EO384" s="88">
        <v>0</v>
      </c>
      <c r="EP384" s="88">
        <v>66</v>
      </c>
      <c r="EQ384" s="88">
        <v>0</v>
      </c>
      <c r="ER384" s="88">
        <v>0</v>
      </c>
      <c r="ES384" s="88">
        <v>20</v>
      </c>
      <c r="ET384" s="88">
        <v>0</v>
      </c>
      <c r="EU384" s="88">
        <v>0</v>
      </c>
      <c r="EV384" s="88">
        <v>5</v>
      </c>
      <c r="EW384" s="88">
        <v>0</v>
      </c>
      <c r="EX384" s="88">
        <v>0</v>
      </c>
      <c r="EY384" s="88">
        <v>1</v>
      </c>
      <c r="EZ384" s="88">
        <v>0</v>
      </c>
      <c r="FA384" s="88">
        <v>0</v>
      </c>
      <c r="FB384" s="88">
        <v>0</v>
      </c>
      <c r="FC384" s="88">
        <v>0</v>
      </c>
      <c r="FD384" s="88">
        <v>0</v>
      </c>
      <c r="FE384" s="88">
        <v>2</v>
      </c>
      <c r="FF384" s="88">
        <v>0</v>
      </c>
      <c r="FG384" s="88">
        <v>0</v>
      </c>
      <c r="FH384" s="88">
        <v>0</v>
      </c>
      <c r="FI384" s="88">
        <v>0</v>
      </c>
      <c r="FJ384" s="88">
        <v>0</v>
      </c>
      <c r="FK384" s="32">
        <v>15</v>
      </c>
      <c r="FL384" s="88">
        <v>0</v>
      </c>
      <c r="FM384" s="88">
        <v>0</v>
      </c>
      <c r="FN384" s="88">
        <v>2140</v>
      </c>
      <c r="FO384" s="88">
        <v>0</v>
      </c>
      <c r="FP384" s="88">
        <v>0</v>
      </c>
      <c r="FQ384" s="88">
        <v>214</v>
      </c>
      <c r="FR384" s="88">
        <v>0</v>
      </c>
      <c r="FS384" s="88">
        <v>0</v>
      </c>
      <c r="FT384" s="88">
        <v>0</v>
      </c>
      <c r="FU384" s="88">
        <v>0</v>
      </c>
      <c r="FV384" s="88">
        <v>0</v>
      </c>
      <c r="FW384" s="88">
        <v>42</v>
      </c>
      <c r="FX384" s="32">
        <v>0</v>
      </c>
      <c r="FY384" s="32">
        <v>0</v>
      </c>
      <c r="FZ384" s="32">
        <v>109</v>
      </c>
    </row>
    <row r="385" spans="1:182" s="22" customFormat="1" x14ac:dyDescent="0.2">
      <c r="A385" s="41">
        <v>43282</v>
      </c>
      <c r="B385" s="100">
        <f t="shared" si="26"/>
        <v>62610156.869999997</v>
      </c>
      <c r="C385" s="42">
        <v>62951.62</v>
      </c>
      <c r="D385" s="42">
        <v>310291.17000000004</v>
      </c>
      <c r="E385" s="43">
        <f t="shared" si="20"/>
        <v>373242.79000000004</v>
      </c>
      <c r="F385" s="42">
        <v>3739786.83</v>
      </c>
      <c r="G385" s="42">
        <v>1704344.2999999998</v>
      </c>
      <c r="H385" s="32">
        <f t="shared" si="19"/>
        <v>5444131.1299999999</v>
      </c>
      <c r="I385" s="42"/>
      <c r="J385" s="42"/>
      <c r="K385" s="98">
        <v>13101394.889999999</v>
      </c>
      <c r="L385" s="42"/>
      <c r="M385" s="42"/>
      <c r="N385" s="98">
        <v>21109803.530000001</v>
      </c>
      <c r="O385" s="42"/>
      <c r="P385" s="42"/>
      <c r="Q385" s="98">
        <v>22069572.699999999</v>
      </c>
      <c r="R385" s="42"/>
      <c r="S385" s="42"/>
      <c r="T385" s="42">
        <v>142421.19</v>
      </c>
      <c r="U385" s="42">
        <v>1095.6600000000001</v>
      </c>
      <c r="V385" s="42">
        <v>997.23</v>
      </c>
      <c r="W385" s="42">
        <f t="shared" si="21"/>
        <v>2092.8900000000003</v>
      </c>
      <c r="X385" s="42">
        <v>46690.81</v>
      </c>
      <c r="Y385" s="42">
        <v>2145.1</v>
      </c>
      <c r="Z385" s="32">
        <f t="shared" si="22"/>
        <v>48835.909999999996</v>
      </c>
      <c r="AA385" s="42">
        <v>169279.45</v>
      </c>
      <c r="AB385" s="42">
        <v>39920.46</v>
      </c>
      <c r="AC385" s="32">
        <f t="shared" si="23"/>
        <v>209199.91</v>
      </c>
      <c r="AD385" s="42">
        <v>2767.69</v>
      </c>
      <c r="AE385" s="42">
        <v>5985.66</v>
      </c>
      <c r="AF385" s="32">
        <f t="shared" si="24"/>
        <v>8753.35</v>
      </c>
      <c r="AG385" s="32">
        <v>15496.29</v>
      </c>
      <c r="AH385" s="32">
        <v>43552.640000000007</v>
      </c>
      <c r="AI385" s="32">
        <f t="shared" si="25"/>
        <v>59048.930000000008</v>
      </c>
      <c r="AJ385" s="42"/>
      <c r="AK385" s="42"/>
      <c r="AL385" s="42">
        <v>41659.65</v>
      </c>
      <c r="AM385" s="42"/>
      <c r="AN385" s="42"/>
      <c r="AO385" s="42"/>
      <c r="AP385" s="42"/>
      <c r="AQ385" s="42"/>
      <c r="AR385" s="42"/>
      <c r="AS385" s="42"/>
      <c r="AT385" s="42"/>
      <c r="AU385" s="42">
        <v>1194430.55</v>
      </c>
      <c r="AV385" s="42"/>
      <c r="AW385" s="42"/>
      <c r="AX385" s="42">
        <v>33022.42</v>
      </c>
      <c r="AY385" s="42">
        <v>7074849</v>
      </c>
      <c r="AZ385" s="42">
        <v>1025720</v>
      </c>
      <c r="BA385" s="43">
        <f t="shared" si="27"/>
        <v>8100569</v>
      </c>
      <c r="BB385" s="42"/>
      <c r="BC385" s="42"/>
      <c r="BD385" s="42">
        <v>1486260.311111111</v>
      </c>
      <c r="BE385" s="88">
        <v>0</v>
      </c>
      <c r="BF385" s="88">
        <v>0</v>
      </c>
      <c r="BG385" s="88">
        <v>49</v>
      </c>
      <c r="BH385" s="88">
        <v>0</v>
      </c>
      <c r="BI385" s="88">
        <v>0</v>
      </c>
      <c r="BJ385" s="88">
        <v>0</v>
      </c>
      <c r="BK385" s="88">
        <v>0</v>
      </c>
      <c r="BL385" s="88">
        <v>0</v>
      </c>
      <c r="BM385" s="88">
        <v>126</v>
      </c>
      <c r="BN385" s="88">
        <v>0</v>
      </c>
      <c r="BO385" s="88">
        <v>0</v>
      </c>
      <c r="BP385" s="88">
        <v>0</v>
      </c>
      <c r="BQ385" s="88">
        <v>0</v>
      </c>
      <c r="BR385" s="88">
        <v>0</v>
      </c>
      <c r="BS385" s="88">
        <v>121</v>
      </c>
      <c r="BT385" s="88">
        <v>0</v>
      </c>
      <c r="BU385" s="88">
        <v>0</v>
      </c>
      <c r="BV385" s="88">
        <v>0</v>
      </c>
      <c r="BW385" s="88"/>
      <c r="BX385" s="88"/>
      <c r="BY385" s="88"/>
      <c r="BZ385" s="88">
        <v>0</v>
      </c>
      <c r="CA385" s="88">
        <v>0</v>
      </c>
      <c r="CB385" s="88">
        <v>164</v>
      </c>
      <c r="CC385" s="88"/>
      <c r="CD385" s="88"/>
      <c r="CE385" s="88"/>
      <c r="CF385" s="88">
        <v>0</v>
      </c>
      <c r="CG385" s="88">
        <v>0</v>
      </c>
      <c r="CH385" s="88">
        <v>0</v>
      </c>
      <c r="CI385" s="88">
        <v>0</v>
      </c>
      <c r="CJ385" s="88">
        <v>0</v>
      </c>
      <c r="CK385" s="88">
        <v>8</v>
      </c>
      <c r="CL385" s="88">
        <v>0</v>
      </c>
      <c r="CM385" s="88">
        <v>0</v>
      </c>
      <c r="CN385" s="88">
        <v>0</v>
      </c>
      <c r="CO385" s="88">
        <v>0</v>
      </c>
      <c r="CP385" s="88">
        <v>0</v>
      </c>
      <c r="CQ385" s="88">
        <v>2</v>
      </c>
      <c r="CR385" s="88">
        <v>0</v>
      </c>
      <c r="CS385" s="88">
        <v>0</v>
      </c>
      <c r="CT385" s="88">
        <v>0</v>
      </c>
      <c r="CU385" s="88">
        <v>0</v>
      </c>
      <c r="CV385" s="88">
        <v>0</v>
      </c>
      <c r="CW385" s="88">
        <v>266</v>
      </c>
      <c r="CX385" s="88">
        <v>0</v>
      </c>
      <c r="CY385" s="88">
        <v>0</v>
      </c>
      <c r="CZ385" s="88">
        <v>0</v>
      </c>
      <c r="DA385" s="88">
        <v>0</v>
      </c>
      <c r="DB385" s="88">
        <v>0</v>
      </c>
      <c r="DC385" s="88">
        <v>0</v>
      </c>
      <c r="DD385" s="88">
        <v>0</v>
      </c>
      <c r="DE385" s="88">
        <v>0</v>
      </c>
      <c r="DF385" s="88">
        <v>0</v>
      </c>
      <c r="DG385" s="88">
        <v>0</v>
      </c>
      <c r="DH385" s="88">
        <v>0</v>
      </c>
      <c r="DI385" s="88">
        <v>1</v>
      </c>
      <c r="DJ385" s="88">
        <v>0</v>
      </c>
      <c r="DK385" s="88">
        <v>0</v>
      </c>
      <c r="DL385" s="88">
        <v>0</v>
      </c>
      <c r="DM385" s="88">
        <v>0</v>
      </c>
      <c r="DN385" s="88">
        <v>0</v>
      </c>
      <c r="DO385" s="88">
        <v>0</v>
      </c>
      <c r="DP385" s="88">
        <v>0</v>
      </c>
      <c r="DQ385" s="88">
        <v>0</v>
      </c>
      <c r="DR385" s="113">
        <v>0</v>
      </c>
      <c r="DS385" s="87">
        <v>0</v>
      </c>
      <c r="DT385" s="87">
        <v>0</v>
      </c>
      <c r="DU385" s="87">
        <v>249</v>
      </c>
      <c r="DV385" s="87">
        <v>0</v>
      </c>
      <c r="DW385" s="87">
        <v>0</v>
      </c>
      <c r="DX385" s="87">
        <v>0</v>
      </c>
      <c r="DY385" s="88">
        <v>0</v>
      </c>
      <c r="DZ385" s="88">
        <v>0</v>
      </c>
      <c r="EA385" s="88">
        <v>774</v>
      </c>
      <c r="EB385" s="88">
        <v>0</v>
      </c>
      <c r="EC385" s="88">
        <v>0</v>
      </c>
      <c r="ED385" s="88">
        <v>2</v>
      </c>
      <c r="EE385" s="88">
        <v>0</v>
      </c>
      <c r="EF385" s="88">
        <v>0</v>
      </c>
      <c r="EG385" s="88">
        <v>352.99</v>
      </c>
      <c r="EH385" s="88">
        <v>0</v>
      </c>
      <c r="EI385" s="88">
        <v>0</v>
      </c>
      <c r="EJ385" s="88">
        <v>48</v>
      </c>
      <c r="EK385" s="88">
        <v>0</v>
      </c>
      <c r="EL385" s="88">
        <v>0</v>
      </c>
      <c r="EM385" s="88">
        <v>736</v>
      </c>
      <c r="EN385" s="88">
        <v>0</v>
      </c>
      <c r="EO385" s="88">
        <v>0</v>
      </c>
      <c r="EP385" s="88">
        <v>3</v>
      </c>
      <c r="EQ385" s="88">
        <v>0</v>
      </c>
      <c r="ER385" s="88">
        <v>0</v>
      </c>
      <c r="ES385" s="88">
        <v>17</v>
      </c>
      <c r="ET385" s="88">
        <v>0</v>
      </c>
      <c r="EU385" s="88">
        <v>0</v>
      </c>
      <c r="EV385" s="88">
        <v>3</v>
      </c>
      <c r="EW385" s="88">
        <v>0</v>
      </c>
      <c r="EX385" s="88">
        <v>0</v>
      </c>
      <c r="EY385" s="88">
        <v>4</v>
      </c>
      <c r="EZ385" s="88">
        <v>0</v>
      </c>
      <c r="FA385" s="88">
        <v>0</v>
      </c>
      <c r="FB385" s="88">
        <v>0</v>
      </c>
      <c r="FC385" s="88">
        <v>0</v>
      </c>
      <c r="FD385" s="88">
        <v>0</v>
      </c>
      <c r="FE385" s="88">
        <v>2</v>
      </c>
      <c r="FF385" s="88">
        <v>0</v>
      </c>
      <c r="FG385" s="88">
        <v>0</v>
      </c>
      <c r="FH385" s="88">
        <v>0</v>
      </c>
      <c r="FI385" s="88">
        <v>0</v>
      </c>
      <c r="FJ385" s="88">
        <v>0</v>
      </c>
      <c r="FK385" s="32">
        <v>39</v>
      </c>
      <c r="FL385" s="88">
        <v>0</v>
      </c>
      <c r="FM385" s="88">
        <v>0</v>
      </c>
      <c r="FN385" s="88">
        <v>2296</v>
      </c>
      <c r="FO385" s="88">
        <v>0</v>
      </c>
      <c r="FP385" s="88">
        <v>0</v>
      </c>
      <c r="FQ385" s="88">
        <v>193</v>
      </c>
      <c r="FR385" s="88">
        <v>0</v>
      </c>
      <c r="FS385" s="88">
        <v>0</v>
      </c>
      <c r="FT385" s="88">
        <v>0</v>
      </c>
      <c r="FU385" s="88">
        <v>0</v>
      </c>
      <c r="FV385" s="88">
        <v>0</v>
      </c>
      <c r="FW385" s="88">
        <v>23</v>
      </c>
      <c r="FX385" s="32">
        <v>0</v>
      </c>
      <c r="FY385" s="32">
        <v>0</v>
      </c>
      <c r="FZ385" s="32">
        <v>838</v>
      </c>
    </row>
    <row r="386" spans="1:182" s="22" customFormat="1" x14ac:dyDescent="0.2">
      <c r="A386" s="41">
        <v>43313</v>
      </c>
      <c r="B386" s="100">
        <f t="shared" si="26"/>
        <v>69441678.439999998</v>
      </c>
      <c r="C386" s="42">
        <v>53141.599999999999</v>
      </c>
      <c r="D386" s="42">
        <v>326443.27000000014</v>
      </c>
      <c r="E386" s="43">
        <f t="shared" si="20"/>
        <v>379584.87000000011</v>
      </c>
      <c r="F386" s="42">
        <v>4057705.04</v>
      </c>
      <c r="G386" s="42">
        <v>1585488.9000000011</v>
      </c>
      <c r="H386" s="32">
        <f t="shared" si="19"/>
        <v>5643193.9400000013</v>
      </c>
      <c r="I386" s="42"/>
      <c r="J386" s="42"/>
      <c r="K386" s="98">
        <v>15038460.73</v>
      </c>
      <c r="L386" s="42"/>
      <c r="M386" s="42"/>
      <c r="N386" s="98">
        <v>21706054.710000001</v>
      </c>
      <c r="O386" s="42"/>
      <c r="P386" s="42"/>
      <c r="Q386" s="98">
        <v>26126296.999999996</v>
      </c>
      <c r="R386" s="42"/>
      <c r="S386" s="42"/>
      <c r="T386" s="42">
        <v>193447.35999999996</v>
      </c>
      <c r="U386" s="42">
        <v>1516.99</v>
      </c>
      <c r="V386" s="42">
        <v>2551.4700000000003</v>
      </c>
      <c r="W386" s="42">
        <f t="shared" si="21"/>
        <v>4068.46</v>
      </c>
      <c r="X386" s="42">
        <v>45687.92</v>
      </c>
      <c r="Y386" s="42">
        <v>2634.75</v>
      </c>
      <c r="Z386" s="32">
        <f t="shared" si="22"/>
        <v>48322.67</v>
      </c>
      <c r="AA386" s="42">
        <v>138230.42000000001</v>
      </c>
      <c r="AB386" s="42">
        <v>24706.16</v>
      </c>
      <c r="AC386" s="32">
        <f t="shared" si="23"/>
        <v>162936.58000000002</v>
      </c>
      <c r="AD386" s="42">
        <v>3655.44</v>
      </c>
      <c r="AE386" s="42">
        <v>18650.59</v>
      </c>
      <c r="AF386" s="32">
        <f t="shared" si="24"/>
        <v>22306.03</v>
      </c>
      <c r="AG386" s="32">
        <v>14738.550000000001</v>
      </c>
      <c r="AH386" s="32">
        <v>50667.840000000011</v>
      </c>
      <c r="AI386" s="32">
        <f t="shared" si="25"/>
        <v>65406.390000000014</v>
      </c>
      <c r="AJ386" s="42"/>
      <c r="AK386" s="42"/>
      <c r="AL386" s="42">
        <v>51599.7</v>
      </c>
      <c r="AM386" s="42"/>
      <c r="AN386" s="42"/>
      <c r="AO386" s="42"/>
      <c r="AP386" s="42"/>
      <c r="AQ386" s="42"/>
      <c r="AR386" s="42"/>
      <c r="AS386" s="42"/>
      <c r="AT386" s="42"/>
      <c r="AU386" s="42">
        <v>1390637.34</v>
      </c>
      <c r="AV386" s="42"/>
      <c r="AW386" s="42"/>
      <c r="AX386" s="42">
        <v>35950.32</v>
      </c>
      <c r="AY386" s="42">
        <v>7145347</v>
      </c>
      <c r="AZ386" s="42">
        <v>1358090</v>
      </c>
      <c r="BA386" s="43">
        <f t="shared" si="27"/>
        <v>8503437</v>
      </c>
      <c r="BB386" s="42"/>
      <c r="BC386" s="42"/>
      <c r="BD386" s="42">
        <v>1465558</v>
      </c>
      <c r="BE386" s="88">
        <v>0</v>
      </c>
      <c r="BF386" s="88">
        <v>0</v>
      </c>
      <c r="BG386" s="88">
        <v>56</v>
      </c>
      <c r="BH386" s="88">
        <v>0</v>
      </c>
      <c r="BI386" s="88">
        <v>0</v>
      </c>
      <c r="BJ386" s="88">
        <v>0</v>
      </c>
      <c r="BK386" s="88">
        <v>0</v>
      </c>
      <c r="BL386" s="88">
        <v>0</v>
      </c>
      <c r="BM386" s="88">
        <v>135</v>
      </c>
      <c r="BN386" s="88">
        <v>0</v>
      </c>
      <c r="BO386" s="88">
        <v>0</v>
      </c>
      <c r="BP386" s="88">
        <v>4</v>
      </c>
      <c r="BQ386" s="88">
        <v>0</v>
      </c>
      <c r="BR386" s="88">
        <v>0</v>
      </c>
      <c r="BS386" s="88">
        <v>209</v>
      </c>
      <c r="BT386" s="88">
        <v>0</v>
      </c>
      <c r="BU386" s="88">
        <v>0</v>
      </c>
      <c r="BV386" s="88">
        <v>0</v>
      </c>
      <c r="BW386" s="88"/>
      <c r="BX386" s="88"/>
      <c r="BY386" s="88"/>
      <c r="BZ386" s="88">
        <v>0</v>
      </c>
      <c r="CA386" s="88">
        <v>0</v>
      </c>
      <c r="CB386" s="88">
        <v>169</v>
      </c>
      <c r="CC386" s="88"/>
      <c r="CD386" s="88"/>
      <c r="CE386" s="88"/>
      <c r="CF386" s="88">
        <v>0</v>
      </c>
      <c r="CG386" s="88">
        <v>0</v>
      </c>
      <c r="CH386" s="88">
        <v>1</v>
      </c>
      <c r="CI386" s="88">
        <v>0</v>
      </c>
      <c r="CJ386" s="88">
        <v>0</v>
      </c>
      <c r="CK386" s="88">
        <v>18</v>
      </c>
      <c r="CL386" s="88">
        <v>0</v>
      </c>
      <c r="CM386" s="88">
        <v>0</v>
      </c>
      <c r="CN386" s="88">
        <v>0</v>
      </c>
      <c r="CO386" s="88">
        <v>0</v>
      </c>
      <c r="CP386" s="88">
        <v>0</v>
      </c>
      <c r="CQ386" s="88">
        <v>21</v>
      </c>
      <c r="CR386" s="88">
        <v>0</v>
      </c>
      <c r="CS386" s="88">
        <v>0</v>
      </c>
      <c r="CT386" s="88">
        <v>0</v>
      </c>
      <c r="CU386" s="88">
        <v>0</v>
      </c>
      <c r="CV386" s="88">
        <v>0</v>
      </c>
      <c r="CW386" s="88">
        <v>242</v>
      </c>
      <c r="CX386" s="88">
        <v>0</v>
      </c>
      <c r="CY386" s="88">
        <v>0</v>
      </c>
      <c r="CZ386" s="88">
        <v>1</v>
      </c>
      <c r="DA386" s="88">
        <v>0</v>
      </c>
      <c r="DB386" s="88">
        <v>0</v>
      </c>
      <c r="DC386" s="88">
        <v>1</v>
      </c>
      <c r="DD386" s="88">
        <v>0</v>
      </c>
      <c r="DE386" s="88">
        <v>0</v>
      </c>
      <c r="DF386" s="88">
        <v>0</v>
      </c>
      <c r="DG386" s="88">
        <v>0</v>
      </c>
      <c r="DH386" s="88">
        <v>0</v>
      </c>
      <c r="DI386" s="88">
        <v>2</v>
      </c>
      <c r="DJ386" s="88">
        <v>0</v>
      </c>
      <c r="DK386" s="88">
        <v>0</v>
      </c>
      <c r="DL386" s="88">
        <v>0</v>
      </c>
      <c r="DM386" s="88">
        <v>0</v>
      </c>
      <c r="DN386" s="88">
        <v>0</v>
      </c>
      <c r="DO386" s="88">
        <v>0</v>
      </c>
      <c r="DP386" s="88">
        <v>0</v>
      </c>
      <c r="DQ386" s="88">
        <v>0</v>
      </c>
      <c r="DR386" s="113">
        <v>0</v>
      </c>
      <c r="DS386" s="87">
        <v>0</v>
      </c>
      <c r="DT386" s="87">
        <v>0</v>
      </c>
      <c r="DU386" s="87">
        <v>183</v>
      </c>
      <c r="DV386" s="87">
        <v>0</v>
      </c>
      <c r="DW386" s="87">
        <v>0</v>
      </c>
      <c r="DX386" s="87">
        <v>0</v>
      </c>
      <c r="DY386" s="88">
        <v>0</v>
      </c>
      <c r="DZ386" s="88">
        <v>0</v>
      </c>
      <c r="EA386" s="88">
        <v>1273</v>
      </c>
      <c r="EB386" s="88">
        <v>0</v>
      </c>
      <c r="EC386" s="88">
        <v>0</v>
      </c>
      <c r="ED386" s="88">
        <v>0</v>
      </c>
      <c r="EE386" s="88">
        <v>0</v>
      </c>
      <c r="EF386" s="88">
        <v>0</v>
      </c>
      <c r="EG386" s="88">
        <v>772</v>
      </c>
      <c r="EH386" s="88">
        <v>0</v>
      </c>
      <c r="EI386" s="88">
        <v>0</v>
      </c>
      <c r="EJ386" s="88">
        <v>56</v>
      </c>
      <c r="EK386" s="88">
        <v>0</v>
      </c>
      <c r="EL386" s="88">
        <v>0</v>
      </c>
      <c r="EM386" s="88">
        <v>766</v>
      </c>
      <c r="EN386" s="88">
        <v>0</v>
      </c>
      <c r="EO386" s="88">
        <v>0</v>
      </c>
      <c r="EP386" s="88">
        <v>43</v>
      </c>
      <c r="EQ386" s="88">
        <v>0</v>
      </c>
      <c r="ER386" s="88">
        <v>0</v>
      </c>
      <c r="ES386" s="88">
        <v>19</v>
      </c>
      <c r="ET386" s="88">
        <v>0</v>
      </c>
      <c r="EU386" s="88">
        <v>0</v>
      </c>
      <c r="EV386" s="88">
        <v>2</v>
      </c>
      <c r="EW386" s="88">
        <v>0</v>
      </c>
      <c r="EX386" s="88">
        <v>0</v>
      </c>
      <c r="EY386" s="88">
        <v>9</v>
      </c>
      <c r="EZ386" s="88">
        <v>0</v>
      </c>
      <c r="FA386" s="88">
        <v>0</v>
      </c>
      <c r="FB386" s="88">
        <v>0</v>
      </c>
      <c r="FC386" s="88">
        <v>0</v>
      </c>
      <c r="FD386" s="88">
        <v>0</v>
      </c>
      <c r="FE386" s="88">
        <v>5</v>
      </c>
      <c r="FF386" s="88">
        <v>0</v>
      </c>
      <c r="FG386" s="88">
        <v>0</v>
      </c>
      <c r="FH386" s="88">
        <v>0</v>
      </c>
      <c r="FI386" s="88">
        <v>0</v>
      </c>
      <c r="FJ386" s="88">
        <v>0</v>
      </c>
      <c r="FK386" s="32">
        <v>57</v>
      </c>
      <c r="FL386" s="88">
        <v>0</v>
      </c>
      <c r="FM386" s="88">
        <v>0</v>
      </c>
      <c r="FN386" s="88">
        <v>2179</v>
      </c>
      <c r="FO386" s="88">
        <v>0</v>
      </c>
      <c r="FP386" s="88">
        <v>0</v>
      </c>
      <c r="FQ386" s="88">
        <v>230</v>
      </c>
      <c r="FR386" s="88">
        <v>0</v>
      </c>
      <c r="FS386" s="88">
        <v>0</v>
      </c>
      <c r="FT386" s="88">
        <v>0</v>
      </c>
      <c r="FU386" s="88">
        <v>0</v>
      </c>
      <c r="FV386" s="88">
        <v>0</v>
      </c>
      <c r="FW386" s="88">
        <v>129</v>
      </c>
      <c r="FX386" s="32">
        <v>0</v>
      </c>
      <c r="FY386" s="32">
        <v>0</v>
      </c>
      <c r="FZ386" s="32">
        <v>1301</v>
      </c>
    </row>
    <row r="387" spans="1:182" s="22" customFormat="1" x14ac:dyDescent="0.2">
      <c r="A387" s="41">
        <v>43344</v>
      </c>
      <c r="B387" s="100">
        <f t="shared" si="26"/>
        <v>81346505.62999998</v>
      </c>
      <c r="C387" s="42">
        <v>53528.39</v>
      </c>
      <c r="D387" s="42">
        <v>341906.52999999997</v>
      </c>
      <c r="E387" s="43">
        <f t="shared" si="20"/>
        <v>395434.92</v>
      </c>
      <c r="F387" s="42">
        <v>5236778.0600000005</v>
      </c>
      <c r="G387" s="42">
        <v>1783222.2600000009</v>
      </c>
      <c r="H387" s="32">
        <f t="shared" si="19"/>
        <v>7020000.3200000012</v>
      </c>
      <c r="I387" s="42"/>
      <c r="J387" s="42"/>
      <c r="K387" s="98">
        <v>25220857.709999997</v>
      </c>
      <c r="L387" s="42"/>
      <c r="M387" s="42"/>
      <c r="N387" s="98">
        <v>20575078.529999997</v>
      </c>
      <c r="O387" s="42"/>
      <c r="P387" s="42"/>
      <c r="Q387" s="98">
        <v>27555911.990000002</v>
      </c>
      <c r="R387" s="42"/>
      <c r="S387" s="42"/>
      <c r="T387" s="42">
        <v>140986.85000000003</v>
      </c>
      <c r="U387" s="42">
        <v>1565.3600000000001</v>
      </c>
      <c r="V387" s="42">
        <v>4236.3500000000004</v>
      </c>
      <c r="W387" s="42">
        <f t="shared" si="21"/>
        <v>5801.7100000000009</v>
      </c>
      <c r="X387" s="42">
        <v>28506.05</v>
      </c>
      <c r="Y387" s="42">
        <v>3424.25</v>
      </c>
      <c r="Z387" s="32">
        <f t="shared" si="22"/>
        <v>31930.3</v>
      </c>
      <c r="AA387" s="42">
        <v>80764.570000000007</v>
      </c>
      <c r="AB387" s="42">
        <v>19884.629999999997</v>
      </c>
      <c r="AC387" s="32">
        <f t="shared" si="23"/>
        <v>100649.20000000001</v>
      </c>
      <c r="AD387" s="42">
        <v>2452.3000000000002</v>
      </c>
      <c r="AE387" s="42">
        <v>22333.02</v>
      </c>
      <c r="AF387" s="32">
        <f t="shared" si="24"/>
        <v>24785.32</v>
      </c>
      <c r="AG387" s="32">
        <v>13362.15</v>
      </c>
      <c r="AH387" s="32">
        <v>58406.080000000002</v>
      </c>
      <c r="AI387" s="32">
        <f t="shared" si="25"/>
        <v>71768.23</v>
      </c>
      <c r="AJ387" s="42"/>
      <c r="AK387" s="42"/>
      <c r="AL387" s="42">
        <v>203300.55</v>
      </c>
      <c r="AM387" s="42"/>
      <c r="AN387" s="42"/>
      <c r="AO387" s="42"/>
      <c r="AP387" s="42"/>
      <c r="AQ387" s="42"/>
      <c r="AR387" s="42"/>
      <c r="AS387" s="42"/>
      <c r="AT387" s="42"/>
      <c r="AU387" s="42">
        <v>1291777.3599999999</v>
      </c>
      <c r="AV387" s="42"/>
      <c r="AW387" s="42"/>
      <c r="AX387" s="42">
        <v>37445.379999999997</v>
      </c>
      <c r="AY387" s="42">
        <v>6513603.5</v>
      </c>
      <c r="AZ387" s="42">
        <v>1042210</v>
      </c>
      <c r="BA387" s="43">
        <f t="shared" si="27"/>
        <v>7555813.5</v>
      </c>
      <c r="BB387" s="42"/>
      <c r="BC387" s="42"/>
      <c r="BD387" s="42">
        <v>1459799.0666666667</v>
      </c>
      <c r="BE387" s="88">
        <v>0</v>
      </c>
      <c r="BF387" s="88">
        <v>0</v>
      </c>
      <c r="BG387" s="88">
        <v>38</v>
      </c>
      <c r="BH387" s="88">
        <v>0</v>
      </c>
      <c r="BI387" s="88">
        <v>0</v>
      </c>
      <c r="BJ387" s="88">
        <v>0</v>
      </c>
      <c r="BK387" s="88">
        <v>0</v>
      </c>
      <c r="BL387" s="88">
        <v>0</v>
      </c>
      <c r="BM387" s="88">
        <v>133.99</v>
      </c>
      <c r="BN387" s="88">
        <v>0</v>
      </c>
      <c r="BO387" s="88">
        <v>0</v>
      </c>
      <c r="BP387" s="88">
        <v>0</v>
      </c>
      <c r="BQ387" s="88">
        <v>0</v>
      </c>
      <c r="BR387" s="88">
        <v>0</v>
      </c>
      <c r="BS387" s="88">
        <v>111</v>
      </c>
      <c r="BT387" s="88">
        <v>0</v>
      </c>
      <c r="BU387" s="88">
        <v>0</v>
      </c>
      <c r="BV387" s="88">
        <v>0</v>
      </c>
      <c r="BW387" s="88"/>
      <c r="BX387" s="88"/>
      <c r="BY387" s="88"/>
      <c r="BZ387" s="88">
        <v>0</v>
      </c>
      <c r="CA387" s="88">
        <v>0</v>
      </c>
      <c r="CB387" s="88">
        <v>141</v>
      </c>
      <c r="CC387" s="88"/>
      <c r="CD387" s="88"/>
      <c r="CE387" s="88"/>
      <c r="CF387" s="88">
        <v>0</v>
      </c>
      <c r="CG387" s="88">
        <v>0</v>
      </c>
      <c r="CH387" s="88">
        <v>0</v>
      </c>
      <c r="CI387" s="88">
        <v>0</v>
      </c>
      <c r="CJ387" s="88">
        <v>0</v>
      </c>
      <c r="CK387" s="88">
        <v>8</v>
      </c>
      <c r="CL387" s="88">
        <v>0</v>
      </c>
      <c r="CM387" s="88">
        <v>0</v>
      </c>
      <c r="CN387" s="88">
        <v>0</v>
      </c>
      <c r="CO387" s="88">
        <v>0</v>
      </c>
      <c r="CP387" s="88">
        <v>0</v>
      </c>
      <c r="CQ387" s="88">
        <v>3</v>
      </c>
      <c r="CR387" s="88">
        <v>0</v>
      </c>
      <c r="CS387" s="88">
        <v>0</v>
      </c>
      <c r="CT387" s="88">
        <v>0</v>
      </c>
      <c r="CU387" s="88">
        <v>0</v>
      </c>
      <c r="CV387" s="88">
        <v>0</v>
      </c>
      <c r="CW387" s="88">
        <v>151</v>
      </c>
      <c r="CX387" s="88">
        <v>0</v>
      </c>
      <c r="CY387" s="88">
        <v>0</v>
      </c>
      <c r="CZ387" s="88">
        <v>0</v>
      </c>
      <c r="DA387" s="88">
        <v>0</v>
      </c>
      <c r="DB387" s="88">
        <v>0</v>
      </c>
      <c r="DC387" s="88">
        <v>0</v>
      </c>
      <c r="DD387" s="88">
        <v>0</v>
      </c>
      <c r="DE387" s="88">
        <v>0</v>
      </c>
      <c r="DF387" s="88">
        <v>0</v>
      </c>
      <c r="DG387" s="88">
        <v>0</v>
      </c>
      <c r="DH387" s="88">
        <v>0</v>
      </c>
      <c r="DI387" s="88">
        <v>0</v>
      </c>
      <c r="DJ387" s="88">
        <v>0</v>
      </c>
      <c r="DK387" s="88">
        <v>0</v>
      </c>
      <c r="DL387" s="88">
        <v>0</v>
      </c>
      <c r="DM387" s="88">
        <v>0</v>
      </c>
      <c r="DN387" s="88">
        <v>0</v>
      </c>
      <c r="DO387" s="88">
        <v>0</v>
      </c>
      <c r="DP387" s="88">
        <v>0</v>
      </c>
      <c r="DQ387" s="88">
        <v>0</v>
      </c>
      <c r="DR387" s="113">
        <v>0</v>
      </c>
      <c r="DS387" s="87">
        <v>0</v>
      </c>
      <c r="DT387" s="87">
        <v>0</v>
      </c>
      <c r="DU387" s="87">
        <v>42</v>
      </c>
      <c r="DV387" s="87">
        <v>0</v>
      </c>
      <c r="DW387" s="87">
        <v>0</v>
      </c>
      <c r="DX387" s="87">
        <v>0</v>
      </c>
      <c r="DY387" s="88">
        <v>0</v>
      </c>
      <c r="DZ387" s="88">
        <v>0</v>
      </c>
      <c r="EA387" s="88">
        <v>1124</v>
      </c>
      <c r="EB387" s="88">
        <v>0</v>
      </c>
      <c r="EC387" s="88">
        <v>0</v>
      </c>
      <c r="ED387" s="88">
        <v>0</v>
      </c>
      <c r="EE387" s="88">
        <v>0</v>
      </c>
      <c r="EF387" s="88">
        <v>0</v>
      </c>
      <c r="EG387" s="88">
        <v>620</v>
      </c>
      <c r="EH387" s="88">
        <v>0</v>
      </c>
      <c r="EI387" s="88">
        <v>0</v>
      </c>
      <c r="EJ387" s="88">
        <v>78</v>
      </c>
      <c r="EK387" s="88">
        <v>0</v>
      </c>
      <c r="EL387" s="88">
        <v>0</v>
      </c>
      <c r="EM387" s="88">
        <v>700</v>
      </c>
      <c r="EN387" s="88">
        <v>0</v>
      </c>
      <c r="EO387" s="88">
        <v>0</v>
      </c>
      <c r="EP387" s="88">
        <v>6</v>
      </c>
      <c r="EQ387" s="88">
        <v>0</v>
      </c>
      <c r="ER387" s="88">
        <v>0</v>
      </c>
      <c r="ES387" s="88">
        <v>10</v>
      </c>
      <c r="ET387" s="88">
        <v>0</v>
      </c>
      <c r="EU387" s="88">
        <v>0</v>
      </c>
      <c r="EV387" s="88">
        <v>9</v>
      </c>
      <c r="EW387" s="88">
        <v>0</v>
      </c>
      <c r="EX387" s="88">
        <v>0</v>
      </c>
      <c r="EY387" s="88">
        <v>3</v>
      </c>
      <c r="EZ387" s="88">
        <v>0</v>
      </c>
      <c r="FA387" s="88">
        <v>0</v>
      </c>
      <c r="FB387" s="88">
        <v>0</v>
      </c>
      <c r="FC387" s="88">
        <v>0</v>
      </c>
      <c r="FD387" s="88">
        <v>0</v>
      </c>
      <c r="FE387" s="88">
        <v>4</v>
      </c>
      <c r="FF387" s="88">
        <v>0</v>
      </c>
      <c r="FG387" s="88">
        <v>0</v>
      </c>
      <c r="FH387" s="88">
        <v>0</v>
      </c>
      <c r="FI387" s="88">
        <v>0</v>
      </c>
      <c r="FJ387" s="88">
        <v>0</v>
      </c>
      <c r="FK387" s="32">
        <v>68</v>
      </c>
      <c r="FL387" s="88">
        <v>0</v>
      </c>
      <c r="FM387" s="88">
        <v>0</v>
      </c>
      <c r="FN387" s="88">
        <v>2337</v>
      </c>
      <c r="FO387" s="88">
        <v>0</v>
      </c>
      <c r="FP387" s="88">
        <v>0</v>
      </c>
      <c r="FQ387" s="88">
        <v>229</v>
      </c>
      <c r="FR387" s="88">
        <v>0</v>
      </c>
      <c r="FS387" s="88">
        <v>0</v>
      </c>
      <c r="FT387" s="88">
        <v>0</v>
      </c>
      <c r="FU387" s="88">
        <v>0</v>
      </c>
      <c r="FV387" s="88">
        <v>0</v>
      </c>
      <c r="FW387" s="88">
        <v>266</v>
      </c>
      <c r="FX387" s="32">
        <v>0</v>
      </c>
      <c r="FY387" s="32">
        <v>0</v>
      </c>
      <c r="FZ387" s="32">
        <v>61</v>
      </c>
    </row>
    <row r="388" spans="1:182" s="22" customFormat="1" x14ac:dyDescent="0.2">
      <c r="A388" s="41">
        <v>43374</v>
      </c>
      <c r="B388" s="100">
        <f t="shared" si="26"/>
        <v>86918140.169999987</v>
      </c>
      <c r="C388" s="42">
        <v>57400.56</v>
      </c>
      <c r="D388" s="42">
        <v>435354.23</v>
      </c>
      <c r="E388" s="43">
        <f t="shared" si="20"/>
        <v>492754.79</v>
      </c>
      <c r="F388" s="42">
        <v>6767007.79</v>
      </c>
      <c r="G388" s="42">
        <v>3004062.02</v>
      </c>
      <c r="H388" s="32">
        <f t="shared" si="19"/>
        <v>9771069.8100000005</v>
      </c>
      <c r="I388" s="42"/>
      <c r="J388" s="42"/>
      <c r="K388" s="98">
        <v>18686900.920000002</v>
      </c>
      <c r="L388" s="42"/>
      <c r="M388" s="42"/>
      <c r="N388" s="98">
        <v>25158276.650000002</v>
      </c>
      <c r="O388" s="42"/>
      <c r="P388" s="42"/>
      <c r="Q388" s="98">
        <v>32319293.039999995</v>
      </c>
      <c r="R388" s="42"/>
      <c r="S388" s="42"/>
      <c r="T388" s="42">
        <v>134308.20000000001</v>
      </c>
      <c r="U388" s="42">
        <v>3807.15</v>
      </c>
      <c r="V388" s="42">
        <v>7983.99</v>
      </c>
      <c r="W388" s="42">
        <f t="shared" si="21"/>
        <v>11791.14</v>
      </c>
      <c r="X388" s="42">
        <v>15473.07</v>
      </c>
      <c r="Y388" s="42">
        <v>2057.4499999999998</v>
      </c>
      <c r="Z388" s="32">
        <f t="shared" si="22"/>
        <v>17530.52</v>
      </c>
      <c r="AA388" s="42">
        <v>105403.96</v>
      </c>
      <c r="AB388" s="42">
        <v>33179.259999999995</v>
      </c>
      <c r="AC388" s="32">
        <f t="shared" si="23"/>
        <v>138583.22</v>
      </c>
      <c r="AD388" s="42">
        <v>3034.2700000000004</v>
      </c>
      <c r="AE388" s="42">
        <v>24318.790000000005</v>
      </c>
      <c r="AF388" s="32">
        <f t="shared" si="24"/>
        <v>27353.060000000005</v>
      </c>
      <c r="AG388" s="32">
        <v>16347.289999999999</v>
      </c>
      <c r="AH388" s="32">
        <v>68439.98000000001</v>
      </c>
      <c r="AI388" s="32">
        <f t="shared" si="25"/>
        <v>84787.27</v>
      </c>
      <c r="AJ388" s="42"/>
      <c r="AK388" s="42"/>
      <c r="AL388" s="42">
        <v>75491.55</v>
      </c>
      <c r="AM388" s="42"/>
      <c r="AN388" s="42"/>
      <c r="AO388" s="42"/>
      <c r="AP388" s="42"/>
      <c r="AQ388" s="42"/>
      <c r="AR388" s="42"/>
      <c r="AS388" s="42"/>
      <c r="AT388" s="42"/>
      <c r="AU388" s="42">
        <v>1480351.04</v>
      </c>
      <c r="AV388" s="42"/>
      <c r="AW388" s="42"/>
      <c r="AX388" s="42">
        <v>45316.549999999996</v>
      </c>
      <c r="AY388" s="42">
        <v>8556839.5999999996</v>
      </c>
      <c r="AZ388" s="42">
        <v>1734486.5</v>
      </c>
      <c r="BA388" s="43">
        <f t="shared" si="27"/>
        <v>10291326.1</v>
      </c>
      <c r="BB388" s="42"/>
      <c r="BC388" s="42"/>
      <c r="BD388" s="42">
        <v>1800463.5555555557</v>
      </c>
      <c r="BE388" s="88">
        <v>0</v>
      </c>
      <c r="BF388" s="88">
        <v>0</v>
      </c>
      <c r="BG388" s="88">
        <v>67</v>
      </c>
      <c r="BH388" s="88">
        <v>0</v>
      </c>
      <c r="BI388" s="88">
        <v>0</v>
      </c>
      <c r="BJ388" s="88">
        <v>0</v>
      </c>
      <c r="BK388" s="88">
        <v>0</v>
      </c>
      <c r="BL388" s="88">
        <v>0</v>
      </c>
      <c r="BM388" s="88">
        <v>221</v>
      </c>
      <c r="BN388" s="88">
        <v>0</v>
      </c>
      <c r="BO388" s="88">
        <v>0</v>
      </c>
      <c r="BP388" s="88">
        <v>1</v>
      </c>
      <c r="BQ388" s="88">
        <v>0</v>
      </c>
      <c r="BR388" s="88">
        <v>0</v>
      </c>
      <c r="BS388" s="88">
        <v>157</v>
      </c>
      <c r="BT388" s="88">
        <v>0</v>
      </c>
      <c r="BU388" s="88">
        <v>0</v>
      </c>
      <c r="BV388" s="88">
        <v>0</v>
      </c>
      <c r="BW388" s="88"/>
      <c r="BX388" s="88"/>
      <c r="BY388" s="88"/>
      <c r="BZ388" s="88">
        <v>0</v>
      </c>
      <c r="CA388" s="88">
        <v>0</v>
      </c>
      <c r="CB388" s="88">
        <v>238</v>
      </c>
      <c r="CC388" s="88"/>
      <c r="CD388" s="88"/>
      <c r="CE388" s="88"/>
      <c r="CF388" s="88">
        <v>0</v>
      </c>
      <c r="CG388" s="88">
        <v>0</v>
      </c>
      <c r="CH388" s="88">
        <v>0</v>
      </c>
      <c r="CI388" s="88">
        <v>0</v>
      </c>
      <c r="CJ388" s="88">
        <v>0</v>
      </c>
      <c r="CK388" s="88">
        <v>22</v>
      </c>
      <c r="CL388" s="88">
        <v>0</v>
      </c>
      <c r="CM388" s="88">
        <v>0</v>
      </c>
      <c r="CN388" s="88">
        <v>0</v>
      </c>
      <c r="CO388" s="88">
        <v>0</v>
      </c>
      <c r="CP388" s="88">
        <v>0</v>
      </c>
      <c r="CQ388" s="88">
        <v>11</v>
      </c>
      <c r="CR388" s="88">
        <v>0</v>
      </c>
      <c r="CS388" s="88">
        <v>0</v>
      </c>
      <c r="CT388" s="88">
        <v>0</v>
      </c>
      <c r="CU388" s="88">
        <v>0</v>
      </c>
      <c r="CV388" s="88">
        <v>0</v>
      </c>
      <c r="CW388" s="88">
        <v>145</v>
      </c>
      <c r="CX388" s="88">
        <v>0</v>
      </c>
      <c r="CY388" s="88">
        <v>0</v>
      </c>
      <c r="CZ388" s="88">
        <v>0</v>
      </c>
      <c r="DA388" s="88">
        <v>0</v>
      </c>
      <c r="DB388" s="88">
        <v>0</v>
      </c>
      <c r="DC388" s="88">
        <v>1</v>
      </c>
      <c r="DD388" s="88">
        <v>0</v>
      </c>
      <c r="DE388" s="88">
        <v>0</v>
      </c>
      <c r="DF388" s="88">
        <v>0</v>
      </c>
      <c r="DG388" s="88">
        <v>0</v>
      </c>
      <c r="DH388" s="88">
        <v>0</v>
      </c>
      <c r="DI388" s="88">
        <v>4</v>
      </c>
      <c r="DJ388" s="88">
        <v>0</v>
      </c>
      <c r="DK388" s="88">
        <v>0</v>
      </c>
      <c r="DL388" s="88">
        <v>0</v>
      </c>
      <c r="DM388" s="88">
        <v>0</v>
      </c>
      <c r="DN388" s="88">
        <v>0</v>
      </c>
      <c r="DO388" s="88">
        <v>0</v>
      </c>
      <c r="DP388" s="88">
        <v>0</v>
      </c>
      <c r="DQ388" s="88">
        <v>0</v>
      </c>
      <c r="DR388" s="113">
        <v>0</v>
      </c>
      <c r="DS388" s="87">
        <v>0</v>
      </c>
      <c r="DT388" s="87">
        <v>0</v>
      </c>
      <c r="DU388" s="87">
        <v>246</v>
      </c>
      <c r="DV388" s="87">
        <v>0</v>
      </c>
      <c r="DW388" s="87">
        <v>0</v>
      </c>
      <c r="DX388" s="87">
        <v>0</v>
      </c>
      <c r="DY388" s="88">
        <v>0</v>
      </c>
      <c r="DZ388" s="88">
        <v>0</v>
      </c>
      <c r="EA388" s="88">
        <v>1106</v>
      </c>
      <c r="EB388" s="88">
        <v>0</v>
      </c>
      <c r="EC388" s="88">
        <v>0</v>
      </c>
      <c r="ED388" s="88">
        <v>0</v>
      </c>
      <c r="EE388" s="88">
        <v>0</v>
      </c>
      <c r="EF388" s="88">
        <v>0</v>
      </c>
      <c r="EG388" s="88">
        <v>593</v>
      </c>
      <c r="EH388" s="88">
        <v>0</v>
      </c>
      <c r="EI388" s="88">
        <v>0</v>
      </c>
      <c r="EJ388" s="88">
        <v>80</v>
      </c>
      <c r="EK388" s="88">
        <v>0</v>
      </c>
      <c r="EL388" s="88">
        <v>0</v>
      </c>
      <c r="EM388" s="88">
        <v>667</v>
      </c>
      <c r="EN388" s="88">
        <v>0</v>
      </c>
      <c r="EO388" s="88">
        <v>0</v>
      </c>
      <c r="EP388" s="88">
        <v>15</v>
      </c>
      <c r="EQ388" s="88">
        <v>0</v>
      </c>
      <c r="ER388" s="88">
        <v>0</v>
      </c>
      <c r="ES388" s="88">
        <v>19</v>
      </c>
      <c r="ET388" s="88">
        <v>0</v>
      </c>
      <c r="EU388" s="88">
        <v>0</v>
      </c>
      <c r="EV388" s="88">
        <v>4</v>
      </c>
      <c r="EW388" s="88">
        <v>0</v>
      </c>
      <c r="EX388" s="88">
        <v>0</v>
      </c>
      <c r="EY388" s="88">
        <v>3</v>
      </c>
      <c r="EZ388" s="88">
        <v>0</v>
      </c>
      <c r="FA388" s="88">
        <v>0</v>
      </c>
      <c r="FB388" s="88">
        <v>0</v>
      </c>
      <c r="FC388" s="88">
        <v>0</v>
      </c>
      <c r="FD388" s="88">
        <v>0</v>
      </c>
      <c r="FE388" s="88">
        <v>6</v>
      </c>
      <c r="FF388" s="88">
        <v>0</v>
      </c>
      <c r="FG388" s="88">
        <v>0</v>
      </c>
      <c r="FH388" s="88">
        <v>0</v>
      </c>
      <c r="FI388" s="88">
        <v>0</v>
      </c>
      <c r="FJ388" s="88">
        <v>0</v>
      </c>
      <c r="FK388" s="32">
        <v>55</v>
      </c>
      <c r="FL388" s="88">
        <v>0</v>
      </c>
      <c r="FM388" s="88">
        <v>0</v>
      </c>
      <c r="FN388" s="88">
        <v>2624</v>
      </c>
      <c r="FO388" s="88">
        <v>0</v>
      </c>
      <c r="FP388" s="88">
        <v>0</v>
      </c>
      <c r="FQ388" s="88">
        <v>306</v>
      </c>
      <c r="FR388" s="88">
        <v>0</v>
      </c>
      <c r="FS388" s="88">
        <v>0</v>
      </c>
      <c r="FT388" s="88">
        <v>0</v>
      </c>
      <c r="FU388" s="88">
        <v>0</v>
      </c>
      <c r="FV388" s="88">
        <v>0</v>
      </c>
      <c r="FW388" s="88">
        <v>216</v>
      </c>
      <c r="FX388" s="32">
        <v>0</v>
      </c>
      <c r="FY388" s="32">
        <v>0</v>
      </c>
      <c r="FZ388" s="32">
        <v>196</v>
      </c>
    </row>
    <row r="389" spans="1:182" s="22" customFormat="1" x14ac:dyDescent="0.2">
      <c r="A389" s="41">
        <v>43405</v>
      </c>
      <c r="B389" s="100">
        <f t="shared" si="26"/>
        <v>100220948.63</v>
      </c>
      <c r="C389" s="42">
        <v>64085.649999999994</v>
      </c>
      <c r="D389" s="42">
        <v>448984.74</v>
      </c>
      <c r="E389" s="43">
        <f t="shared" si="20"/>
        <v>513070.39</v>
      </c>
      <c r="F389" s="42">
        <v>11384005.67</v>
      </c>
      <c r="G389" s="42">
        <v>4799918.6900000004</v>
      </c>
      <c r="H389" s="32">
        <f t="shared" si="19"/>
        <v>16183924.359999999</v>
      </c>
      <c r="I389" s="42"/>
      <c r="J389" s="42"/>
      <c r="K389" s="98">
        <v>19575844.650000006</v>
      </c>
      <c r="L389" s="42"/>
      <c r="M389" s="42"/>
      <c r="N389" s="98">
        <v>29343382.450000003</v>
      </c>
      <c r="O389" s="42"/>
      <c r="P389" s="42"/>
      <c r="Q389" s="98">
        <v>33879041.25</v>
      </c>
      <c r="R389" s="42"/>
      <c r="S389" s="42"/>
      <c r="T389" s="42">
        <v>176011.26</v>
      </c>
      <c r="U389" s="42">
        <v>9888.4700000000012</v>
      </c>
      <c r="V389" s="42">
        <v>18056.810000000001</v>
      </c>
      <c r="W389" s="42">
        <f t="shared" si="21"/>
        <v>27945.280000000002</v>
      </c>
      <c r="X389" s="42">
        <v>158648.16</v>
      </c>
      <c r="Y389" s="42">
        <v>3542.55</v>
      </c>
      <c r="Z389" s="32">
        <f t="shared" si="22"/>
        <v>162190.71</v>
      </c>
      <c r="AA389" s="42">
        <v>61932.41</v>
      </c>
      <c r="AB389" s="42">
        <v>36670.439999999995</v>
      </c>
      <c r="AC389" s="32">
        <f t="shared" si="23"/>
        <v>98602.85</v>
      </c>
      <c r="AD389" s="42">
        <v>5964.84</v>
      </c>
      <c r="AE389" s="42">
        <v>41730.850000000006</v>
      </c>
      <c r="AF389" s="32">
        <f t="shared" si="24"/>
        <v>47695.69</v>
      </c>
      <c r="AG389" s="32">
        <v>11398.27</v>
      </c>
      <c r="AH389" s="32">
        <v>73533.420000000013</v>
      </c>
      <c r="AI389" s="32">
        <f t="shared" si="25"/>
        <v>84931.690000000017</v>
      </c>
      <c r="AJ389" s="42"/>
      <c r="AK389" s="42"/>
      <c r="AL389" s="42">
        <v>128308.04999999999</v>
      </c>
      <c r="AM389" s="42"/>
      <c r="AN389" s="42"/>
      <c r="AO389" s="42"/>
      <c r="AP389" s="42"/>
      <c r="AQ389" s="42"/>
      <c r="AR389" s="42"/>
      <c r="AS389" s="42"/>
      <c r="AT389" s="42"/>
      <c r="AU389" s="42">
        <v>1590286.69</v>
      </c>
      <c r="AV389" s="42"/>
      <c r="AW389" s="42"/>
      <c r="AX389" s="42">
        <v>40874.31</v>
      </c>
      <c r="AY389" s="42">
        <v>8623596</v>
      </c>
      <c r="AZ389" s="42">
        <v>825399.5</v>
      </c>
      <c r="BA389" s="43">
        <f t="shared" si="27"/>
        <v>9448995.5</v>
      </c>
      <c r="BB389" s="42"/>
      <c r="BC389" s="42"/>
      <c r="BD389" s="42">
        <v>1832424.8444444444</v>
      </c>
      <c r="BE389" s="88">
        <v>0</v>
      </c>
      <c r="BF389" s="88">
        <v>0</v>
      </c>
      <c r="BG389" s="88">
        <v>45</v>
      </c>
      <c r="BH389" s="88">
        <v>0</v>
      </c>
      <c r="BI389" s="88">
        <v>0</v>
      </c>
      <c r="BJ389" s="88">
        <v>0</v>
      </c>
      <c r="BK389" s="88">
        <v>0</v>
      </c>
      <c r="BL389" s="88">
        <v>0</v>
      </c>
      <c r="BM389" s="88">
        <v>212</v>
      </c>
      <c r="BN389" s="88">
        <v>0</v>
      </c>
      <c r="BO389" s="88">
        <v>0</v>
      </c>
      <c r="BP389" s="88">
        <v>1</v>
      </c>
      <c r="BQ389" s="88">
        <v>0</v>
      </c>
      <c r="BR389" s="88">
        <v>0</v>
      </c>
      <c r="BS389" s="88">
        <v>166</v>
      </c>
      <c r="BT389" s="88">
        <v>0</v>
      </c>
      <c r="BU389" s="88">
        <v>0</v>
      </c>
      <c r="BV389" s="88">
        <v>1</v>
      </c>
      <c r="BW389" s="88"/>
      <c r="BX389" s="88"/>
      <c r="BY389" s="88"/>
      <c r="BZ389" s="88">
        <v>0</v>
      </c>
      <c r="CA389" s="88">
        <v>0</v>
      </c>
      <c r="CB389" s="88">
        <v>293</v>
      </c>
      <c r="CC389" s="88"/>
      <c r="CD389" s="88"/>
      <c r="CE389" s="88"/>
      <c r="CF389" s="88">
        <v>0</v>
      </c>
      <c r="CG389" s="88">
        <v>0</v>
      </c>
      <c r="CH389" s="88">
        <v>2</v>
      </c>
      <c r="CI389" s="88">
        <v>0</v>
      </c>
      <c r="CJ389" s="88">
        <v>0</v>
      </c>
      <c r="CK389" s="88">
        <v>18</v>
      </c>
      <c r="CL389" s="88">
        <v>0</v>
      </c>
      <c r="CM389" s="88">
        <v>0</v>
      </c>
      <c r="CN389" s="88">
        <v>0</v>
      </c>
      <c r="CO389" s="88">
        <v>0</v>
      </c>
      <c r="CP389" s="88">
        <v>0</v>
      </c>
      <c r="CQ389" s="88">
        <v>33</v>
      </c>
      <c r="CR389" s="88">
        <v>0</v>
      </c>
      <c r="CS389" s="88">
        <v>0</v>
      </c>
      <c r="CT389" s="88">
        <v>0</v>
      </c>
      <c r="CU389" s="88">
        <v>0</v>
      </c>
      <c r="CV389" s="88">
        <v>0</v>
      </c>
      <c r="CW389" s="88">
        <v>256</v>
      </c>
      <c r="CX389" s="88">
        <v>0</v>
      </c>
      <c r="CY389" s="88">
        <v>0</v>
      </c>
      <c r="CZ389" s="88">
        <v>0</v>
      </c>
      <c r="DA389" s="88">
        <v>0</v>
      </c>
      <c r="DB389" s="88">
        <v>0</v>
      </c>
      <c r="DC389" s="88">
        <v>5</v>
      </c>
      <c r="DD389" s="88">
        <v>0</v>
      </c>
      <c r="DE389" s="88">
        <v>0</v>
      </c>
      <c r="DF389" s="88">
        <v>0</v>
      </c>
      <c r="DG389" s="88">
        <v>0</v>
      </c>
      <c r="DH389" s="88">
        <v>0</v>
      </c>
      <c r="DI389" s="88">
        <v>3</v>
      </c>
      <c r="DJ389" s="88">
        <v>0</v>
      </c>
      <c r="DK389" s="88">
        <v>0</v>
      </c>
      <c r="DL389" s="88">
        <v>0</v>
      </c>
      <c r="DM389" s="88">
        <v>0</v>
      </c>
      <c r="DN389" s="88">
        <v>0</v>
      </c>
      <c r="DO389" s="88">
        <v>0</v>
      </c>
      <c r="DP389" s="88">
        <v>0</v>
      </c>
      <c r="DQ389" s="88">
        <v>0</v>
      </c>
      <c r="DR389" s="113">
        <v>0</v>
      </c>
      <c r="DS389" s="87">
        <v>0</v>
      </c>
      <c r="DT389" s="87">
        <v>0</v>
      </c>
      <c r="DU389" s="87">
        <v>854</v>
      </c>
      <c r="DV389" s="87">
        <v>0</v>
      </c>
      <c r="DW389" s="87">
        <v>0</v>
      </c>
      <c r="DX389" s="87">
        <v>0</v>
      </c>
      <c r="DY389" s="88">
        <v>0</v>
      </c>
      <c r="DZ389" s="88">
        <v>0</v>
      </c>
      <c r="EA389" s="88">
        <v>1188</v>
      </c>
      <c r="EB389" s="88">
        <v>0</v>
      </c>
      <c r="EC389" s="88">
        <v>0</v>
      </c>
      <c r="ED389" s="88">
        <v>0</v>
      </c>
      <c r="EE389" s="88">
        <v>0</v>
      </c>
      <c r="EF389" s="88">
        <v>0</v>
      </c>
      <c r="EG389" s="88">
        <v>706</v>
      </c>
      <c r="EH389" s="88">
        <v>0</v>
      </c>
      <c r="EI389" s="88">
        <v>0</v>
      </c>
      <c r="EJ389" s="88">
        <v>85</v>
      </c>
      <c r="EK389" s="88">
        <v>0</v>
      </c>
      <c r="EL389" s="88">
        <v>0</v>
      </c>
      <c r="EM389" s="88">
        <v>784</v>
      </c>
      <c r="EN389" s="88">
        <v>0</v>
      </c>
      <c r="EO389" s="88">
        <v>0</v>
      </c>
      <c r="EP389" s="88">
        <v>39</v>
      </c>
      <c r="EQ389" s="88">
        <v>0</v>
      </c>
      <c r="ER389" s="88">
        <v>0</v>
      </c>
      <c r="ES389" s="88">
        <v>21</v>
      </c>
      <c r="ET389" s="88">
        <v>0</v>
      </c>
      <c r="EU389" s="88">
        <v>0</v>
      </c>
      <c r="EV389" s="88">
        <v>11</v>
      </c>
      <c r="EW389" s="88">
        <v>0</v>
      </c>
      <c r="EX389" s="88">
        <v>0</v>
      </c>
      <c r="EY389" s="88">
        <v>4</v>
      </c>
      <c r="EZ389" s="88">
        <v>0</v>
      </c>
      <c r="FA389" s="88">
        <v>0</v>
      </c>
      <c r="FB389" s="88">
        <v>0</v>
      </c>
      <c r="FC389" s="88">
        <v>0</v>
      </c>
      <c r="FD389" s="88">
        <v>0</v>
      </c>
      <c r="FE389" s="88">
        <v>6</v>
      </c>
      <c r="FF389" s="88">
        <v>0</v>
      </c>
      <c r="FG389" s="88">
        <v>0</v>
      </c>
      <c r="FH389" s="88">
        <v>0</v>
      </c>
      <c r="FI389" s="88">
        <v>0</v>
      </c>
      <c r="FJ389" s="88">
        <v>0</v>
      </c>
      <c r="FK389" s="32">
        <v>140</v>
      </c>
      <c r="FL389" s="88">
        <v>0</v>
      </c>
      <c r="FM389" s="88">
        <v>0</v>
      </c>
      <c r="FN389" s="88">
        <v>2967</v>
      </c>
      <c r="FO389" s="88">
        <v>0</v>
      </c>
      <c r="FP389" s="88">
        <v>0</v>
      </c>
      <c r="FQ389" s="115">
        <v>215</v>
      </c>
      <c r="FR389" s="88">
        <v>0</v>
      </c>
      <c r="FS389" s="88">
        <v>0</v>
      </c>
      <c r="FT389" s="88">
        <v>0</v>
      </c>
      <c r="FU389" s="88">
        <v>0</v>
      </c>
      <c r="FV389" s="88">
        <v>0</v>
      </c>
      <c r="FW389" s="88">
        <v>206</v>
      </c>
      <c r="FX389" s="32">
        <v>0</v>
      </c>
      <c r="FY389" s="32">
        <v>0</v>
      </c>
      <c r="FZ389" s="32">
        <v>1147</v>
      </c>
    </row>
    <row r="390" spans="1:182" s="97" customFormat="1" x14ac:dyDescent="0.2">
      <c r="A390" s="92">
        <v>43435</v>
      </c>
      <c r="B390" s="93">
        <f t="shared" si="26"/>
        <v>108346410.11</v>
      </c>
      <c r="C390" s="94">
        <v>69563.819999999992</v>
      </c>
      <c r="D390" s="94">
        <v>553668.41</v>
      </c>
      <c r="E390" s="93">
        <f t="shared" si="20"/>
        <v>623232.23</v>
      </c>
      <c r="F390" s="94">
        <v>10898249.120000001</v>
      </c>
      <c r="G390" s="94">
        <v>5018392.5299999993</v>
      </c>
      <c r="H390" s="95">
        <f t="shared" si="19"/>
        <v>15916641.65</v>
      </c>
      <c r="I390" s="94"/>
      <c r="J390" s="94"/>
      <c r="K390" s="99">
        <v>20835843.180000003</v>
      </c>
      <c r="L390" s="94"/>
      <c r="M390" s="94"/>
      <c r="N390" s="99">
        <v>36302733.539999992</v>
      </c>
      <c r="O390" s="94"/>
      <c r="P390" s="94"/>
      <c r="Q390" s="99">
        <v>33877863.950000003</v>
      </c>
      <c r="R390" s="94"/>
      <c r="S390" s="94"/>
      <c r="T390" s="94">
        <v>135078.03</v>
      </c>
      <c r="U390" s="94">
        <v>26239.079999999998</v>
      </c>
      <c r="V390" s="94">
        <v>28167.919999999998</v>
      </c>
      <c r="W390" s="94">
        <f t="shared" si="21"/>
        <v>54407</v>
      </c>
      <c r="X390" s="94">
        <v>75168.709999999992</v>
      </c>
      <c r="Y390" s="94">
        <v>5724.4</v>
      </c>
      <c r="Z390" s="95">
        <f t="shared" si="22"/>
        <v>80893.109999999986</v>
      </c>
      <c r="AA390" s="94">
        <v>51476.009999999995</v>
      </c>
      <c r="AB390" s="94">
        <v>64780.639999999999</v>
      </c>
      <c r="AC390" s="95">
        <f t="shared" si="23"/>
        <v>116256.65</v>
      </c>
      <c r="AD390" s="94">
        <v>7050.71</v>
      </c>
      <c r="AE390" s="94">
        <v>96032.650000000009</v>
      </c>
      <c r="AF390" s="95">
        <f t="shared" si="24"/>
        <v>103083.36000000002</v>
      </c>
      <c r="AG390" s="95">
        <v>21726.37</v>
      </c>
      <c r="AH390" s="95">
        <v>149539.94000000003</v>
      </c>
      <c r="AI390" s="95">
        <f t="shared" si="25"/>
        <v>171266.31000000003</v>
      </c>
      <c r="AJ390" s="94"/>
      <c r="AK390" s="94"/>
      <c r="AL390" s="94">
        <v>129111.1</v>
      </c>
      <c r="AM390" s="94"/>
      <c r="AN390" s="94"/>
      <c r="AO390" s="94"/>
      <c r="AP390" s="94"/>
      <c r="AQ390" s="94"/>
      <c r="AR390" s="94"/>
      <c r="AS390" s="94"/>
      <c r="AT390" s="94"/>
      <c r="AU390" s="94">
        <v>1276389.1200000001</v>
      </c>
      <c r="AV390" s="94"/>
      <c r="AW390" s="94"/>
      <c r="AX390" s="94">
        <v>35529.520000000004</v>
      </c>
      <c r="AY390" s="94">
        <v>12063324.300000001</v>
      </c>
      <c r="AZ390" s="94">
        <v>2437916.4500000002</v>
      </c>
      <c r="BA390" s="93">
        <f t="shared" si="27"/>
        <v>14501240.75</v>
      </c>
      <c r="BB390" s="94"/>
      <c r="BC390" s="94"/>
      <c r="BD390" s="94">
        <v>2488014.4666666668</v>
      </c>
      <c r="BE390" s="117">
        <v>0</v>
      </c>
      <c r="BF390" s="117">
        <v>0</v>
      </c>
      <c r="BG390" s="117">
        <v>63</v>
      </c>
      <c r="BH390" s="117">
        <v>0</v>
      </c>
      <c r="BI390" s="117">
        <v>0</v>
      </c>
      <c r="BJ390" s="117">
        <v>0</v>
      </c>
      <c r="BK390" s="117">
        <v>0</v>
      </c>
      <c r="BL390" s="117">
        <v>0</v>
      </c>
      <c r="BM390" s="117">
        <v>168</v>
      </c>
      <c r="BN390" s="117">
        <v>0</v>
      </c>
      <c r="BO390" s="117">
        <v>0</v>
      </c>
      <c r="BP390" s="117">
        <v>2</v>
      </c>
      <c r="BQ390" s="117">
        <v>0</v>
      </c>
      <c r="BR390" s="117">
        <v>0</v>
      </c>
      <c r="BS390" s="117">
        <v>196</v>
      </c>
      <c r="BT390" s="117">
        <v>0</v>
      </c>
      <c r="BU390" s="117">
        <v>0</v>
      </c>
      <c r="BV390" s="117">
        <v>0</v>
      </c>
      <c r="BW390" s="117"/>
      <c r="BX390" s="117"/>
      <c r="BY390" s="117"/>
      <c r="BZ390" s="117">
        <v>0</v>
      </c>
      <c r="CA390" s="117">
        <v>0</v>
      </c>
      <c r="CB390" s="117">
        <v>315</v>
      </c>
      <c r="CC390" s="117"/>
      <c r="CD390" s="117"/>
      <c r="CE390" s="117"/>
      <c r="CF390" s="117">
        <v>0</v>
      </c>
      <c r="CG390" s="117">
        <v>0</v>
      </c>
      <c r="CH390" s="117">
        <v>2</v>
      </c>
      <c r="CI390" s="117">
        <v>0</v>
      </c>
      <c r="CJ390" s="117">
        <v>0</v>
      </c>
      <c r="CK390" s="117">
        <v>16</v>
      </c>
      <c r="CL390" s="117">
        <v>0</v>
      </c>
      <c r="CM390" s="117">
        <v>0</v>
      </c>
      <c r="CN390" s="117">
        <v>0</v>
      </c>
      <c r="CO390" s="117">
        <v>0</v>
      </c>
      <c r="CP390" s="117">
        <v>0</v>
      </c>
      <c r="CQ390" s="117">
        <v>4</v>
      </c>
      <c r="CR390" s="117">
        <v>0</v>
      </c>
      <c r="CS390" s="117">
        <v>0</v>
      </c>
      <c r="CT390" s="117">
        <v>0</v>
      </c>
      <c r="CU390" s="117">
        <v>0</v>
      </c>
      <c r="CV390" s="117">
        <v>0</v>
      </c>
      <c r="CW390" s="117">
        <v>170</v>
      </c>
      <c r="CX390" s="117">
        <v>0</v>
      </c>
      <c r="CY390" s="117">
        <v>0</v>
      </c>
      <c r="CZ390" s="117">
        <v>0</v>
      </c>
      <c r="DA390" s="117">
        <v>0</v>
      </c>
      <c r="DB390" s="117">
        <v>0</v>
      </c>
      <c r="DC390" s="117">
        <v>1</v>
      </c>
      <c r="DD390" s="117">
        <v>0</v>
      </c>
      <c r="DE390" s="117">
        <v>0</v>
      </c>
      <c r="DF390" s="117">
        <v>0</v>
      </c>
      <c r="DG390" s="117">
        <v>0</v>
      </c>
      <c r="DH390" s="117">
        <v>0</v>
      </c>
      <c r="DI390" s="117">
        <v>3</v>
      </c>
      <c r="DJ390" s="117">
        <v>0</v>
      </c>
      <c r="DK390" s="117">
        <v>0</v>
      </c>
      <c r="DL390" s="117">
        <v>0</v>
      </c>
      <c r="DM390" s="117">
        <v>0</v>
      </c>
      <c r="DN390" s="117">
        <v>0</v>
      </c>
      <c r="DO390" s="117">
        <v>0</v>
      </c>
      <c r="DP390" s="117">
        <v>0</v>
      </c>
      <c r="DQ390" s="117">
        <v>0</v>
      </c>
      <c r="DR390" s="117">
        <v>0</v>
      </c>
      <c r="DS390" s="95">
        <v>0</v>
      </c>
      <c r="DT390" s="95">
        <v>0</v>
      </c>
      <c r="DU390" s="95">
        <v>1259</v>
      </c>
      <c r="DV390" s="95">
        <v>0</v>
      </c>
      <c r="DW390" s="95">
        <v>0</v>
      </c>
      <c r="DX390" s="95">
        <v>0</v>
      </c>
      <c r="DY390" s="117">
        <v>0</v>
      </c>
      <c r="DZ390" s="117">
        <v>0</v>
      </c>
      <c r="EA390" s="117">
        <v>1299</v>
      </c>
      <c r="EB390" s="117">
        <v>0</v>
      </c>
      <c r="EC390" s="117">
        <v>0</v>
      </c>
      <c r="ED390" s="117">
        <v>0</v>
      </c>
      <c r="EE390" s="117">
        <v>0</v>
      </c>
      <c r="EF390" s="117">
        <v>0</v>
      </c>
      <c r="EG390" s="117">
        <v>832</v>
      </c>
      <c r="EH390" s="117">
        <v>0</v>
      </c>
      <c r="EI390" s="117">
        <v>0</v>
      </c>
      <c r="EJ390" s="117">
        <v>72</v>
      </c>
      <c r="EK390" s="117">
        <v>0</v>
      </c>
      <c r="EL390" s="117">
        <v>0</v>
      </c>
      <c r="EM390" s="117">
        <v>931</v>
      </c>
      <c r="EN390" s="117">
        <v>0</v>
      </c>
      <c r="EO390" s="117">
        <v>0</v>
      </c>
      <c r="EP390" s="117">
        <v>20</v>
      </c>
      <c r="EQ390" s="117">
        <v>0</v>
      </c>
      <c r="ER390" s="117">
        <v>0</v>
      </c>
      <c r="ES390" s="117">
        <v>23</v>
      </c>
      <c r="ET390" s="117">
        <v>0</v>
      </c>
      <c r="EU390" s="117">
        <v>0</v>
      </c>
      <c r="EV390" s="117">
        <v>3</v>
      </c>
      <c r="EW390" s="117">
        <v>0</v>
      </c>
      <c r="EX390" s="117">
        <v>0</v>
      </c>
      <c r="EY390" s="117">
        <v>8</v>
      </c>
      <c r="EZ390" s="117">
        <v>0</v>
      </c>
      <c r="FA390" s="117">
        <v>0</v>
      </c>
      <c r="FB390" s="117">
        <v>0</v>
      </c>
      <c r="FC390" s="117">
        <v>0</v>
      </c>
      <c r="FD390" s="117">
        <v>0</v>
      </c>
      <c r="FE390" s="117">
        <v>11</v>
      </c>
      <c r="FF390" s="117">
        <v>0</v>
      </c>
      <c r="FG390" s="117">
        <v>0</v>
      </c>
      <c r="FH390" s="117">
        <v>0</v>
      </c>
      <c r="FI390" s="117">
        <v>0</v>
      </c>
      <c r="FJ390" s="117">
        <v>0</v>
      </c>
      <c r="FK390" s="95">
        <v>171</v>
      </c>
      <c r="FL390" s="117">
        <v>0</v>
      </c>
      <c r="FM390" s="117">
        <v>0</v>
      </c>
      <c r="FN390" s="117">
        <v>3532</v>
      </c>
      <c r="FO390" s="117">
        <v>0</v>
      </c>
      <c r="FP390" s="117">
        <v>0</v>
      </c>
      <c r="FQ390" s="117">
        <v>345</v>
      </c>
      <c r="FR390" s="117">
        <v>0</v>
      </c>
      <c r="FS390" s="117">
        <v>0</v>
      </c>
      <c r="FT390" s="117">
        <v>0</v>
      </c>
      <c r="FU390" s="117">
        <v>0</v>
      </c>
      <c r="FV390" s="117">
        <v>0</v>
      </c>
      <c r="FW390" s="117">
        <v>263</v>
      </c>
      <c r="FX390" s="95">
        <v>0</v>
      </c>
      <c r="FY390" s="95">
        <v>0</v>
      </c>
      <c r="FZ390" s="95">
        <v>2428</v>
      </c>
    </row>
    <row r="391" spans="1:182" s="22" customFormat="1" x14ac:dyDescent="0.2">
      <c r="A391" s="41">
        <v>43466</v>
      </c>
      <c r="B391" s="100">
        <f t="shared" si="26"/>
        <v>85998131.5</v>
      </c>
      <c r="C391" s="42">
        <v>34594.53</v>
      </c>
      <c r="D391" s="42">
        <v>148235.95000000001</v>
      </c>
      <c r="E391" s="43">
        <f t="shared" si="20"/>
        <v>182830.48</v>
      </c>
      <c r="F391" s="42">
        <v>6549765.2400000002</v>
      </c>
      <c r="G391" s="42">
        <v>2536335.25</v>
      </c>
      <c r="H391" s="32">
        <f t="shared" si="19"/>
        <v>9086100.4900000002</v>
      </c>
      <c r="I391" s="42"/>
      <c r="J391" s="42"/>
      <c r="K391" s="98">
        <v>20342698.609999999</v>
      </c>
      <c r="L391" s="42"/>
      <c r="M391" s="42"/>
      <c r="N391" s="98">
        <v>20968643.229999997</v>
      </c>
      <c r="O391" s="42"/>
      <c r="P391" s="42"/>
      <c r="Q391" s="98">
        <v>34929495.100000001</v>
      </c>
      <c r="R391" s="42"/>
      <c r="S391" s="42"/>
      <c r="T391" s="42">
        <v>147289.66</v>
      </c>
      <c r="U391" s="42">
        <v>5717.68</v>
      </c>
      <c r="V391" s="42">
        <v>6360.91</v>
      </c>
      <c r="W391" s="42">
        <f t="shared" si="21"/>
        <v>12078.59</v>
      </c>
      <c r="X391" s="42">
        <v>53625.79</v>
      </c>
      <c r="Y391" s="42">
        <v>2604.5</v>
      </c>
      <c r="Z391" s="32">
        <f t="shared" si="22"/>
        <v>56230.29</v>
      </c>
      <c r="AA391" s="42">
        <v>38018.670000000006</v>
      </c>
      <c r="AB391" s="42">
        <v>37251.24</v>
      </c>
      <c r="AC391" s="32">
        <f t="shared" si="23"/>
        <v>75269.91</v>
      </c>
      <c r="AD391" s="42">
        <v>4005.01</v>
      </c>
      <c r="AE391" s="42">
        <v>18329.14</v>
      </c>
      <c r="AF391" s="32">
        <f t="shared" si="24"/>
        <v>22334.15</v>
      </c>
      <c r="AG391" s="32">
        <v>4996.87</v>
      </c>
      <c r="AH391" s="32">
        <v>83197.119999999995</v>
      </c>
      <c r="AI391" s="32">
        <f t="shared" si="25"/>
        <v>88193.989999999991</v>
      </c>
      <c r="AJ391" s="42"/>
      <c r="AK391" s="42"/>
      <c r="AL391" s="42">
        <v>86967</v>
      </c>
      <c r="AM391" s="42"/>
      <c r="AN391" s="42"/>
      <c r="AO391" s="42"/>
      <c r="AP391" s="42"/>
      <c r="AQ391" s="42"/>
      <c r="AR391" s="42"/>
      <c r="AS391" s="42"/>
      <c r="AT391" s="42"/>
      <c r="AU391" s="42">
        <v>1346827.33</v>
      </c>
      <c r="AV391" s="42"/>
      <c r="AW391" s="42"/>
      <c r="AX391" s="42">
        <v>38040.14</v>
      </c>
      <c r="AY391" s="42">
        <v>4546160.4000000004</v>
      </c>
      <c r="AZ391" s="42">
        <v>570030</v>
      </c>
      <c r="BA391" s="43">
        <f t="shared" si="27"/>
        <v>5116190.4000000004</v>
      </c>
      <c r="BB391" s="42"/>
      <c r="BC391" s="42"/>
      <c r="BD391" s="42">
        <v>449100.82222222222</v>
      </c>
      <c r="BE391" s="88">
        <v>0</v>
      </c>
      <c r="BF391" s="88">
        <v>0</v>
      </c>
      <c r="BG391" s="88">
        <v>33</v>
      </c>
      <c r="BH391" s="88">
        <v>0</v>
      </c>
      <c r="BI391" s="88">
        <v>0</v>
      </c>
      <c r="BJ391" s="88">
        <v>0</v>
      </c>
      <c r="BK391" s="88">
        <v>0</v>
      </c>
      <c r="BL391" s="88">
        <v>0</v>
      </c>
      <c r="BM391" s="88">
        <v>104</v>
      </c>
      <c r="BN391" s="88">
        <v>0</v>
      </c>
      <c r="BO391" s="88">
        <v>0</v>
      </c>
      <c r="BP391" s="88">
        <v>1</v>
      </c>
      <c r="BQ391" s="88">
        <v>0</v>
      </c>
      <c r="BR391" s="88">
        <v>0</v>
      </c>
      <c r="BS391" s="88">
        <v>125</v>
      </c>
      <c r="BT391" s="88">
        <v>0</v>
      </c>
      <c r="BU391" s="88">
        <v>0</v>
      </c>
      <c r="BV391" s="88">
        <v>0</v>
      </c>
      <c r="BW391" s="88"/>
      <c r="BX391" s="88"/>
      <c r="BY391" s="88"/>
      <c r="BZ391" s="88">
        <v>0</v>
      </c>
      <c r="CA391" s="88">
        <v>0</v>
      </c>
      <c r="CB391" s="88">
        <v>128</v>
      </c>
      <c r="CC391" s="88"/>
      <c r="CD391" s="88"/>
      <c r="CE391" s="88"/>
      <c r="CF391" s="88">
        <v>0</v>
      </c>
      <c r="CG391" s="88">
        <v>0</v>
      </c>
      <c r="CH391" s="88">
        <v>0</v>
      </c>
      <c r="CI391" s="88">
        <v>0</v>
      </c>
      <c r="CJ391" s="88">
        <v>0</v>
      </c>
      <c r="CK391" s="88">
        <v>17</v>
      </c>
      <c r="CL391" s="88">
        <v>0</v>
      </c>
      <c r="CM391" s="88">
        <v>0</v>
      </c>
      <c r="CN391" s="88">
        <v>0</v>
      </c>
      <c r="CO391" s="88">
        <v>0</v>
      </c>
      <c r="CP391" s="88">
        <v>0</v>
      </c>
      <c r="CQ391" s="88">
        <v>17</v>
      </c>
      <c r="CR391" s="88">
        <v>0</v>
      </c>
      <c r="CS391" s="88">
        <v>0</v>
      </c>
      <c r="CT391" s="88">
        <v>0</v>
      </c>
      <c r="CU391" s="88">
        <v>0</v>
      </c>
      <c r="CV391" s="88">
        <v>0</v>
      </c>
      <c r="CW391" s="88">
        <v>165</v>
      </c>
      <c r="CX391" s="88">
        <v>0</v>
      </c>
      <c r="CY391" s="88">
        <v>0</v>
      </c>
      <c r="CZ391" s="88">
        <v>0</v>
      </c>
      <c r="DA391" s="88">
        <v>0</v>
      </c>
      <c r="DB391" s="88">
        <v>0</v>
      </c>
      <c r="DC391" s="88">
        <v>0</v>
      </c>
      <c r="DD391" s="88">
        <v>0</v>
      </c>
      <c r="DE391" s="88">
        <v>0</v>
      </c>
      <c r="DF391" s="88">
        <v>0</v>
      </c>
      <c r="DG391" s="88">
        <v>0</v>
      </c>
      <c r="DH391" s="88">
        <v>0</v>
      </c>
      <c r="DI391" s="88">
        <v>3</v>
      </c>
      <c r="DJ391" s="88">
        <v>0</v>
      </c>
      <c r="DK391" s="88">
        <v>0</v>
      </c>
      <c r="DL391" s="88">
        <v>0</v>
      </c>
      <c r="DM391" s="88">
        <v>0</v>
      </c>
      <c r="DN391" s="88">
        <v>0</v>
      </c>
      <c r="DO391" s="88">
        <v>0</v>
      </c>
      <c r="DP391" s="88">
        <v>0</v>
      </c>
      <c r="DQ391" s="88">
        <v>0</v>
      </c>
      <c r="DR391" s="113">
        <v>0</v>
      </c>
      <c r="DS391" s="87">
        <v>0</v>
      </c>
      <c r="DT391" s="87">
        <v>0</v>
      </c>
      <c r="DU391" s="87">
        <v>224</v>
      </c>
      <c r="DV391" s="87">
        <v>0</v>
      </c>
      <c r="DW391" s="87">
        <v>0</v>
      </c>
      <c r="DX391" s="87">
        <v>0</v>
      </c>
      <c r="DY391" s="88">
        <v>0</v>
      </c>
      <c r="DZ391" s="88">
        <v>0</v>
      </c>
      <c r="EA391" s="88">
        <v>960</v>
      </c>
      <c r="EB391" s="88">
        <v>0</v>
      </c>
      <c r="EC391" s="88">
        <v>0</v>
      </c>
      <c r="ED391" s="88">
        <v>0</v>
      </c>
      <c r="EE391" s="88">
        <v>0</v>
      </c>
      <c r="EF391" s="88">
        <v>0</v>
      </c>
      <c r="EG391" s="88">
        <v>488</v>
      </c>
      <c r="EH391" s="88">
        <v>0</v>
      </c>
      <c r="EI391" s="88">
        <v>0</v>
      </c>
      <c r="EJ391" s="88">
        <v>52</v>
      </c>
      <c r="EK391" s="88">
        <v>0</v>
      </c>
      <c r="EL391" s="88">
        <v>0</v>
      </c>
      <c r="EM391" s="88">
        <v>549</v>
      </c>
      <c r="EN391" s="88">
        <v>0</v>
      </c>
      <c r="EO391" s="88">
        <v>0</v>
      </c>
      <c r="EP391" s="88">
        <v>20</v>
      </c>
      <c r="EQ391" s="88">
        <v>0</v>
      </c>
      <c r="ER391" s="88">
        <v>0</v>
      </c>
      <c r="ES391" s="88">
        <v>20</v>
      </c>
      <c r="ET391" s="88">
        <v>0</v>
      </c>
      <c r="EU391" s="88">
        <v>0</v>
      </c>
      <c r="EV391" s="88">
        <v>5</v>
      </c>
      <c r="EW391" s="88">
        <v>0</v>
      </c>
      <c r="EX391" s="88">
        <v>0</v>
      </c>
      <c r="EY391" s="88">
        <v>1</v>
      </c>
      <c r="EZ391" s="88">
        <v>0</v>
      </c>
      <c r="FA391" s="88">
        <v>0</v>
      </c>
      <c r="FB391" s="88">
        <v>0</v>
      </c>
      <c r="FC391" s="88">
        <v>0</v>
      </c>
      <c r="FD391" s="88">
        <v>0</v>
      </c>
      <c r="FE391" s="88">
        <v>0</v>
      </c>
      <c r="FF391" s="88">
        <v>0</v>
      </c>
      <c r="FG391" s="88">
        <v>0</v>
      </c>
      <c r="FH391" s="88">
        <v>0</v>
      </c>
      <c r="FI391" s="88">
        <v>0</v>
      </c>
      <c r="FJ391" s="88">
        <v>0</v>
      </c>
      <c r="FK391" s="32">
        <v>126</v>
      </c>
      <c r="FL391" s="88">
        <v>0</v>
      </c>
      <c r="FM391" s="88">
        <v>0</v>
      </c>
      <c r="FN391" s="88">
        <v>3388</v>
      </c>
      <c r="FO391" s="88">
        <v>0</v>
      </c>
      <c r="FP391" s="88">
        <v>0</v>
      </c>
      <c r="FQ391" s="88">
        <v>377</v>
      </c>
      <c r="FR391" s="88">
        <v>0</v>
      </c>
      <c r="FS391" s="88">
        <v>0</v>
      </c>
      <c r="FT391" s="88">
        <v>0</v>
      </c>
      <c r="FU391" s="88">
        <v>0</v>
      </c>
      <c r="FV391" s="88">
        <v>0</v>
      </c>
      <c r="FW391" s="88">
        <v>252</v>
      </c>
      <c r="FX391" s="32">
        <v>0</v>
      </c>
      <c r="FY391" s="32">
        <v>0</v>
      </c>
      <c r="FZ391" s="32">
        <v>1123</v>
      </c>
    </row>
    <row r="392" spans="1:182" s="22" customFormat="1" x14ac:dyDescent="0.2">
      <c r="A392" s="41">
        <v>43497</v>
      </c>
      <c r="B392" s="100">
        <f t="shared" si="26"/>
        <v>83033301.919999972</v>
      </c>
      <c r="C392" s="42">
        <v>45040</v>
      </c>
      <c r="D392" s="42">
        <v>317590.31</v>
      </c>
      <c r="E392" s="43">
        <f t="shared" si="20"/>
        <v>362630.31</v>
      </c>
      <c r="F392" s="42">
        <v>6986662.5099999988</v>
      </c>
      <c r="G392" s="42">
        <v>2818628.6700000004</v>
      </c>
      <c r="H392" s="32">
        <f t="shared" si="19"/>
        <v>9805291.1799999997</v>
      </c>
      <c r="I392" s="42"/>
      <c r="J392" s="42"/>
      <c r="K392" s="98">
        <v>16515297.899999999</v>
      </c>
      <c r="L392" s="42"/>
      <c r="M392" s="42"/>
      <c r="N392" s="98">
        <v>23690585.770000003</v>
      </c>
      <c r="O392" s="42"/>
      <c r="P392" s="42"/>
      <c r="Q392" s="98">
        <v>32182036.749999996</v>
      </c>
      <c r="R392" s="42"/>
      <c r="S392" s="42"/>
      <c r="T392" s="42">
        <v>147586.38</v>
      </c>
      <c r="U392" s="42">
        <v>2323.3599999999997</v>
      </c>
      <c r="V392" s="42">
        <v>1294.3699999999999</v>
      </c>
      <c r="W392" s="42">
        <f t="shared" si="21"/>
        <v>3617.7299999999996</v>
      </c>
      <c r="X392" s="42">
        <v>19813.03</v>
      </c>
      <c r="Y392" s="42">
        <v>1989.35</v>
      </c>
      <c r="Z392" s="32">
        <f t="shared" si="22"/>
        <v>21802.379999999997</v>
      </c>
      <c r="AA392" s="42">
        <v>77697.45</v>
      </c>
      <c r="AB392" s="42">
        <v>36411.79</v>
      </c>
      <c r="AC392" s="32">
        <f t="shared" si="23"/>
        <v>114109.23999999999</v>
      </c>
      <c r="AD392" s="42">
        <v>2066.0299999999997</v>
      </c>
      <c r="AE392" s="42">
        <v>7184.96</v>
      </c>
      <c r="AF392" s="32">
        <f t="shared" si="24"/>
        <v>9250.99</v>
      </c>
      <c r="AG392" s="32">
        <v>15734.38</v>
      </c>
      <c r="AH392" s="32">
        <v>52381.560000000005</v>
      </c>
      <c r="AI392" s="32">
        <f t="shared" si="25"/>
        <v>68115.94</v>
      </c>
      <c r="AJ392" s="42"/>
      <c r="AK392" s="42"/>
      <c r="AL392" s="42">
        <v>112977.35</v>
      </c>
      <c r="AM392" s="42"/>
      <c r="AN392" s="42"/>
      <c r="AO392" s="42"/>
      <c r="AP392" s="42"/>
      <c r="AQ392" s="42"/>
      <c r="AR392" s="42"/>
      <c r="AS392" s="42"/>
      <c r="AT392" s="42"/>
      <c r="AU392" s="42">
        <v>1196346.79</v>
      </c>
      <c r="AV392" s="42"/>
      <c r="AW392" s="42"/>
      <c r="AX392" s="42">
        <v>40888.269999999997</v>
      </c>
      <c r="AY392" s="42">
        <v>6087833.5</v>
      </c>
      <c r="AZ392" s="42">
        <v>2007080</v>
      </c>
      <c r="BA392" s="43">
        <f t="shared" si="27"/>
        <v>8094913.5</v>
      </c>
      <c r="BB392" s="42"/>
      <c r="BC392" s="42"/>
      <c r="BD392" s="42">
        <v>1455352.5777777778</v>
      </c>
      <c r="BE392" s="88">
        <v>0</v>
      </c>
      <c r="BF392" s="88">
        <v>0</v>
      </c>
      <c r="BG392" s="88">
        <v>37</v>
      </c>
      <c r="BH392" s="88">
        <v>0</v>
      </c>
      <c r="BI392" s="88">
        <v>0</v>
      </c>
      <c r="BJ392" s="88">
        <v>0</v>
      </c>
      <c r="BK392" s="88">
        <v>0</v>
      </c>
      <c r="BL392" s="88">
        <v>0</v>
      </c>
      <c r="BM392" s="88">
        <v>153</v>
      </c>
      <c r="BN392" s="88">
        <v>0</v>
      </c>
      <c r="BO392" s="88">
        <v>0</v>
      </c>
      <c r="BP392" s="88">
        <v>0</v>
      </c>
      <c r="BQ392" s="88">
        <v>0</v>
      </c>
      <c r="BR392" s="88">
        <v>0</v>
      </c>
      <c r="BS392" s="88">
        <v>118</v>
      </c>
      <c r="BT392" s="88">
        <v>0</v>
      </c>
      <c r="BU392" s="88">
        <v>0</v>
      </c>
      <c r="BV392" s="88">
        <v>0</v>
      </c>
      <c r="BW392" s="88"/>
      <c r="BX392" s="88"/>
      <c r="BY392" s="88"/>
      <c r="BZ392" s="88">
        <v>0</v>
      </c>
      <c r="CA392" s="88">
        <v>0</v>
      </c>
      <c r="CB392" s="88">
        <v>131</v>
      </c>
      <c r="CC392" s="88"/>
      <c r="CD392" s="88"/>
      <c r="CE392" s="88"/>
      <c r="CF392" s="88">
        <v>0</v>
      </c>
      <c r="CG392" s="88">
        <v>0</v>
      </c>
      <c r="CH392" s="88">
        <v>2</v>
      </c>
      <c r="CI392" s="88">
        <v>0</v>
      </c>
      <c r="CJ392" s="88">
        <v>0</v>
      </c>
      <c r="CK392" s="88">
        <v>14</v>
      </c>
      <c r="CL392" s="88">
        <v>0</v>
      </c>
      <c r="CM392" s="88">
        <v>0</v>
      </c>
      <c r="CN392" s="88">
        <v>0</v>
      </c>
      <c r="CO392" s="88">
        <v>0</v>
      </c>
      <c r="CP392" s="88">
        <v>0</v>
      </c>
      <c r="CQ392" s="88">
        <v>14</v>
      </c>
      <c r="CR392" s="88">
        <v>0</v>
      </c>
      <c r="CS392" s="88">
        <v>0</v>
      </c>
      <c r="CT392" s="88">
        <v>0</v>
      </c>
      <c r="CU392" s="88">
        <v>0</v>
      </c>
      <c r="CV392" s="88">
        <v>0</v>
      </c>
      <c r="CW392" s="88">
        <v>260</v>
      </c>
      <c r="CX392" s="88">
        <v>0</v>
      </c>
      <c r="CY392" s="88">
        <v>0</v>
      </c>
      <c r="CZ392" s="88">
        <v>0</v>
      </c>
      <c r="DA392" s="88">
        <v>0</v>
      </c>
      <c r="DB392" s="88">
        <v>0</v>
      </c>
      <c r="DC392" s="88">
        <v>0</v>
      </c>
      <c r="DD392" s="88">
        <v>0</v>
      </c>
      <c r="DE392" s="88">
        <v>0</v>
      </c>
      <c r="DF392" s="88">
        <v>0</v>
      </c>
      <c r="DG392" s="88">
        <v>0</v>
      </c>
      <c r="DH392" s="88">
        <v>0</v>
      </c>
      <c r="DI392" s="88">
        <v>0</v>
      </c>
      <c r="DJ392" s="88">
        <v>0</v>
      </c>
      <c r="DK392" s="88">
        <v>0</v>
      </c>
      <c r="DL392" s="88">
        <v>0</v>
      </c>
      <c r="DM392" s="88">
        <v>0</v>
      </c>
      <c r="DN392" s="88">
        <v>0</v>
      </c>
      <c r="DO392" s="88">
        <v>0</v>
      </c>
      <c r="DP392" s="88">
        <v>0</v>
      </c>
      <c r="DQ392" s="88">
        <v>0</v>
      </c>
      <c r="DR392" s="113">
        <v>0</v>
      </c>
      <c r="DS392" s="87">
        <v>0</v>
      </c>
      <c r="DT392" s="87">
        <v>0</v>
      </c>
      <c r="DU392" s="87">
        <v>51</v>
      </c>
      <c r="DV392" s="87">
        <v>0</v>
      </c>
      <c r="DW392" s="87">
        <v>0</v>
      </c>
      <c r="DX392" s="87">
        <v>0</v>
      </c>
      <c r="DY392" s="88">
        <v>0</v>
      </c>
      <c r="DZ392" s="88">
        <v>0</v>
      </c>
      <c r="EA392" s="88">
        <v>953</v>
      </c>
      <c r="EB392" s="88">
        <v>0</v>
      </c>
      <c r="EC392" s="88">
        <v>0</v>
      </c>
      <c r="ED392" s="88">
        <v>0</v>
      </c>
      <c r="EE392" s="88">
        <v>0</v>
      </c>
      <c r="EF392" s="88">
        <v>0</v>
      </c>
      <c r="EG392" s="88">
        <v>584</v>
      </c>
      <c r="EH392" s="88">
        <v>0</v>
      </c>
      <c r="EI392" s="88">
        <v>0</v>
      </c>
      <c r="EJ392" s="88">
        <v>48</v>
      </c>
      <c r="EK392" s="88">
        <v>0</v>
      </c>
      <c r="EL392" s="88">
        <v>0</v>
      </c>
      <c r="EM392" s="88">
        <v>629</v>
      </c>
      <c r="EN392" s="88">
        <v>0</v>
      </c>
      <c r="EO392" s="88">
        <v>0</v>
      </c>
      <c r="EP392" s="88">
        <v>14</v>
      </c>
      <c r="EQ392" s="88">
        <v>0</v>
      </c>
      <c r="ER392" s="88">
        <v>0</v>
      </c>
      <c r="ES392" s="88">
        <v>13</v>
      </c>
      <c r="ET392" s="88">
        <v>0</v>
      </c>
      <c r="EU392" s="88">
        <v>0</v>
      </c>
      <c r="EV392" s="88">
        <v>3</v>
      </c>
      <c r="EW392" s="88">
        <v>0</v>
      </c>
      <c r="EX392" s="88">
        <v>0</v>
      </c>
      <c r="EY392" s="88">
        <v>5</v>
      </c>
      <c r="EZ392" s="88">
        <v>0</v>
      </c>
      <c r="FA392" s="88">
        <v>0</v>
      </c>
      <c r="FB392" s="88">
        <v>0</v>
      </c>
      <c r="FC392" s="88">
        <v>0</v>
      </c>
      <c r="FD392" s="88">
        <v>0</v>
      </c>
      <c r="FE392" s="88">
        <v>3</v>
      </c>
      <c r="FF392" s="88">
        <v>0</v>
      </c>
      <c r="FG392" s="88">
        <v>0</v>
      </c>
      <c r="FH392" s="88">
        <v>0</v>
      </c>
      <c r="FI392" s="88">
        <v>0</v>
      </c>
      <c r="FJ392" s="88">
        <v>0</v>
      </c>
      <c r="FK392" s="32">
        <v>92</v>
      </c>
      <c r="FL392" s="88">
        <v>0</v>
      </c>
      <c r="FM392" s="88">
        <v>0</v>
      </c>
      <c r="FN392" s="88">
        <v>3615</v>
      </c>
      <c r="FO392" s="88">
        <v>0</v>
      </c>
      <c r="FP392" s="88">
        <v>0</v>
      </c>
      <c r="FQ392" s="88">
        <v>345</v>
      </c>
      <c r="FR392" s="88">
        <v>0</v>
      </c>
      <c r="FS392" s="88">
        <v>0</v>
      </c>
      <c r="FT392" s="88">
        <v>0</v>
      </c>
      <c r="FU392" s="88">
        <v>0</v>
      </c>
      <c r="FV392" s="88">
        <v>0</v>
      </c>
      <c r="FW392" s="88">
        <v>221</v>
      </c>
      <c r="FX392" s="32">
        <v>0</v>
      </c>
      <c r="FY392" s="32">
        <v>0</v>
      </c>
      <c r="FZ392" s="32">
        <v>452</v>
      </c>
    </row>
    <row r="393" spans="1:182" s="22" customFormat="1" x14ac:dyDescent="0.2">
      <c r="A393" s="41">
        <v>43525</v>
      </c>
      <c r="B393" s="100">
        <f t="shared" si="26"/>
        <v>78738409.510000005</v>
      </c>
      <c r="C393" s="42">
        <v>81046.260000000009</v>
      </c>
      <c r="D393" s="42">
        <v>274727.28000000003</v>
      </c>
      <c r="E393" s="43">
        <f t="shared" si="20"/>
        <v>355773.54000000004</v>
      </c>
      <c r="F393" s="42">
        <v>6804845.1200000001</v>
      </c>
      <c r="G393" s="42">
        <v>2142405.6800000002</v>
      </c>
      <c r="H393" s="32">
        <f t="shared" si="19"/>
        <v>8947250.8000000007</v>
      </c>
      <c r="I393" s="42"/>
      <c r="J393" s="42"/>
      <c r="K393" s="98">
        <v>15127546.139999999</v>
      </c>
      <c r="L393" s="42"/>
      <c r="M393" s="42"/>
      <c r="N393" s="98">
        <v>23506242.509999998</v>
      </c>
      <c r="O393" s="42"/>
      <c r="P393" s="42"/>
      <c r="Q393" s="98">
        <v>30267219.649999999</v>
      </c>
      <c r="R393" s="42"/>
      <c r="S393" s="42"/>
      <c r="T393" s="42">
        <v>162759.99</v>
      </c>
      <c r="U393" s="42">
        <v>2964.43</v>
      </c>
      <c r="V393" s="42">
        <v>1052.45</v>
      </c>
      <c r="W393" s="42">
        <f t="shared" si="21"/>
        <v>4016.88</v>
      </c>
      <c r="X393" s="42">
        <v>31842.09</v>
      </c>
      <c r="Y393" s="42">
        <v>1658.95</v>
      </c>
      <c r="Z393" s="32">
        <f t="shared" si="22"/>
        <v>33501.040000000001</v>
      </c>
      <c r="AA393" s="42">
        <v>175011.57</v>
      </c>
      <c r="AB393" s="42">
        <v>17571.969999999998</v>
      </c>
      <c r="AC393" s="32">
        <f t="shared" si="23"/>
        <v>192583.54</v>
      </c>
      <c r="AD393" s="42">
        <v>4680</v>
      </c>
      <c r="AE393" s="42">
        <v>6193.119999999999</v>
      </c>
      <c r="AF393" s="32">
        <f t="shared" si="24"/>
        <v>10873.119999999999</v>
      </c>
      <c r="AG393" s="32">
        <v>6764.11</v>
      </c>
      <c r="AH393" s="32">
        <v>47088.789999999994</v>
      </c>
      <c r="AI393" s="32">
        <f t="shared" si="25"/>
        <v>53852.899999999994</v>
      </c>
      <c r="AJ393" s="42"/>
      <c r="AK393" s="42"/>
      <c r="AL393" s="42">
        <v>76789.399999999994</v>
      </c>
      <c r="AM393" s="42"/>
      <c r="AN393" s="42"/>
      <c r="AO393" s="42"/>
      <c r="AP393" s="42"/>
      <c r="AQ393" s="42"/>
      <c r="AR393" s="42"/>
      <c r="AS393" s="42"/>
      <c r="AT393" s="42"/>
      <c r="AU393" s="42">
        <v>1441732.04</v>
      </c>
      <c r="AV393" s="42"/>
      <c r="AW393" s="42"/>
      <c r="AX393" s="42">
        <v>34795.64</v>
      </c>
      <c r="AY393" s="42">
        <v>5833656.5</v>
      </c>
      <c r="AZ393" s="42">
        <v>211080</v>
      </c>
      <c r="BA393" s="43">
        <f t="shared" si="27"/>
        <v>6044736.5</v>
      </c>
      <c r="BB393" s="42"/>
      <c r="BC393" s="42"/>
      <c r="BD393" s="42">
        <v>1303319.0888888889</v>
      </c>
      <c r="BE393" s="88">
        <v>0</v>
      </c>
      <c r="BF393" s="88">
        <v>0</v>
      </c>
      <c r="BG393" s="88">
        <v>37</v>
      </c>
      <c r="BH393" s="88">
        <v>0</v>
      </c>
      <c r="BI393" s="88">
        <v>0</v>
      </c>
      <c r="BJ393" s="88">
        <v>0</v>
      </c>
      <c r="BK393" s="88">
        <v>0</v>
      </c>
      <c r="BL393" s="88">
        <v>0</v>
      </c>
      <c r="BM393" s="88">
        <v>122</v>
      </c>
      <c r="BN393" s="88">
        <v>0</v>
      </c>
      <c r="BO393" s="88">
        <v>0</v>
      </c>
      <c r="BP393" s="88">
        <v>2</v>
      </c>
      <c r="BQ393" s="88">
        <v>0</v>
      </c>
      <c r="BR393" s="88">
        <v>0</v>
      </c>
      <c r="BS393" s="88">
        <v>27</v>
      </c>
      <c r="BT393" s="88">
        <v>0</v>
      </c>
      <c r="BU393" s="88">
        <v>0</v>
      </c>
      <c r="BV393" s="88">
        <v>1</v>
      </c>
      <c r="BW393" s="88"/>
      <c r="BX393" s="88"/>
      <c r="BY393" s="88"/>
      <c r="BZ393" s="88">
        <v>0</v>
      </c>
      <c r="CA393" s="88">
        <v>0</v>
      </c>
      <c r="CB393" s="88">
        <v>187</v>
      </c>
      <c r="CC393" s="88"/>
      <c r="CD393" s="88"/>
      <c r="CE393" s="88"/>
      <c r="CF393" s="88">
        <v>0</v>
      </c>
      <c r="CG393" s="88">
        <v>0</v>
      </c>
      <c r="CH393" s="88">
        <v>2</v>
      </c>
      <c r="CI393" s="88">
        <v>0</v>
      </c>
      <c r="CJ393" s="88">
        <v>0</v>
      </c>
      <c r="CK393" s="88">
        <v>15</v>
      </c>
      <c r="CL393" s="88">
        <v>0</v>
      </c>
      <c r="CM393" s="88">
        <v>0</v>
      </c>
      <c r="CN393" s="88">
        <v>0</v>
      </c>
      <c r="CO393" s="88">
        <v>0</v>
      </c>
      <c r="CP393" s="88">
        <v>0</v>
      </c>
      <c r="CQ393" s="88">
        <v>16</v>
      </c>
      <c r="CR393" s="88">
        <v>0</v>
      </c>
      <c r="CS393" s="88">
        <v>0</v>
      </c>
      <c r="CT393" s="88">
        <v>0</v>
      </c>
      <c r="CU393" s="88">
        <v>0</v>
      </c>
      <c r="CV393" s="88">
        <v>0</v>
      </c>
      <c r="CW393" s="88">
        <v>214</v>
      </c>
      <c r="CX393" s="88">
        <v>0</v>
      </c>
      <c r="CY393" s="88">
        <v>0</v>
      </c>
      <c r="CZ393" s="88">
        <v>0</v>
      </c>
      <c r="DA393" s="88">
        <v>0</v>
      </c>
      <c r="DB393" s="88">
        <v>0</v>
      </c>
      <c r="DC393" s="88">
        <v>0</v>
      </c>
      <c r="DD393" s="88">
        <v>0</v>
      </c>
      <c r="DE393" s="88">
        <v>0</v>
      </c>
      <c r="DF393" s="88">
        <v>0</v>
      </c>
      <c r="DG393" s="88">
        <v>0</v>
      </c>
      <c r="DH393" s="88">
        <v>0</v>
      </c>
      <c r="DI393" s="88">
        <v>2</v>
      </c>
      <c r="DJ393" s="88">
        <v>0</v>
      </c>
      <c r="DK393" s="88">
        <v>0</v>
      </c>
      <c r="DL393" s="88">
        <v>0</v>
      </c>
      <c r="DM393" s="88">
        <v>0</v>
      </c>
      <c r="DN393" s="88">
        <v>0</v>
      </c>
      <c r="DO393" s="88">
        <v>0</v>
      </c>
      <c r="DP393" s="88">
        <v>0</v>
      </c>
      <c r="DQ393" s="88">
        <v>0</v>
      </c>
      <c r="DR393" s="113">
        <v>0</v>
      </c>
      <c r="DS393" s="87">
        <v>0</v>
      </c>
      <c r="DT393" s="87">
        <v>0</v>
      </c>
      <c r="DU393" s="87">
        <v>39</v>
      </c>
      <c r="DV393" s="87">
        <v>0</v>
      </c>
      <c r="DW393" s="87">
        <v>0</v>
      </c>
      <c r="DX393" s="87">
        <v>0</v>
      </c>
      <c r="DY393" s="88">
        <v>0</v>
      </c>
      <c r="DZ393" s="88">
        <v>0</v>
      </c>
      <c r="EA393" s="88">
        <v>890</v>
      </c>
      <c r="EB393" s="88">
        <v>0</v>
      </c>
      <c r="EC393" s="88">
        <v>0</v>
      </c>
      <c r="ED393" s="88">
        <v>0</v>
      </c>
      <c r="EE393" s="88">
        <v>0</v>
      </c>
      <c r="EF393" s="88">
        <v>0</v>
      </c>
      <c r="EG393" s="88">
        <v>444</v>
      </c>
      <c r="EH393" s="88">
        <v>0</v>
      </c>
      <c r="EI393" s="88">
        <v>0</v>
      </c>
      <c r="EJ393" s="88">
        <v>39</v>
      </c>
      <c r="EK393" s="88">
        <v>0</v>
      </c>
      <c r="EL393" s="88">
        <v>0</v>
      </c>
      <c r="EM393" s="88">
        <v>869</v>
      </c>
      <c r="EN393" s="88">
        <v>0</v>
      </c>
      <c r="EO393" s="88">
        <v>0</v>
      </c>
      <c r="EP393" s="88">
        <v>6</v>
      </c>
      <c r="EQ393" s="88">
        <v>0</v>
      </c>
      <c r="ER393" s="88">
        <v>0</v>
      </c>
      <c r="ES393" s="88">
        <v>15</v>
      </c>
      <c r="ET393" s="88">
        <v>0</v>
      </c>
      <c r="EU393" s="88">
        <v>0</v>
      </c>
      <c r="EV393" s="88">
        <v>14</v>
      </c>
      <c r="EW393" s="88">
        <v>0</v>
      </c>
      <c r="EX393" s="88">
        <v>0</v>
      </c>
      <c r="EY393" s="88">
        <v>3</v>
      </c>
      <c r="EZ393" s="88">
        <v>0</v>
      </c>
      <c r="FA393" s="88">
        <v>0</v>
      </c>
      <c r="FB393" s="88">
        <v>0</v>
      </c>
      <c r="FC393" s="88">
        <v>0</v>
      </c>
      <c r="FD393" s="88">
        <v>0</v>
      </c>
      <c r="FE393" s="88">
        <v>5</v>
      </c>
      <c r="FF393" s="88">
        <v>0</v>
      </c>
      <c r="FG393" s="88">
        <v>0</v>
      </c>
      <c r="FH393" s="88">
        <v>0</v>
      </c>
      <c r="FI393" s="88">
        <v>0</v>
      </c>
      <c r="FJ393" s="88">
        <v>0</v>
      </c>
      <c r="FK393" s="32">
        <v>82</v>
      </c>
      <c r="FL393" s="88">
        <v>0</v>
      </c>
      <c r="FM393" s="88">
        <v>0</v>
      </c>
      <c r="FN393" s="88">
        <v>3257</v>
      </c>
      <c r="FO393" s="88">
        <v>0</v>
      </c>
      <c r="FP393" s="88">
        <v>0</v>
      </c>
      <c r="FQ393" s="88">
        <v>301</v>
      </c>
      <c r="FR393" s="88">
        <v>0</v>
      </c>
      <c r="FS393" s="88">
        <v>0</v>
      </c>
      <c r="FT393" s="88">
        <v>0</v>
      </c>
      <c r="FU393" s="88">
        <v>0</v>
      </c>
      <c r="FV393" s="88">
        <v>0</v>
      </c>
      <c r="FW393" s="88">
        <v>150</v>
      </c>
      <c r="FX393" s="32">
        <v>0</v>
      </c>
      <c r="FY393" s="32">
        <v>0</v>
      </c>
      <c r="FZ393" s="32">
        <v>1931</v>
      </c>
    </row>
    <row r="394" spans="1:182" s="22" customFormat="1" x14ac:dyDescent="0.2">
      <c r="A394" s="41">
        <v>43556</v>
      </c>
      <c r="B394" s="100">
        <f t="shared" si="26"/>
        <v>69201957.399999991</v>
      </c>
      <c r="C394" s="42">
        <v>53554.3</v>
      </c>
      <c r="D394" s="42">
        <v>283508.57</v>
      </c>
      <c r="E394" s="43">
        <f t="shared" si="20"/>
        <v>337062.87</v>
      </c>
      <c r="F394" s="42">
        <v>3904904.1999999997</v>
      </c>
      <c r="G394" s="42">
        <v>1509607.48</v>
      </c>
      <c r="H394" s="32">
        <f t="shared" ref="H394:H459" si="28">+F394+G394</f>
        <v>5414511.6799999997</v>
      </c>
      <c r="I394" s="42"/>
      <c r="J394" s="42"/>
      <c r="K394" s="98">
        <v>12984025.359999999</v>
      </c>
      <c r="L394" s="42"/>
      <c r="M394" s="42"/>
      <c r="N394" s="98">
        <v>23447772.18</v>
      </c>
      <c r="O394" s="42"/>
      <c r="P394" s="42"/>
      <c r="Q394" s="98">
        <v>26612117.300000001</v>
      </c>
      <c r="R394" s="42"/>
      <c r="S394" s="42"/>
      <c r="T394" s="42">
        <v>136773.41</v>
      </c>
      <c r="U394" s="42">
        <v>2402.67</v>
      </c>
      <c r="V394" s="42">
        <v>1479.46</v>
      </c>
      <c r="W394" s="42">
        <f t="shared" si="21"/>
        <v>3882.13</v>
      </c>
      <c r="X394" s="42">
        <v>31211.53</v>
      </c>
      <c r="Y394" s="42">
        <v>1910.05</v>
      </c>
      <c r="Z394" s="32">
        <f t="shared" si="22"/>
        <v>33121.58</v>
      </c>
      <c r="AA394" s="42">
        <v>81941.56</v>
      </c>
      <c r="AB394" s="42">
        <v>21986.550000000003</v>
      </c>
      <c r="AC394" s="32">
        <f t="shared" si="23"/>
        <v>103928.11</v>
      </c>
      <c r="AD394" s="42">
        <v>1839.19</v>
      </c>
      <c r="AE394" s="42">
        <v>4295.7300000000005</v>
      </c>
      <c r="AF394" s="32">
        <f t="shared" si="24"/>
        <v>6134.92</v>
      </c>
      <c r="AG394" s="32">
        <v>7977.29</v>
      </c>
      <c r="AH394" s="32">
        <v>46516.070000000007</v>
      </c>
      <c r="AI394" s="32">
        <f t="shared" si="25"/>
        <v>54493.360000000008</v>
      </c>
      <c r="AJ394" s="42"/>
      <c r="AK394" s="42"/>
      <c r="AL394" s="42">
        <v>68134.5</v>
      </c>
      <c r="AM394" s="42"/>
      <c r="AN394" s="42"/>
      <c r="AO394" s="42"/>
      <c r="AP394" s="42"/>
      <c r="AQ394" s="42"/>
      <c r="AR394" s="42"/>
      <c r="AS394" s="42"/>
      <c r="AT394" s="42"/>
      <c r="AU394" s="42">
        <v>1552551.69</v>
      </c>
      <c r="AV394" s="42"/>
      <c r="AW394" s="42"/>
      <c r="AX394" s="42">
        <v>44494.57</v>
      </c>
      <c r="AY394" s="42">
        <v>7511861.5999999996</v>
      </c>
      <c r="AZ394" s="42">
        <v>659080</v>
      </c>
      <c r="BA394" s="43">
        <f t="shared" si="27"/>
        <v>8170941.5999999996</v>
      </c>
      <c r="BB394" s="42"/>
      <c r="BC394" s="42"/>
      <c r="BD394" s="42">
        <v>1637852.5999999999</v>
      </c>
      <c r="BE394" s="88">
        <v>0</v>
      </c>
      <c r="BF394" s="88">
        <v>0</v>
      </c>
      <c r="BG394" s="88">
        <v>38</v>
      </c>
      <c r="BH394" s="88">
        <v>0</v>
      </c>
      <c r="BI394" s="88">
        <v>0</v>
      </c>
      <c r="BJ394" s="88">
        <v>0</v>
      </c>
      <c r="BK394" s="88">
        <v>0</v>
      </c>
      <c r="BL394" s="88">
        <v>0</v>
      </c>
      <c r="BM394" s="88">
        <v>176</v>
      </c>
      <c r="BN394" s="88">
        <v>0</v>
      </c>
      <c r="BO394" s="88">
        <v>0</v>
      </c>
      <c r="BP394" s="88">
        <v>1</v>
      </c>
      <c r="BQ394" s="88">
        <v>0</v>
      </c>
      <c r="BR394" s="88">
        <v>0</v>
      </c>
      <c r="BS394" s="88">
        <v>156</v>
      </c>
      <c r="BT394" s="88">
        <v>0</v>
      </c>
      <c r="BU394" s="88">
        <v>0</v>
      </c>
      <c r="BV394" s="88">
        <v>3</v>
      </c>
      <c r="BW394" s="88"/>
      <c r="BX394" s="88"/>
      <c r="BY394" s="88"/>
      <c r="BZ394" s="88">
        <v>0</v>
      </c>
      <c r="CA394" s="88">
        <v>0</v>
      </c>
      <c r="CB394" s="88">
        <v>173</v>
      </c>
      <c r="CC394" s="88"/>
      <c r="CD394" s="88"/>
      <c r="CE394" s="88"/>
      <c r="CF394" s="88">
        <v>0</v>
      </c>
      <c r="CG394" s="88">
        <v>0</v>
      </c>
      <c r="CH394" s="88">
        <v>1</v>
      </c>
      <c r="CI394" s="88">
        <v>0</v>
      </c>
      <c r="CJ394" s="88">
        <v>0</v>
      </c>
      <c r="CK394" s="88">
        <v>10</v>
      </c>
      <c r="CL394" s="88">
        <v>0</v>
      </c>
      <c r="CM394" s="88">
        <v>0</v>
      </c>
      <c r="CN394" s="88">
        <v>0</v>
      </c>
      <c r="CO394" s="88">
        <v>0</v>
      </c>
      <c r="CP394" s="88">
        <v>0</v>
      </c>
      <c r="CQ394" s="88">
        <v>5</v>
      </c>
      <c r="CR394" s="88">
        <v>0</v>
      </c>
      <c r="CS394" s="88">
        <v>0</v>
      </c>
      <c r="CT394" s="88">
        <v>0</v>
      </c>
      <c r="CU394" s="88">
        <v>0</v>
      </c>
      <c r="CV394" s="88">
        <v>0</v>
      </c>
      <c r="CW394" s="88">
        <v>212</v>
      </c>
      <c r="CX394" s="88">
        <v>0</v>
      </c>
      <c r="CY394" s="88">
        <v>0</v>
      </c>
      <c r="CZ394" s="88">
        <v>0</v>
      </c>
      <c r="DA394" s="88">
        <v>0</v>
      </c>
      <c r="DB394" s="88">
        <v>0</v>
      </c>
      <c r="DC394" s="88">
        <v>2</v>
      </c>
      <c r="DD394" s="88">
        <v>0</v>
      </c>
      <c r="DE394" s="88">
        <v>0</v>
      </c>
      <c r="DF394" s="88">
        <v>0</v>
      </c>
      <c r="DG394" s="88">
        <v>0</v>
      </c>
      <c r="DH394" s="88">
        <v>0</v>
      </c>
      <c r="DI394" s="88">
        <v>4</v>
      </c>
      <c r="DJ394" s="88">
        <v>0</v>
      </c>
      <c r="DK394" s="88">
        <v>0</v>
      </c>
      <c r="DL394" s="88">
        <v>0</v>
      </c>
      <c r="DM394" s="88">
        <v>0</v>
      </c>
      <c r="DN394" s="88">
        <v>0</v>
      </c>
      <c r="DO394" s="88">
        <v>0</v>
      </c>
      <c r="DP394" s="88">
        <v>0</v>
      </c>
      <c r="DQ394" s="88">
        <v>0</v>
      </c>
      <c r="DR394" s="113">
        <v>0</v>
      </c>
      <c r="DS394" s="87">
        <v>0</v>
      </c>
      <c r="DT394" s="87">
        <v>0</v>
      </c>
      <c r="DU394" s="87">
        <v>101</v>
      </c>
      <c r="DV394" s="87">
        <v>0</v>
      </c>
      <c r="DW394" s="87">
        <v>0</v>
      </c>
      <c r="DX394" s="87">
        <v>0</v>
      </c>
      <c r="DY394" s="88">
        <v>0</v>
      </c>
      <c r="DZ394" s="88">
        <v>0</v>
      </c>
      <c r="EA394" s="88">
        <v>876</v>
      </c>
      <c r="EB394" s="88">
        <v>0</v>
      </c>
      <c r="EC394" s="88">
        <v>0</v>
      </c>
      <c r="ED394" s="88">
        <v>0</v>
      </c>
      <c r="EE394" s="88">
        <v>0</v>
      </c>
      <c r="EF394" s="88">
        <v>0</v>
      </c>
      <c r="EG394" s="88">
        <v>600</v>
      </c>
      <c r="EH394" s="88">
        <v>0</v>
      </c>
      <c r="EI394" s="88">
        <v>0</v>
      </c>
      <c r="EJ394" s="88">
        <v>26</v>
      </c>
      <c r="EK394" s="88">
        <v>0</v>
      </c>
      <c r="EL394" s="88">
        <v>0</v>
      </c>
      <c r="EM394" s="88">
        <v>636.1</v>
      </c>
      <c r="EN394" s="88">
        <v>0</v>
      </c>
      <c r="EO394" s="88">
        <v>0</v>
      </c>
      <c r="EP394" s="88">
        <v>6</v>
      </c>
      <c r="EQ394" s="88">
        <v>0</v>
      </c>
      <c r="ER394" s="88">
        <v>0</v>
      </c>
      <c r="ES394" s="88">
        <v>25</v>
      </c>
      <c r="ET394" s="88">
        <v>0</v>
      </c>
      <c r="EU394" s="88">
        <v>0</v>
      </c>
      <c r="EV394" s="88">
        <v>7</v>
      </c>
      <c r="EW394" s="88">
        <v>0</v>
      </c>
      <c r="EX394" s="88">
        <v>0</v>
      </c>
      <c r="EY394" s="88">
        <v>5</v>
      </c>
      <c r="EZ394" s="88">
        <v>0</v>
      </c>
      <c r="FA394" s="88">
        <v>0</v>
      </c>
      <c r="FB394" s="88">
        <v>0</v>
      </c>
      <c r="FC394" s="88">
        <v>0</v>
      </c>
      <c r="FD394" s="88">
        <v>0</v>
      </c>
      <c r="FE394" s="88">
        <v>1</v>
      </c>
      <c r="FF394" s="88">
        <v>0</v>
      </c>
      <c r="FG394" s="88">
        <v>0</v>
      </c>
      <c r="FH394" s="88">
        <v>0</v>
      </c>
      <c r="FI394" s="88">
        <v>0</v>
      </c>
      <c r="FJ394" s="88">
        <v>0</v>
      </c>
      <c r="FK394" s="32">
        <v>64</v>
      </c>
      <c r="FL394" s="88">
        <v>0</v>
      </c>
      <c r="FM394" s="88">
        <v>0</v>
      </c>
      <c r="FN394" s="88">
        <v>4303</v>
      </c>
      <c r="FO394" s="88">
        <v>0</v>
      </c>
      <c r="FP394" s="88">
        <v>0</v>
      </c>
      <c r="FQ394" s="88">
        <v>287</v>
      </c>
      <c r="FR394" s="88">
        <v>0</v>
      </c>
      <c r="FS394" s="88">
        <v>0</v>
      </c>
      <c r="FT394" s="88">
        <v>0</v>
      </c>
      <c r="FU394" s="88">
        <v>0</v>
      </c>
      <c r="FV394" s="88">
        <v>0</v>
      </c>
      <c r="FW394" s="88">
        <v>113</v>
      </c>
      <c r="FX394" s="32">
        <v>0</v>
      </c>
      <c r="FY394" s="32">
        <v>0</v>
      </c>
      <c r="FZ394" s="32">
        <v>140</v>
      </c>
    </row>
    <row r="395" spans="1:182" s="22" customFormat="1" x14ac:dyDescent="0.2">
      <c r="A395" s="41">
        <v>43586</v>
      </c>
      <c r="B395" s="100">
        <f t="shared" si="26"/>
        <v>65780187.339999996</v>
      </c>
      <c r="C395" s="42">
        <v>60243.61</v>
      </c>
      <c r="D395" s="42">
        <v>363186.49</v>
      </c>
      <c r="E395" s="43">
        <f t="shared" si="20"/>
        <v>423430.1</v>
      </c>
      <c r="F395" s="42">
        <v>4642414.2</v>
      </c>
      <c r="G395" s="42">
        <v>1311225.81</v>
      </c>
      <c r="H395" s="32">
        <f t="shared" si="28"/>
        <v>5953640.0099999998</v>
      </c>
      <c r="I395" s="42"/>
      <c r="J395" s="42"/>
      <c r="K395" s="98">
        <v>14569663.840000002</v>
      </c>
      <c r="L395" s="42"/>
      <c r="M395" s="42"/>
      <c r="N395" s="98">
        <v>21377565.140000001</v>
      </c>
      <c r="O395" s="42"/>
      <c r="P395" s="42"/>
      <c r="Q395" s="98">
        <v>22896574.149999999</v>
      </c>
      <c r="R395" s="42"/>
      <c r="S395" s="42"/>
      <c r="T395" s="42">
        <v>188603.94</v>
      </c>
      <c r="U395" s="42">
        <v>2798.4</v>
      </c>
      <c r="V395" s="42">
        <v>1325.9499999999998</v>
      </c>
      <c r="W395" s="42">
        <f t="shared" si="21"/>
        <v>4124.3500000000004</v>
      </c>
      <c r="X395" s="42">
        <v>47404.49</v>
      </c>
      <c r="Y395" s="42">
        <v>4020.7</v>
      </c>
      <c r="Z395" s="32">
        <f t="shared" si="22"/>
        <v>51425.189999999995</v>
      </c>
      <c r="AA395" s="42">
        <v>160982.53999999998</v>
      </c>
      <c r="AB395" s="42">
        <v>24916.46</v>
      </c>
      <c r="AC395" s="32">
        <f t="shared" si="23"/>
        <v>185898.99999999997</v>
      </c>
      <c r="AD395" s="42">
        <v>2950.69</v>
      </c>
      <c r="AE395" s="42">
        <v>8041.6100000000006</v>
      </c>
      <c r="AF395" s="32">
        <f t="shared" si="24"/>
        <v>10992.300000000001</v>
      </c>
      <c r="AG395" s="32">
        <v>16821.900000000001</v>
      </c>
      <c r="AH395" s="32">
        <v>45192.92</v>
      </c>
      <c r="AI395" s="32">
        <f t="shared" si="25"/>
        <v>62014.82</v>
      </c>
      <c r="AJ395" s="42"/>
      <c r="AK395" s="42"/>
      <c r="AL395" s="42">
        <v>56254.5</v>
      </c>
      <c r="AM395" s="42"/>
      <c r="AN395" s="42"/>
      <c r="AO395" s="42"/>
      <c r="AP395" s="42"/>
      <c r="AQ395" s="42"/>
      <c r="AR395" s="42"/>
      <c r="AS395" s="42"/>
      <c r="AT395" s="42"/>
      <c r="AU395" s="42">
        <v>1577638.72</v>
      </c>
      <c r="AV395" s="42"/>
      <c r="AW395" s="42"/>
      <c r="AX395" s="42">
        <v>46152.75</v>
      </c>
      <c r="AY395" s="42">
        <v>7219261.2999999998</v>
      </c>
      <c r="AZ395" s="42">
        <v>1031580</v>
      </c>
      <c r="BA395" s="43">
        <f t="shared" si="27"/>
        <v>8250841.2999999998</v>
      </c>
      <c r="BB395" s="42"/>
      <c r="BC395" s="42"/>
      <c r="BD395" s="42">
        <v>1552693.8666666667</v>
      </c>
      <c r="BE395" s="88">
        <v>0</v>
      </c>
      <c r="BF395" s="88">
        <v>0</v>
      </c>
      <c r="BG395" s="88">
        <v>51</v>
      </c>
      <c r="BH395" s="88">
        <v>0</v>
      </c>
      <c r="BI395" s="88">
        <v>0</v>
      </c>
      <c r="BJ395" s="88">
        <v>0</v>
      </c>
      <c r="BK395" s="88">
        <v>0</v>
      </c>
      <c r="BL395" s="88">
        <v>0</v>
      </c>
      <c r="BM395" s="88">
        <v>188</v>
      </c>
      <c r="BN395" s="88">
        <v>0</v>
      </c>
      <c r="BO395" s="88">
        <v>0</v>
      </c>
      <c r="BP395" s="88">
        <v>3</v>
      </c>
      <c r="BQ395" s="88">
        <v>0</v>
      </c>
      <c r="BR395" s="88">
        <v>0</v>
      </c>
      <c r="BS395" s="88">
        <v>357</v>
      </c>
      <c r="BT395" s="88">
        <v>0</v>
      </c>
      <c r="BU395" s="88">
        <v>0</v>
      </c>
      <c r="BV395" s="88">
        <v>1</v>
      </c>
      <c r="BW395" s="88"/>
      <c r="BX395" s="88"/>
      <c r="BY395" s="88"/>
      <c r="BZ395" s="88">
        <v>0</v>
      </c>
      <c r="CA395" s="88">
        <v>0</v>
      </c>
      <c r="CB395" s="88">
        <v>214</v>
      </c>
      <c r="CC395" s="88"/>
      <c r="CD395" s="88"/>
      <c r="CE395" s="88"/>
      <c r="CF395" s="88">
        <v>0</v>
      </c>
      <c r="CG395" s="88">
        <v>0</v>
      </c>
      <c r="CH395" s="88">
        <v>1</v>
      </c>
      <c r="CI395" s="88">
        <v>0</v>
      </c>
      <c r="CJ395" s="88">
        <v>0</v>
      </c>
      <c r="CK395" s="88">
        <v>38</v>
      </c>
      <c r="CL395" s="88">
        <v>0</v>
      </c>
      <c r="CM395" s="88">
        <v>0</v>
      </c>
      <c r="CN395" s="88">
        <v>0</v>
      </c>
      <c r="CO395" s="88">
        <v>0</v>
      </c>
      <c r="CP395" s="88">
        <v>0</v>
      </c>
      <c r="CQ395" s="88">
        <v>3</v>
      </c>
      <c r="CR395" s="88">
        <v>0</v>
      </c>
      <c r="CS395" s="88">
        <v>0</v>
      </c>
      <c r="CT395" s="88">
        <v>0</v>
      </c>
      <c r="CU395" s="88">
        <v>0</v>
      </c>
      <c r="CV395" s="88">
        <v>0</v>
      </c>
      <c r="CW395" s="88">
        <v>241</v>
      </c>
      <c r="CX395" s="88">
        <v>0</v>
      </c>
      <c r="CY395" s="88">
        <v>0</v>
      </c>
      <c r="CZ395" s="88">
        <v>0</v>
      </c>
      <c r="DA395" s="88">
        <v>0</v>
      </c>
      <c r="DB395" s="88">
        <v>0</v>
      </c>
      <c r="DC395" s="88">
        <v>0</v>
      </c>
      <c r="DD395" s="88">
        <v>0</v>
      </c>
      <c r="DE395" s="88">
        <v>0</v>
      </c>
      <c r="DF395" s="88">
        <v>0</v>
      </c>
      <c r="DG395" s="88">
        <v>0</v>
      </c>
      <c r="DH395" s="88">
        <v>0</v>
      </c>
      <c r="DI395" s="88">
        <v>6</v>
      </c>
      <c r="DJ395" s="88">
        <v>0</v>
      </c>
      <c r="DK395" s="88">
        <v>0</v>
      </c>
      <c r="DL395" s="88">
        <v>0</v>
      </c>
      <c r="DM395" s="88">
        <v>0</v>
      </c>
      <c r="DN395" s="88">
        <v>0</v>
      </c>
      <c r="DO395" s="88">
        <v>0</v>
      </c>
      <c r="DP395" s="88">
        <v>0</v>
      </c>
      <c r="DQ395" s="88">
        <v>0</v>
      </c>
      <c r="DR395" s="113">
        <v>0</v>
      </c>
      <c r="DS395" s="87">
        <v>0</v>
      </c>
      <c r="DT395" s="87">
        <v>0</v>
      </c>
      <c r="DU395" s="87">
        <v>55</v>
      </c>
      <c r="DV395" s="87">
        <v>0</v>
      </c>
      <c r="DW395" s="87">
        <v>0</v>
      </c>
      <c r="DX395" s="87">
        <v>0</v>
      </c>
      <c r="DY395" s="88">
        <v>0</v>
      </c>
      <c r="DZ395" s="88">
        <v>0</v>
      </c>
      <c r="EA395" s="88">
        <v>851</v>
      </c>
      <c r="EB395" s="88">
        <v>0</v>
      </c>
      <c r="EC395" s="88">
        <v>0</v>
      </c>
      <c r="ED395" s="88">
        <v>0</v>
      </c>
      <c r="EE395" s="88">
        <v>0</v>
      </c>
      <c r="EF395" s="88">
        <v>0</v>
      </c>
      <c r="EG395" s="88">
        <v>596</v>
      </c>
      <c r="EH395" s="88">
        <v>0</v>
      </c>
      <c r="EI395" s="88">
        <v>0</v>
      </c>
      <c r="EJ395" s="88">
        <v>33</v>
      </c>
      <c r="EK395" s="88">
        <v>0</v>
      </c>
      <c r="EL395" s="88">
        <v>0</v>
      </c>
      <c r="EM395" s="88">
        <v>608</v>
      </c>
      <c r="EN395" s="88">
        <v>0</v>
      </c>
      <c r="EO395" s="88">
        <v>0</v>
      </c>
      <c r="EP395" s="88">
        <v>25</v>
      </c>
      <c r="EQ395" s="88">
        <v>0</v>
      </c>
      <c r="ER395" s="88">
        <v>0</v>
      </c>
      <c r="ES395" s="88">
        <v>16</v>
      </c>
      <c r="ET395" s="88">
        <v>0</v>
      </c>
      <c r="EU395" s="88">
        <v>0</v>
      </c>
      <c r="EV395" s="88">
        <v>13</v>
      </c>
      <c r="EW395" s="88">
        <v>0</v>
      </c>
      <c r="EX395" s="88">
        <v>0</v>
      </c>
      <c r="EY395" s="88">
        <v>7</v>
      </c>
      <c r="EZ395" s="88">
        <v>0</v>
      </c>
      <c r="FA395" s="88">
        <v>0</v>
      </c>
      <c r="FB395" s="88">
        <v>0</v>
      </c>
      <c r="FC395" s="88">
        <v>0</v>
      </c>
      <c r="FD395" s="88">
        <v>0</v>
      </c>
      <c r="FE395" s="88">
        <v>2</v>
      </c>
      <c r="FF395" s="88">
        <v>0</v>
      </c>
      <c r="FG395" s="88">
        <v>0</v>
      </c>
      <c r="FH395" s="88">
        <v>0</v>
      </c>
      <c r="FI395" s="88">
        <v>0</v>
      </c>
      <c r="FJ395" s="88">
        <v>0</v>
      </c>
      <c r="FK395" s="32">
        <v>55</v>
      </c>
      <c r="FL395" s="88">
        <v>0</v>
      </c>
      <c r="FM395" s="88">
        <v>0</v>
      </c>
      <c r="FN395" s="88">
        <v>2634</v>
      </c>
      <c r="FO395" s="88">
        <v>0</v>
      </c>
      <c r="FP395" s="88">
        <v>0</v>
      </c>
      <c r="FQ395" s="88">
        <v>498</v>
      </c>
      <c r="FR395" s="88">
        <v>0</v>
      </c>
      <c r="FS395" s="88">
        <v>0</v>
      </c>
      <c r="FT395" s="88">
        <v>0</v>
      </c>
      <c r="FU395" s="88">
        <v>0</v>
      </c>
      <c r="FV395" s="88">
        <v>0</v>
      </c>
      <c r="FW395" s="88">
        <v>51</v>
      </c>
      <c r="FX395" s="32">
        <v>0</v>
      </c>
      <c r="FY395" s="32">
        <v>0</v>
      </c>
      <c r="FZ395" s="32">
        <v>294</v>
      </c>
    </row>
    <row r="396" spans="1:182" s="22" customFormat="1" x14ac:dyDescent="0.2">
      <c r="A396" s="41">
        <v>43617</v>
      </c>
      <c r="B396" s="100">
        <f t="shared" si="26"/>
        <v>61705302.060000002</v>
      </c>
      <c r="C396" s="42">
        <v>53592.710000000006</v>
      </c>
      <c r="D396" s="42">
        <v>341504.24</v>
      </c>
      <c r="E396" s="43">
        <f>+C396+D396</f>
        <v>395096.95</v>
      </c>
      <c r="F396" s="42">
        <v>4367300.53</v>
      </c>
      <c r="G396" s="42">
        <v>1769966.63</v>
      </c>
      <c r="H396" s="32">
        <f t="shared" si="28"/>
        <v>6137267.1600000001</v>
      </c>
      <c r="I396" s="42"/>
      <c r="J396" s="42"/>
      <c r="K396" s="98">
        <v>10854991.639999999</v>
      </c>
      <c r="L396" s="42"/>
      <c r="M396" s="42"/>
      <c r="N396" s="98">
        <v>18806433</v>
      </c>
      <c r="O396" s="42"/>
      <c r="P396" s="42"/>
      <c r="Q396" s="98">
        <v>25110280.699999999</v>
      </c>
      <c r="R396" s="42"/>
      <c r="S396" s="42"/>
      <c r="T396" s="42">
        <v>130284.48</v>
      </c>
      <c r="U396" s="42">
        <v>1450.81</v>
      </c>
      <c r="V396" s="42">
        <v>1241.94</v>
      </c>
      <c r="W396" s="42">
        <f>+U396+V396</f>
        <v>2692.75</v>
      </c>
      <c r="X396" s="42">
        <v>16895.41</v>
      </c>
      <c r="Y396" s="42">
        <v>2254.4</v>
      </c>
      <c r="Z396" s="32">
        <f>+X396+Y396</f>
        <v>19149.810000000001</v>
      </c>
      <c r="AA396" s="42">
        <v>97564.66</v>
      </c>
      <c r="AB396" s="42">
        <v>29511.360000000001</v>
      </c>
      <c r="AC396" s="32">
        <f>+AA396+AB396</f>
        <v>127076.02</v>
      </c>
      <c r="AD396" s="42">
        <v>967.54</v>
      </c>
      <c r="AE396" s="42">
        <v>6941.3200000000006</v>
      </c>
      <c r="AF396" s="32">
        <f>+AD396+AE396</f>
        <v>7908.8600000000006</v>
      </c>
      <c r="AG396" s="32">
        <v>5269.33</v>
      </c>
      <c r="AH396" s="32">
        <v>50972.709999999992</v>
      </c>
      <c r="AI396" s="32">
        <f>+AG396+AH396</f>
        <v>56242.039999999994</v>
      </c>
      <c r="AJ396" s="42"/>
      <c r="AK396" s="42"/>
      <c r="AL396" s="42">
        <v>57878.65</v>
      </c>
      <c r="AM396" s="42"/>
      <c r="AN396" s="42"/>
      <c r="AO396" s="42"/>
      <c r="AP396" s="42"/>
      <c r="AQ396" s="42"/>
      <c r="AR396" s="42"/>
      <c r="AS396" s="42"/>
      <c r="AT396" s="42"/>
      <c r="AU396" s="42">
        <v>1252190.6099999999</v>
      </c>
      <c r="AV396" s="42"/>
      <c r="AW396" s="42"/>
      <c r="AX396" s="42">
        <v>26491.719999999998</v>
      </c>
      <c r="AY396" s="42">
        <v>5909731</v>
      </c>
      <c r="AZ396" s="42">
        <v>1089480</v>
      </c>
      <c r="BA396" s="43">
        <f t="shared" si="27"/>
        <v>6999211</v>
      </c>
      <c r="BB396" s="42"/>
      <c r="BC396" s="42"/>
      <c r="BD396" s="42">
        <v>1311214.9111111111</v>
      </c>
      <c r="BE396" s="88">
        <v>0</v>
      </c>
      <c r="BF396" s="88">
        <v>0</v>
      </c>
      <c r="BG396" s="88">
        <v>34</v>
      </c>
      <c r="BH396" s="88">
        <v>0</v>
      </c>
      <c r="BI396" s="88">
        <v>0</v>
      </c>
      <c r="BJ396" s="88">
        <v>0</v>
      </c>
      <c r="BK396" s="88">
        <v>0</v>
      </c>
      <c r="BL396" s="88">
        <v>0</v>
      </c>
      <c r="BM396" s="88">
        <v>143</v>
      </c>
      <c r="BN396" s="88">
        <v>0</v>
      </c>
      <c r="BO396" s="88">
        <v>0</v>
      </c>
      <c r="BP396" s="88">
        <v>0</v>
      </c>
      <c r="BQ396" s="88">
        <v>0</v>
      </c>
      <c r="BR396" s="88">
        <v>0</v>
      </c>
      <c r="BS396" s="88">
        <v>195</v>
      </c>
      <c r="BT396" s="88">
        <v>0</v>
      </c>
      <c r="BU396" s="88">
        <v>0</v>
      </c>
      <c r="BV396" s="88">
        <v>0</v>
      </c>
      <c r="BW396" s="88"/>
      <c r="BX396" s="88"/>
      <c r="BY396" s="88"/>
      <c r="BZ396" s="88">
        <v>0</v>
      </c>
      <c r="CA396" s="88">
        <v>0</v>
      </c>
      <c r="CB396" s="88">
        <v>317</v>
      </c>
      <c r="CC396" s="88"/>
      <c r="CD396" s="88"/>
      <c r="CE396" s="88"/>
      <c r="CF396" s="88">
        <v>0</v>
      </c>
      <c r="CG396" s="88">
        <v>0</v>
      </c>
      <c r="CH396" s="88">
        <v>2</v>
      </c>
      <c r="CI396" s="88">
        <v>0</v>
      </c>
      <c r="CJ396" s="88">
        <v>0</v>
      </c>
      <c r="CK396" s="88">
        <v>22</v>
      </c>
      <c r="CL396" s="88">
        <v>0</v>
      </c>
      <c r="CM396" s="88">
        <v>0</v>
      </c>
      <c r="CN396" s="88">
        <v>0</v>
      </c>
      <c r="CO396" s="88">
        <v>0</v>
      </c>
      <c r="CP396" s="88">
        <v>0</v>
      </c>
      <c r="CQ396" s="88">
        <v>5</v>
      </c>
      <c r="CR396" s="88">
        <v>0</v>
      </c>
      <c r="CS396" s="88">
        <v>0</v>
      </c>
      <c r="CT396" s="88">
        <v>0</v>
      </c>
      <c r="CU396" s="88">
        <v>0</v>
      </c>
      <c r="CV396" s="88">
        <v>0</v>
      </c>
      <c r="CW396" s="88">
        <v>203</v>
      </c>
      <c r="CX396" s="88">
        <v>0</v>
      </c>
      <c r="CY396" s="88">
        <v>0</v>
      </c>
      <c r="CZ396" s="88">
        <v>0</v>
      </c>
      <c r="DA396" s="88">
        <v>0</v>
      </c>
      <c r="DB396" s="88">
        <v>0</v>
      </c>
      <c r="DC396" s="88">
        <v>1</v>
      </c>
      <c r="DD396" s="88">
        <v>0</v>
      </c>
      <c r="DE396" s="88">
        <v>0</v>
      </c>
      <c r="DF396" s="88">
        <v>0</v>
      </c>
      <c r="DG396" s="88">
        <v>0</v>
      </c>
      <c r="DH396" s="88">
        <v>0</v>
      </c>
      <c r="DI396" s="88">
        <v>1</v>
      </c>
      <c r="DJ396" s="88">
        <v>0</v>
      </c>
      <c r="DK396" s="88">
        <v>0</v>
      </c>
      <c r="DL396" s="88">
        <v>0</v>
      </c>
      <c r="DM396" s="88">
        <v>0</v>
      </c>
      <c r="DN396" s="88">
        <v>0</v>
      </c>
      <c r="DO396" s="88">
        <v>0</v>
      </c>
      <c r="DP396" s="88">
        <v>0</v>
      </c>
      <c r="DQ396" s="88">
        <v>0</v>
      </c>
      <c r="DR396" s="113">
        <v>0</v>
      </c>
      <c r="DS396" s="87">
        <v>0</v>
      </c>
      <c r="DT396" s="87">
        <v>0</v>
      </c>
      <c r="DU396" s="87">
        <v>121</v>
      </c>
      <c r="DV396" s="87">
        <v>0</v>
      </c>
      <c r="DW396" s="87">
        <v>0</v>
      </c>
      <c r="DX396" s="87">
        <v>0</v>
      </c>
      <c r="DY396" s="88">
        <v>0</v>
      </c>
      <c r="DZ396" s="88">
        <v>0</v>
      </c>
      <c r="EA396" s="115">
        <v>87</v>
      </c>
      <c r="EB396" s="88">
        <v>0</v>
      </c>
      <c r="EC396" s="88">
        <v>0</v>
      </c>
      <c r="ED396" s="88">
        <v>0</v>
      </c>
      <c r="EE396" s="88">
        <v>0</v>
      </c>
      <c r="EF396" s="88">
        <v>0</v>
      </c>
      <c r="EG396" s="88">
        <v>416</v>
      </c>
      <c r="EH396" s="88">
        <v>0</v>
      </c>
      <c r="EI396" s="88">
        <v>0</v>
      </c>
      <c r="EJ396" s="88">
        <v>37</v>
      </c>
      <c r="EK396" s="88">
        <v>0</v>
      </c>
      <c r="EL396" s="88">
        <v>0</v>
      </c>
      <c r="EM396" s="88">
        <v>742</v>
      </c>
      <c r="EN396" s="88">
        <v>0</v>
      </c>
      <c r="EO396" s="88">
        <v>0</v>
      </c>
      <c r="EP396" s="88">
        <v>7</v>
      </c>
      <c r="EQ396" s="88">
        <v>0</v>
      </c>
      <c r="ER396" s="88">
        <v>0</v>
      </c>
      <c r="ES396" s="88">
        <v>8</v>
      </c>
      <c r="ET396" s="88">
        <v>0</v>
      </c>
      <c r="EU396" s="88">
        <v>0</v>
      </c>
      <c r="EV396" s="88">
        <v>22</v>
      </c>
      <c r="EW396" s="88">
        <v>0</v>
      </c>
      <c r="EX396" s="88">
        <v>0</v>
      </c>
      <c r="EY396" s="88">
        <v>7</v>
      </c>
      <c r="EZ396" s="88">
        <v>0</v>
      </c>
      <c r="FA396" s="88">
        <v>0</v>
      </c>
      <c r="FB396" s="88">
        <v>0</v>
      </c>
      <c r="FC396" s="88">
        <v>0</v>
      </c>
      <c r="FD396" s="88">
        <v>0</v>
      </c>
      <c r="FE396" s="88">
        <v>3</v>
      </c>
      <c r="FF396" s="88">
        <v>0</v>
      </c>
      <c r="FG396" s="88">
        <v>0</v>
      </c>
      <c r="FH396" s="88">
        <v>0</v>
      </c>
      <c r="FI396" s="88">
        <v>0</v>
      </c>
      <c r="FJ396" s="88">
        <v>0</v>
      </c>
      <c r="FK396" s="32">
        <v>122</v>
      </c>
      <c r="FL396" s="88">
        <v>0</v>
      </c>
      <c r="FM396" s="88">
        <v>0</v>
      </c>
      <c r="FN396" s="88">
        <v>2165</v>
      </c>
      <c r="FO396" s="88">
        <v>0</v>
      </c>
      <c r="FP396" s="88">
        <v>0</v>
      </c>
      <c r="FQ396" s="115">
        <v>3</v>
      </c>
      <c r="FR396" s="88">
        <v>0</v>
      </c>
      <c r="FS396" s="88">
        <v>0</v>
      </c>
      <c r="FT396" s="88">
        <v>0</v>
      </c>
      <c r="FU396" s="88">
        <v>0</v>
      </c>
      <c r="FV396" s="88">
        <v>0</v>
      </c>
      <c r="FW396" s="115">
        <v>119</v>
      </c>
      <c r="FX396" s="32">
        <v>0</v>
      </c>
      <c r="FY396" s="32">
        <v>0</v>
      </c>
      <c r="FZ396" s="32">
        <v>1148</v>
      </c>
    </row>
    <row r="397" spans="1:182" s="22" customFormat="1" x14ac:dyDescent="0.2">
      <c r="A397" s="41">
        <v>43647</v>
      </c>
      <c r="B397" s="100">
        <f t="shared" si="26"/>
        <v>59653612.840000011</v>
      </c>
      <c r="C397" s="42">
        <v>71446.91</v>
      </c>
      <c r="D397" s="42">
        <v>313553.53000000003</v>
      </c>
      <c r="E397" s="43">
        <f>+C397+D397</f>
        <v>385000.44000000006</v>
      </c>
      <c r="F397" s="42">
        <v>2725105.26</v>
      </c>
      <c r="G397" s="42">
        <v>895380.85</v>
      </c>
      <c r="H397" s="32">
        <f t="shared" si="28"/>
        <v>3620486.11</v>
      </c>
      <c r="I397" s="42"/>
      <c r="J397" s="42"/>
      <c r="K397" s="98">
        <v>11060727.309999999</v>
      </c>
      <c r="L397" s="42"/>
      <c r="M397" s="42"/>
      <c r="N397" s="98">
        <v>21468236.649999999</v>
      </c>
      <c r="O397" s="42"/>
      <c r="P397" s="42"/>
      <c r="Q397" s="98">
        <v>22636405</v>
      </c>
      <c r="R397" s="42"/>
      <c r="S397" s="42"/>
      <c r="T397" s="42">
        <v>130499.04</v>
      </c>
      <c r="U397" s="42">
        <v>1488.97</v>
      </c>
      <c r="V397" s="42">
        <v>2463.37</v>
      </c>
      <c r="W397" s="42">
        <f>+U397+V397</f>
        <v>3952.34</v>
      </c>
      <c r="X397" s="42">
        <v>46044.67</v>
      </c>
      <c r="Y397" s="42">
        <v>1227.05</v>
      </c>
      <c r="Z397" s="32">
        <f>+X397+Y397</f>
        <v>47271.72</v>
      </c>
      <c r="AA397" s="42">
        <v>120090.99000000002</v>
      </c>
      <c r="AB397" s="42">
        <v>26027.209999999995</v>
      </c>
      <c r="AC397" s="32">
        <f>+AA397+AB397</f>
        <v>146118.20000000001</v>
      </c>
      <c r="AD397" s="42">
        <v>4320.6000000000004</v>
      </c>
      <c r="AE397" s="42">
        <v>15249.92</v>
      </c>
      <c r="AF397" s="32">
        <f>+AD397+AE397</f>
        <v>19570.52</v>
      </c>
      <c r="AG397" s="32">
        <v>10263.11</v>
      </c>
      <c r="AH397" s="32">
        <v>51187.45</v>
      </c>
      <c r="AI397" s="32">
        <f>+AG397+AH397</f>
        <v>61450.559999999998</v>
      </c>
      <c r="AJ397" s="42"/>
      <c r="AK397" s="42"/>
      <c r="AL397" s="42">
        <v>73894.95</v>
      </c>
      <c r="AM397" s="42"/>
      <c r="AN397" s="42"/>
      <c r="AO397" s="42"/>
      <c r="AP397" s="42"/>
      <c r="AQ397" s="42"/>
      <c r="AR397" s="42"/>
      <c r="AS397" s="42"/>
      <c r="AT397" s="42"/>
      <c r="AU397" s="42">
        <v>1246102.46</v>
      </c>
      <c r="AV397" s="42"/>
      <c r="AW397" s="42"/>
      <c r="AX397" s="42">
        <v>34234.839999999997</v>
      </c>
      <c r="AY397" s="42">
        <v>7235330.5999999996</v>
      </c>
      <c r="AZ397" s="42">
        <v>108500</v>
      </c>
      <c r="BA397" s="43">
        <f t="shared" si="27"/>
        <v>7343830.5999999996</v>
      </c>
      <c r="BB397" s="42"/>
      <c r="BC397" s="42"/>
      <c r="BD397" s="42">
        <v>1534810.4666666666</v>
      </c>
      <c r="BE397" s="88">
        <v>0</v>
      </c>
      <c r="BF397" s="88">
        <v>0</v>
      </c>
      <c r="BG397" s="88">
        <v>51</v>
      </c>
      <c r="BH397" s="88">
        <v>0</v>
      </c>
      <c r="BI397" s="88">
        <v>0</v>
      </c>
      <c r="BJ397" s="88">
        <v>0</v>
      </c>
      <c r="BK397" s="88">
        <v>0</v>
      </c>
      <c r="BL397" s="88">
        <v>0</v>
      </c>
      <c r="BM397" s="88">
        <v>157</v>
      </c>
      <c r="BN397" s="88">
        <v>0</v>
      </c>
      <c r="BO397" s="88">
        <v>0</v>
      </c>
      <c r="BP397" s="88">
        <v>2</v>
      </c>
      <c r="BQ397" s="88">
        <v>0</v>
      </c>
      <c r="BR397" s="88">
        <v>0</v>
      </c>
      <c r="BS397" s="88">
        <v>243</v>
      </c>
      <c r="BT397" s="88">
        <v>0</v>
      </c>
      <c r="BU397" s="88">
        <v>0</v>
      </c>
      <c r="BV397" s="88">
        <v>0</v>
      </c>
      <c r="BW397" s="88"/>
      <c r="BX397" s="88"/>
      <c r="BY397" s="88"/>
      <c r="BZ397" s="88">
        <v>0</v>
      </c>
      <c r="CA397" s="88">
        <v>0</v>
      </c>
      <c r="CB397" s="88">
        <v>270</v>
      </c>
      <c r="CC397" s="88"/>
      <c r="CD397" s="88"/>
      <c r="CE397" s="88"/>
      <c r="CF397" s="88">
        <v>0</v>
      </c>
      <c r="CG397" s="88">
        <v>0</v>
      </c>
      <c r="CH397" s="88">
        <v>8</v>
      </c>
      <c r="CI397" s="88">
        <v>0</v>
      </c>
      <c r="CJ397" s="88">
        <v>0</v>
      </c>
      <c r="CK397" s="88">
        <v>11</v>
      </c>
      <c r="CL397" s="88">
        <v>0</v>
      </c>
      <c r="CM397" s="88">
        <v>0</v>
      </c>
      <c r="CN397" s="88">
        <v>0</v>
      </c>
      <c r="CO397" s="88">
        <v>0</v>
      </c>
      <c r="CP397" s="88">
        <v>0</v>
      </c>
      <c r="CQ397" s="88">
        <v>3</v>
      </c>
      <c r="CR397" s="88">
        <v>0</v>
      </c>
      <c r="CS397" s="88">
        <v>0</v>
      </c>
      <c r="CT397" s="88">
        <v>0</v>
      </c>
      <c r="CU397" s="88">
        <v>0</v>
      </c>
      <c r="CV397" s="88">
        <v>0</v>
      </c>
      <c r="CW397" s="88">
        <v>213</v>
      </c>
      <c r="CX397" s="88">
        <v>0</v>
      </c>
      <c r="CY397" s="88">
        <v>0</v>
      </c>
      <c r="CZ397" s="88">
        <v>0</v>
      </c>
      <c r="DA397" s="88">
        <v>0</v>
      </c>
      <c r="DB397" s="88">
        <v>0</v>
      </c>
      <c r="DC397" s="88">
        <v>0</v>
      </c>
      <c r="DD397" s="88">
        <v>0</v>
      </c>
      <c r="DE397" s="88">
        <v>0</v>
      </c>
      <c r="DF397" s="88">
        <v>2</v>
      </c>
      <c r="DG397" s="88">
        <v>0</v>
      </c>
      <c r="DH397" s="88">
        <v>0</v>
      </c>
      <c r="DI397" s="88">
        <v>2</v>
      </c>
      <c r="DJ397" s="88">
        <v>0</v>
      </c>
      <c r="DK397" s="88">
        <v>0</v>
      </c>
      <c r="DL397" s="88">
        <v>0</v>
      </c>
      <c r="DM397" s="88">
        <v>0</v>
      </c>
      <c r="DN397" s="88">
        <v>0</v>
      </c>
      <c r="DO397" s="88">
        <v>0</v>
      </c>
      <c r="DP397" s="88">
        <v>0</v>
      </c>
      <c r="DQ397" s="88">
        <v>0</v>
      </c>
      <c r="DR397" s="113">
        <v>0</v>
      </c>
      <c r="DS397" s="87">
        <v>0</v>
      </c>
      <c r="DT397" s="87">
        <v>0</v>
      </c>
      <c r="DU397" s="87">
        <v>634</v>
      </c>
      <c r="DV397" s="87">
        <v>0</v>
      </c>
      <c r="DW397" s="87">
        <v>0</v>
      </c>
      <c r="DX397" s="87">
        <v>0</v>
      </c>
      <c r="DY397" s="88">
        <v>0</v>
      </c>
      <c r="DZ397" s="88">
        <v>0</v>
      </c>
      <c r="EA397" s="88">
        <v>881</v>
      </c>
      <c r="EB397" s="88">
        <v>0</v>
      </c>
      <c r="EC397" s="88">
        <v>0</v>
      </c>
      <c r="ED397" s="88">
        <v>1</v>
      </c>
      <c r="EE397" s="88">
        <v>0</v>
      </c>
      <c r="EF397" s="88">
        <v>0</v>
      </c>
      <c r="EG397" s="88">
        <v>619</v>
      </c>
      <c r="EH397" s="88">
        <v>0</v>
      </c>
      <c r="EI397" s="88">
        <v>0</v>
      </c>
      <c r="EJ397" s="88">
        <v>42</v>
      </c>
      <c r="EK397" s="88">
        <v>0</v>
      </c>
      <c r="EL397" s="88">
        <v>0</v>
      </c>
      <c r="EM397" s="88">
        <v>810</v>
      </c>
      <c r="EN397" s="88">
        <v>0</v>
      </c>
      <c r="EO397" s="88">
        <v>0</v>
      </c>
      <c r="EP397" s="88">
        <v>13</v>
      </c>
      <c r="EQ397" s="88">
        <v>0</v>
      </c>
      <c r="ER397" s="88">
        <v>0</v>
      </c>
      <c r="ES397" s="88">
        <v>13</v>
      </c>
      <c r="ET397" s="88">
        <v>0</v>
      </c>
      <c r="EU397" s="88">
        <v>0</v>
      </c>
      <c r="EV397" s="88">
        <v>12</v>
      </c>
      <c r="EW397" s="88">
        <v>0</v>
      </c>
      <c r="EX397" s="88">
        <v>0</v>
      </c>
      <c r="EY397" s="88">
        <v>5</v>
      </c>
      <c r="EZ397" s="88">
        <v>0</v>
      </c>
      <c r="FA397" s="88">
        <v>0</v>
      </c>
      <c r="FB397" s="88">
        <v>0</v>
      </c>
      <c r="FC397" s="88">
        <v>0</v>
      </c>
      <c r="FD397" s="88">
        <v>0</v>
      </c>
      <c r="FE397" s="88">
        <v>4</v>
      </c>
      <c r="FF397" s="88">
        <v>0</v>
      </c>
      <c r="FG397" s="88">
        <v>0</v>
      </c>
      <c r="FH397" s="88">
        <v>0</v>
      </c>
      <c r="FI397" s="88">
        <v>0</v>
      </c>
      <c r="FJ397" s="88">
        <v>0</v>
      </c>
      <c r="FK397" s="32">
        <v>90</v>
      </c>
      <c r="FL397" s="88">
        <v>0</v>
      </c>
      <c r="FM397" s="88">
        <v>0</v>
      </c>
      <c r="FN397" s="88">
        <v>2627</v>
      </c>
      <c r="FO397" s="88">
        <v>0</v>
      </c>
      <c r="FP397" s="88">
        <v>0</v>
      </c>
      <c r="FQ397" s="88">
        <v>231</v>
      </c>
      <c r="FR397" s="88">
        <v>0</v>
      </c>
      <c r="FS397" s="88">
        <v>0</v>
      </c>
      <c r="FT397" s="88">
        <v>0</v>
      </c>
      <c r="FU397" s="88">
        <v>0</v>
      </c>
      <c r="FV397" s="88">
        <v>0</v>
      </c>
      <c r="FW397" s="88">
        <v>42</v>
      </c>
      <c r="FX397" s="32">
        <v>0</v>
      </c>
      <c r="FY397" s="32">
        <v>0</v>
      </c>
      <c r="FZ397" s="32">
        <v>1333</v>
      </c>
    </row>
    <row r="398" spans="1:182" s="22" customFormat="1" x14ac:dyDescent="0.2">
      <c r="A398" s="41">
        <v>43678</v>
      </c>
      <c r="B398" s="100">
        <f t="shared" si="26"/>
        <v>71366261.200000003</v>
      </c>
      <c r="C398" s="42">
        <v>43162.82</v>
      </c>
      <c r="D398" s="42">
        <v>286944.94</v>
      </c>
      <c r="E398" s="43">
        <f>+C398+D398</f>
        <v>330107.76</v>
      </c>
      <c r="F398" s="42">
        <v>4556342.1300000008</v>
      </c>
      <c r="G398" s="42">
        <v>1620257.75</v>
      </c>
      <c r="H398" s="32">
        <f t="shared" si="28"/>
        <v>6176599.8800000008</v>
      </c>
      <c r="I398" s="42"/>
      <c r="J398" s="42"/>
      <c r="K398" s="98">
        <v>16790915.469999999</v>
      </c>
      <c r="L398" s="42"/>
      <c r="M398" s="42"/>
      <c r="N398" s="98">
        <v>21488677.040000003</v>
      </c>
      <c r="O398" s="42"/>
      <c r="P398" s="42"/>
      <c r="Q398" s="98">
        <v>26153096.25</v>
      </c>
      <c r="R398" s="42"/>
      <c r="S398" s="42"/>
      <c r="T398" s="42">
        <v>163116.15</v>
      </c>
      <c r="U398" s="42">
        <v>2452.4399999999996</v>
      </c>
      <c r="V398" s="42">
        <v>2248.91</v>
      </c>
      <c r="W398" s="42">
        <f>+U398+V398</f>
        <v>4701.3499999999995</v>
      </c>
      <c r="X398" s="42">
        <v>25438.6</v>
      </c>
      <c r="Y398" s="42">
        <v>2332</v>
      </c>
      <c r="Z398" s="32">
        <f>+X398+Y398</f>
        <v>27770.6</v>
      </c>
      <c r="AA398" s="42">
        <v>59978.89</v>
      </c>
      <c r="AB398" s="42">
        <v>30188.37</v>
      </c>
      <c r="AC398" s="32">
        <f>+AA398+AB398</f>
        <v>90167.26</v>
      </c>
      <c r="AD398" s="42">
        <v>2234.0100000000002</v>
      </c>
      <c r="AE398" s="42">
        <v>7737.32</v>
      </c>
      <c r="AF398" s="32">
        <f>+AD398+AE398</f>
        <v>9971.33</v>
      </c>
      <c r="AG398" s="32">
        <v>11787.04</v>
      </c>
      <c r="AH398" s="32">
        <v>57785.120000000003</v>
      </c>
      <c r="AI398" s="32">
        <f>+AG398+AH398</f>
        <v>69572.160000000003</v>
      </c>
      <c r="AJ398" s="42"/>
      <c r="AK398" s="42"/>
      <c r="AL398" s="42">
        <v>61565.95</v>
      </c>
      <c r="AM398" s="42"/>
      <c r="AN398" s="42"/>
      <c r="AO398" s="42"/>
      <c r="AP398" s="42"/>
      <c r="AQ398" s="42"/>
      <c r="AR398" s="42"/>
      <c r="AS398" s="42"/>
      <c r="AT398" s="42"/>
      <c r="AU398" s="42">
        <v>1408212.46</v>
      </c>
      <c r="AV398" s="42"/>
      <c r="AW398" s="42"/>
      <c r="AX398" s="42">
        <v>37755.26</v>
      </c>
      <c r="AY398" s="42">
        <v>6791080.9000000004</v>
      </c>
      <c r="AZ398" s="42">
        <v>1033090</v>
      </c>
      <c r="BA398" s="43">
        <f t="shared" si="27"/>
        <v>7824170.9000000004</v>
      </c>
      <c r="BB398" s="42"/>
      <c r="BC398" s="42"/>
      <c r="BD398" s="42">
        <v>1351876.5555555555</v>
      </c>
      <c r="BE398" s="88">
        <v>0</v>
      </c>
      <c r="BF398" s="88">
        <v>0</v>
      </c>
      <c r="BG398" s="88">
        <v>61</v>
      </c>
      <c r="BH398" s="88">
        <v>0</v>
      </c>
      <c r="BI398" s="88">
        <v>0</v>
      </c>
      <c r="BJ398" s="88">
        <v>0</v>
      </c>
      <c r="BK398" s="88">
        <v>0</v>
      </c>
      <c r="BL398" s="88">
        <v>0</v>
      </c>
      <c r="BM398" s="88">
        <v>210</v>
      </c>
      <c r="BN398" s="88">
        <v>0</v>
      </c>
      <c r="BO398" s="88">
        <v>0</v>
      </c>
      <c r="BP398" s="88">
        <v>0</v>
      </c>
      <c r="BQ398" s="88">
        <v>0</v>
      </c>
      <c r="BR398" s="88">
        <v>0</v>
      </c>
      <c r="BS398" s="88">
        <v>171</v>
      </c>
      <c r="BT398" s="88">
        <v>0</v>
      </c>
      <c r="BU398" s="88">
        <v>0</v>
      </c>
      <c r="BV398" s="88">
        <v>0</v>
      </c>
      <c r="BW398" s="88"/>
      <c r="BX398" s="88"/>
      <c r="BY398" s="88"/>
      <c r="BZ398" s="88">
        <v>0</v>
      </c>
      <c r="CA398" s="88">
        <v>0</v>
      </c>
      <c r="CB398" s="88">
        <v>255</v>
      </c>
      <c r="CC398" s="88"/>
      <c r="CD398" s="88"/>
      <c r="CE398" s="88"/>
      <c r="CF398" s="88">
        <v>0</v>
      </c>
      <c r="CG398" s="88">
        <v>0</v>
      </c>
      <c r="CH398" s="88">
        <v>3</v>
      </c>
      <c r="CI398" s="88">
        <v>0</v>
      </c>
      <c r="CJ398" s="88">
        <v>0</v>
      </c>
      <c r="CK398" s="88">
        <v>39</v>
      </c>
      <c r="CL398" s="88">
        <v>0</v>
      </c>
      <c r="CM398" s="88">
        <v>0</v>
      </c>
      <c r="CN398" s="88">
        <v>0</v>
      </c>
      <c r="CO398" s="88">
        <v>0</v>
      </c>
      <c r="CP398" s="88">
        <v>0</v>
      </c>
      <c r="CQ398" s="88">
        <v>6</v>
      </c>
      <c r="CR398" s="88">
        <v>0</v>
      </c>
      <c r="CS398" s="88">
        <v>0</v>
      </c>
      <c r="CT398" s="88">
        <v>0</v>
      </c>
      <c r="CU398" s="88">
        <v>0</v>
      </c>
      <c r="CV398" s="88">
        <v>0</v>
      </c>
      <c r="CW398" s="88">
        <v>242</v>
      </c>
      <c r="CX398" s="88">
        <v>0</v>
      </c>
      <c r="CY398" s="88">
        <v>0</v>
      </c>
      <c r="CZ398" s="88">
        <v>0</v>
      </c>
      <c r="DA398" s="88">
        <v>0</v>
      </c>
      <c r="DB398" s="88">
        <v>0</v>
      </c>
      <c r="DC398" s="88">
        <v>0</v>
      </c>
      <c r="DD398" s="88">
        <v>0</v>
      </c>
      <c r="DE398" s="88">
        <v>0</v>
      </c>
      <c r="DF398" s="88">
        <v>0</v>
      </c>
      <c r="DG398" s="88">
        <v>0</v>
      </c>
      <c r="DH398" s="88">
        <v>0</v>
      </c>
      <c r="DI398" s="88">
        <v>6</v>
      </c>
      <c r="DJ398" s="88">
        <v>0</v>
      </c>
      <c r="DK398" s="88">
        <v>0</v>
      </c>
      <c r="DL398" s="88">
        <v>0</v>
      </c>
      <c r="DM398" s="88">
        <v>0</v>
      </c>
      <c r="DN398" s="88">
        <v>0</v>
      </c>
      <c r="DO398" s="88">
        <v>0</v>
      </c>
      <c r="DP398" s="88">
        <v>0</v>
      </c>
      <c r="DQ398" s="88">
        <v>0</v>
      </c>
      <c r="DR398" s="113">
        <v>0</v>
      </c>
      <c r="DS398" s="87">
        <v>0</v>
      </c>
      <c r="DT398" s="87">
        <v>0</v>
      </c>
      <c r="DU398" s="87">
        <v>465</v>
      </c>
      <c r="DV398" s="87">
        <v>0</v>
      </c>
      <c r="DW398" s="87">
        <v>0</v>
      </c>
      <c r="DX398" s="87">
        <v>0</v>
      </c>
      <c r="DY398" s="88">
        <v>0</v>
      </c>
      <c r="DZ398" s="88">
        <v>0</v>
      </c>
      <c r="EA398" s="88">
        <v>966</v>
      </c>
      <c r="EB398" s="88">
        <v>0</v>
      </c>
      <c r="EC398" s="88">
        <v>0</v>
      </c>
      <c r="ED398" s="88">
        <v>0</v>
      </c>
      <c r="EE398" s="88">
        <v>0</v>
      </c>
      <c r="EF398" s="88">
        <v>0</v>
      </c>
      <c r="EG398" s="88">
        <v>555</v>
      </c>
      <c r="EH398" s="88">
        <v>0</v>
      </c>
      <c r="EI398" s="88">
        <v>0</v>
      </c>
      <c r="EJ398" s="88">
        <v>36</v>
      </c>
      <c r="EK398" s="88">
        <v>0</v>
      </c>
      <c r="EL398" s="88">
        <v>0</v>
      </c>
      <c r="EM398" s="88">
        <v>680</v>
      </c>
      <c r="EN398" s="88">
        <v>0</v>
      </c>
      <c r="EO398" s="88">
        <v>0</v>
      </c>
      <c r="EP398" s="88">
        <v>6</v>
      </c>
      <c r="EQ398" s="88">
        <v>0</v>
      </c>
      <c r="ER398" s="88">
        <v>0</v>
      </c>
      <c r="ES398" s="88">
        <v>13</v>
      </c>
      <c r="ET398" s="88">
        <v>0</v>
      </c>
      <c r="EU398" s="88">
        <v>0</v>
      </c>
      <c r="EV398" s="88">
        <v>13</v>
      </c>
      <c r="EW398" s="88">
        <v>0</v>
      </c>
      <c r="EX398" s="88">
        <v>0</v>
      </c>
      <c r="EY398" s="88">
        <v>5</v>
      </c>
      <c r="EZ398" s="88">
        <v>0</v>
      </c>
      <c r="FA398" s="88">
        <v>0</v>
      </c>
      <c r="FB398" s="88">
        <v>0</v>
      </c>
      <c r="FC398" s="88">
        <v>0</v>
      </c>
      <c r="FD398" s="88">
        <v>0</v>
      </c>
      <c r="FE398" s="88">
        <v>3</v>
      </c>
      <c r="FF398" s="88">
        <v>0</v>
      </c>
      <c r="FG398" s="88">
        <v>0</v>
      </c>
      <c r="FH398" s="88">
        <v>0</v>
      </c>
      <c r="FI398" s="88">
        <v>0</v>
      </c>
      <c r="FJ398" s="88">
        <v>0</v>
      </c>
      <c r="FK398" s="32">
        <v>67</v>
      </c>
      <c r="FL398" s="88">
        <v>0</v>
      </c>
      <c r="FM398" s="88">
        <v>0</v>
      </c>
      <c r="FN398" s="88">
        <v>2756</v>
      </c>
      <c r="FO398" s="88">
        <v>0</v>
      </c>
      <c r="FP398" s="88">
        <v>0</v>
      </c>
      <c r="FQ398" s="88">
        <v>327</v>
      </c>
      <c r="FR398" s="88">
        <v>0</v>
      </c>
      <c r="FS398" s="88">
        <v>0</v>
      </c>
      <c r="FT398" s="88">
        <v>0</v>
      </c>
      <c r="FU398" s="88">
        <v>0</v>
      </c>
      <c r="FV398" s="88">
        <v>0</v>
      </c>
      <c r="FW398" s="88">
        <v>96</v>
      </c>
      <c r="FX398" s="32">
        <v>0</v>
      </c>
      <c r="FY398" s="32">
        <v>0</v>
      </c>
      <c r="FZ398" s="32">
        <v>5205</v>
      </c>
    </row>
    <row r="399" spans="1:182" s="22" customFormat="1" x14ac:dyDescent="0.2">
      <c r="A399" s="41">
        <v>43709</v>
      </c>
      <c r="B399" s="100">
        <f t="shared" si="26"/>
        <v>80696599.640000001</v>
      </c>
      <c r="C399" s="42">
        <v>48687.11</v>
      </c>
      <c r="D399" s="42">
        <v>289237.83999999997</v>
      </c>
      <c r="E399" s="43">
        <f t="shared" ref="E399:E464" si="29">+C399+D399</f>
        <v>337924.94999999995</v>
      </c>
      <c r="F399" s="42">
        <v>5092316.6499999994</v>
      </c>
      <c r="G399" s="42">
        <v>1654616.8599999999</v>
      </c>
      <c r="H399" s="32">
        <f t="shared" si="28"/>
        <v>6746933.5099999998</v>
      </c>
      <c r="I399" s="42"/>
      <c r="J399" s="42"/>
      <c r="K399" s="98">
        <v>21680241.299999997</v>
      </c>
      <c r="L399" s="42"/>
      <c r="M399" s="42"/>
      <c r="N399" s="98">
        <v>20045658.109999999</v>
      </c>
      <c r="O399" s="42"/>
      <c r="P399" s="42"/>
      <c r="Q399" s="98">
        <v>31462199.449999999</v>
      </c>
      <c r="R399" s="42"/>
      <c r="S399" s="42"/>
      <c r="T399" s="42">
        <v>147167.65</v>
      </c>
      <c r="U399" s="42">
        <v>2594.5300000000002</v>
      </c>
      <c r="V399" s="42">
        <v>2235.5</v>
      </c>
      <c r="W399" s="42">
        <f t="shared" ref="W399:W464" si="30">+U399+V399</f>
        <v>4830.0300000000007</v>
      </c>
      <c r="X399" s="42">
        <v>69398.81</v>
      </c>
      <c r="Y399" s="42">
        <v>1416.75</v>
      </c>
      <c r="Z399" s="32">
        <f t="shared" ref="Z399:Z464" si="31">+X399+Y399</f>
        <v>70815.56</v>
      </c>
      <c r="AA399" s="42">
        <v>47417.51</v>
      </c>
      <c r="AB399" s="42">
        <v>22748.1</v>
      </c>
      <c r="AC399" s="32">
        <f t="shared" ref="AC399:AC464" si="32">+AA399+AB399</f>
        <v>70165.61</v>
      </c>
      <c r="AD399" s="42">
        <v>3844.38</v>
      </c>
      <c r="AE399" s="42">
        <v>10723.11</v>
      </c>
      <c r="AF399" s="32">
        <f t="shared" ref="AF399:AF464" si="33">+AD399+AE399</f>
        <v>14567.490000000002</v>
      </c>
      <c r="AG399" s="32">
        <v>12876.42</v>
      </c>
      <c r="AH399" s="32">
        <v>50390.859999999993</v>
      </c>
      <c r="AI399" s="32">
        <f t="shared" ref="AI399:AI464" si="34">+AG399+AH399</f>
        <v>63267.279999999992</v>
      </c>
      <c r="AJ399" s="42"/>
      <c r="AK399" s="42"/>
      <c r="AL399" s="42">
        <v>52828.7</v>
      </c>
      <c r="AM399" s="42"/>
      <c r="AN399" s="42"/>
      <c r="AO399" s="42"/>
      <c r="AP399" s="42"/>
      <c r="AQ399" s="42"/>
      <c r="AR399" s="42"/>
      <c r="AS399" s="42"/>
      <c r="AT399" s="42"/>
      <c r="AU399" s="42">
        <v>1406533.94</v>
      </c>
      <c r="AV399" s="42"/>
      <c r="AW399" s="42"/>
      <c r="AX399" s="42">
        <v>26627.91</v>
      </c>
      <c r="AY399" s="42">
        <v>6680149.2000000002</v>
      </c>
      <c r="AZ399" s="42">
        <v>1240530</v>
      </c>
      <c r="BA399" s="43">
        <f t="shared" si="27"/>
        <v>7920679.2000000002</v>
      </c>
      <c r="BB399" s="42"/>
      <c r="BC399" s="42"/>
      <c r="BD399" s="42">
        <v>1523655.8444444446</v>
      </c>
      <c r="BE399" s="88">
        <v>0</v>
      </c>
      <c r="BF399" s="88">
        <v>0</v>
      </c>
      <c r="BG399" s="88">
        <v>50</v>
      </c>
      <c r="BH399" s="88">
        <v>0</v>
      </c>
      <c r="BI399" s="88">
        <v>0</v>
      </c>
      <c r="BJ399" s="88">
        <v>0</v>
      </c>
      <c r="BK399" s="88">
        <v>0</v>
      </c>
      <c r="BL399" s="88">
        <v>0</v>
      </c>
      <c r="BM399" s="88">
        <v>162</v>
      </c>
      <c r="BN399" s="88">
        <v>0</v>
      </c>
      <c r="BO399" s="88">
        <v>0</v>
      </c>
      <c r="BP399" s="88">
        <v>1</v>
      </c>
      <c r="BQ399" s="88">
        <v>0</v>
      </c>
      <c r="BR399" s="88">
        <v>0</v>
      </c>
      <c r="BS399" s="88">
        <v>189</v>
      </c>
      <c r="BT399" s="88">
        <v>0</v>
      </c>
      <c r="BU399" s="88">
        <v>0</v>
      </c>
      <c r="BV399" s="88">
        <v>0</v>
      </c>
      <c r="BW399" s="88"/>
      <c r="BX399" s="88"/>
      <c r="BY399" s="88"/>
      <c r="BZ399" s="88">
        <v>0</v>
      </c>
      <c r="CA399" s="88">
        <v>0</v>
      </c>
      <c r="CB399" s="88">
        <v>205</v>
      </c>
      <c r="CC399" s="88"/>
      <c r="CD399" s="88"/>
      <c r="CE399" s="88"/>
      <c r="CF399" s="88">
        <v>0</v>
      </c>
      <c r="CG399" s="88">
        <v>0</v>
      </c>
      <c r="CH399" s="88">
        <v>1</v>
      </c>
      <c r="CI399" s="88">
        <v>0</v>
      </c>
      <c r="CJ399" s="88">
        <v>0</v>
      </c>
      <c r="CK399" s="88">
        <v>21</v>
      </c>
      <c r="CL399" s="88">
        <v>0</v>
      </c>
      <c r="CM399" s="88">
        <v>0</v>
      </c>
      <c r="CN399" s="88">
        <v>0</v>
      </c>
      <c r="CO399" s="88">
        <v>0</v>
      </c>
      <c r="CP399" s="88">
        <v>0</v>
      </c>
      <c r="CQ399" s="88">
        <v>4</v>
      </c>
      <c r="CR399" s="88">
        <v>0</v>
      </c>
      <c r="CS399" s="88">
        <v>0</v>
      </c>
      <c r="CT399" s="88">
        <v>0</v>
      </c>
      <c r="CU399" s="88">
        <v>0</v>
      </c>
      <c r="CV399" s="88">
        <v>0</v>
      </c>
      <c r="CW399" s="88">
        <v>230</v>
      </c>
      <c r="CX399" s="88">
        <v>0</v>
      </c>
      <c r="CY399" s="88">
        <v>0</v>
      </c>
      <c r="CZ399" s="88">
        <v>0</v>
      </c>
      <c r="DA399" s="88">
        <v>0</v>
      </c>
      <c r="DB399" s="88">
        <v>0</v>
      </c>
      <c r="DC399" s="88">
        <v>0</v>
      </c>
      <c r="DD399" s="88">
        <v>0</v>
      </c>
      <c r="DE399" s="88">
        <v>0</v>
      </c>
      <c r="DF399" s="88">
        <v>0</v>
      </c>
      <c r="DG399" s="88">
        <v>0</v>
      </c>
      <c r="DH399" s="88">
        <v>0</v>
      </c>
      <c r="DI399" s="88">
        <v>3</v>
      </c>
      <c r="DJ399" s="88">
        <v>0</v>
      </c>
      <c r="DK399" s="88">
        <v>0</v>
      </c>
      <c r="DL399" s="88">
        <v>0</v>
      </c>
      <c r="DM399" s="88">
        <v>0</v>
      </c>
      <c r="DN399" s="88">
        <v>0</v>
      </c>
      <c r="DO399" s="88">
        <v>0</v>
      </c>
      <c r="DP399" s="88">
        <v>0</v>
      </c>
      <c r="DQ399" s="88">
        <v>0</v>
      </c>
      <c r="DR399" s="113">
        <v>0</v>
      </c>
      <c r="DS399" s="87">
        <v>0</v>
      </c>
      <c r="DT399" s="87">
        <v>0</v>
      </c>
      <c r="DU399" s="87">
        <v>75</v>
      </c>
      <c r="DV399" s="87">
        <v>0</v>
      </c>
      <c r="DW399" s="87">
        <v>0</v>
      </c>
      <c r="DX399" s="87">
        <v>0</v>
      </c>
      <c r="DY399" s="88">
        <v>0</v>
      </c>
      <c r="DZ399" s="88">
        <v>0</v>
      </c>
      <c r="EA399" s="88">
        <v>993</v>
      </c>
      <c r="EB399" s="88">
        <v>0</v>
      </c>
      <c r="EC399" s="88">
        <v>0</v>
      </c>
      <c r="ED399" s="88">
        <v>0</v>
      </c>
      <c r="EE399" s="88">
        <v>0</v>
      </c>
      <c r="EF399" s="88">
        <v>0</v>
      </c>
      <c r="EG399" s="88">
        <v>610</v>
      </c>
      <c r="EH399" s="88">
        <v>0</v>
      </c>
      <c r="EI399" s="88">
        <v>0</v>
      </c>
      <c r="EJ399" s="88">
        <v>38</v>
      </c>
      <c r="EK399" s="88">
        <v>0</v>
      </c>
      <c r="EL399" s="88">
        <v>0</v>
      </c>
      <c r="EM399" s="88">
        <v>744</v>
      </c>
      <c r="EN399" s="88">
        <v>0</v>
      </c>
      <c r="EO399" s="88">
        <v>0</v>
      </c>
      <c r="EP399" s="88">
        <v>10</v>
      </c>
      <c r="EQ399" s="88">
        <v>0</v>
      </c>
      <c r="ER399" s="88">
        <v>0</v>
      </c>
      <c r="ES399" s="88">
        <v>20</v>
      </c>
      <c r="ET399" s="88">
        <v>0</v>
      </c>
      <c r="EU399" s="88">
        <v>0</v>
      </c>
      <c r="EV399" s="88">
        <v>18</v>
      </c>
      <c r="EW399" s="88">
        <v>0</v>
      </c>
      <c r="EX399" s="88">
        <v>0</v>
      </c>
      <c r="EY399" s="88">
        <v>11</v>
      </c>
      <c r="EZ399" s="88">
        <v>0</v>
      </c>
      <c r="FA399" s="88">
        <v>0</v>
      </c>
      <c r="FB399" s="88">
        <v>0</v>
      </c>
      <c r="FC399" s="88">
        <v>0</v>
      </c>
      <c r="FD399" s="88">
        <v>0</v>
      </c>
      <c r="FE399" s="88">
        <v>1</v>
      </c>
      <c r="FF399" s="88">
        <v>0</v>
      </c>
      <c r="FG399" s="88">
        <v>0</v>
      </c>
      <c r="FH399" s="88">
        <v>0</v>
      </c>
      <c r="FI399" s="88">
        <v>0</v>
      </c>
      <c r="FJ399" s="88">
        <v>0</v>
      </c>
      <c r="FK399" s="32">
        <v>89</v>
      </c>
      <c r="FL399" s="88">
        <v>0</v>
      </c>
      <c r="FM399" s="88">
        <v>0</v>
      </c>
      <c r="FN399" s="88">
        <v>2444</v>
      </c>
      <c r="FO399" s="88">
        <v>0</v>
      </c>
      <c r="FP399" s="88">
        <v>0</v>
      </c>
      <c r="FQ399" s="88">
        <v>300</v>
      </c>
      <c r="FR399" s="88">
        <v>0</v>
      </c>
      <c r="FS399" s="88">
        <v>0</v>
      </c>
      <c r="FT399" s="88">
        <v>0</v>
      </c>
      <c r="FU399" s="88">
        <v>0</v>
      </c>
      <c r="FV399" s="88">
        <v>0</v>
      </c>
      <c r="FW399" s="88">
        <v>132</v>
      </c>
      <c r="FX399" s="32">
        <v>0</v>
      </c>
      <c r="FY399" s="32">
        <v>0</v>
      </c>
      <c r="FZ399" s="32">
        <v>658</v>
      </c>
    </row>
    <row r="400" spans="1:182" s="22" customFormat="1" x14ac:dyDescent="0.2">
      <c r="A400" s="41">
        <v>43739</v>
      </c>
      <c r="B400" s="100">
        <f t="shared" si="26"/>
        <v>86547718.179999992</v>
      </c>
      <c r="C400" s="42">
        <v>49918.879999999997</v>
      </c>
      <c r="D400" s="42">
        <v>413708.35000000003</v>
      </c>
      <c r="E400" s="43">
        <f t="shared" si="29"/>
        <v>463627.23000000004</v>
      </c>
      <c r="F400" s="42">
        <v>6274743.9199999999</v>
      </c>
      <c r="G400" s="42">
        <v>2931519.93</v>
      </c>
      <c r="H400" s="32">
        <f t="shared" si="28"/>
        <v>9206263.8499999996</v>
      </c>
      <c r="I400" s="42"/>
      <c r="J400" s="42"/>
      <c r="K400" s="98">
        <v>20612613.91</v>
      </c>
      <c r="L400" s="42"/>
      <c r="M400" s="42"/>
      <c r="N400" s="98">
        <v>24823842.669999998</v>
      </c>
      <c r="O400" s="42"/>
      <c r="P400" s="42"/>
      <c r="Q400" s="98">
        <v>30957714.850000001</v>
      </c>
      <c r="R400" s="42"/>
      <c r="S400" s="42"/>
      <c r="T400" s="42">
        <v>161909.08000000002</v>
      </c>
      <c r="U400" s="42">
        <v>3044.83</v>
      </c>
      <c r="V400" s="42">
        <v>8516.82</v>
      </c>
      <c r="W400" s="42">
        <f t="shared" si="30"/>
        <v>11561.65</v>
      </c>
      <c r="X400" s="42">
        <v>36809.379999999997</v>
      </c>
      <c r="Y400" s="42">
        <v>1617.85</v>
      </c>
      <c r="Z400" s="32">
        <f t="shared" si="31"/>
        <v>38427.229999999996</v>
      </c>
      <c r="AA400" s="42">
        <v>48114.729999999996</v>
      </c>
      <c r="AB400" s="42">
        <v>33552.76</v>
      </c>
      <c r="AC400" s="32">
        <f t="shared" si="32"/>
        <v>81667.489999999991</v>
      </c>
      <c r="AD400" s="42">
        <v>5215.74</v>
      </c>
      <c r="AE400" s="42">
        <v>30575.780000000002</v>
      </c>
      <c r="AF400" s="32">
        <f t="shared" si="33"/>
        <v>35791.520000000004</v>
      </c>
      <c r="AG400" s="32">
        <v>9928.4699999999993</v>
      </c>
      <c r="AH400" s="32">
        <v>63967.280000000006</v>
      </c>
      <c r="AI400" s="32">
        <f t="shared" si="34"/>
        <v>73895.75</v>
      </c>
      <c r="AJ400" s="42"/>
      <c r="AK400" s="42"/>
      <c r="AL400" s="42">
        <v>80402.95</v>
      </c>
      <c r="AM400" s="42"/>
      <c r="AN400" s="42"/>
      <c r="AO400" s="42"/>
      <c r="AP400" s="42"/>
      <c r="AQ400" s="42"/>
      <c r="AR400" s="42"/>
      <c r="AS400" s="42"/>
      <c r="AT400" s="42"/>
      <c r="AU400" s="42">
        <v>1452827.88</v>
      </c>
      <c r="AV400" s="42"/>
      <c r="AW400" s="42"/>
      <c r="AX400" s="42">
        <v>49241.380000000005</v>
      </c>
      <c r="AY400" s="42">
        <v>7678791.5</v>
      </c>
      <c r="AZ400" s="42">
        <v>1139680</v>
      </c>
      <c r="BA400" s="43">
        <f t="shared" si="27"/>
        <v>8818471.5</v>
      </c>
      <c r="BB400" s="42"/>
      <c r="BC400" s="42"/>
      <c r="BD400" s="42">
        <v>1630698.3777777778</v>
      </c>
      <c r="BE400" s="88">
        <v>0</v>
      </c>
      <c r="BF400" s="88">
        <v>0</v>
      </c>
      <c r="BG400" s="88">
        <v>81</v>
      </c>
      <c r="BH400" s="88">
        <v>0</v>
      </c>
      <c r="BI400" s="88">
        <v>0</v>
      </c>
      <c r="BJ400" s="88">
        <v>0</v>
      </c>
      <c r="BK400" s="88">
        <v>0</v>
      </c>
      <c r="BL400" s="88">
        <v>0</v>
      </c>
      <c r="BM400" s="88">
        <v>188</v>
      </c>
      <c r="BN400" s="88">
        <v>0</v>
      </c>
      <c r="BO400" s="88">
        <v>0</v>
      </c>
      <c r="BP400" s="88">
        <v>3</v>
      </c>
      <c r="BQ400" s="88">
        <v>0</v>
      </c>
      <c r="BR400" s="88">
        <v>0</v>
      </c>
      <c r="BS400" s="88">
        <v>170</v>
      </c>
      <c r="BT400" s="88">
        <v>0</v>
      </c>
      <c r="BU400" s="88">
        <v>0</v>
      </c>
      <c r="BV400" s="88">
        <v>0</v>
      </c>
      <c r="BW400" s="88"/>
      <c r="BX400" s="88"/>
      <c r="BY400" s="88"/>
      <c r="BZ400" s="88">
        <v>0</v>
      </c>
      <c r="CA400" s="88">
        <v>0</v>
      </c>
      <c r="CB400" s="88">
        <v>253</v>
      </c>
      <c r="CC400" s="88"/>
      <c r="CD400" s="88"/>
      <c r="CE400" s="88"/>
      <c r="CF400" s="88">
        <v>0</v>
      </c>
      <c r="CG400" s="88">
        <v>0</v>
      </c>
      <c r="CH400" s="88">
        <v>2</v>
      </c>
      <c r="CI400" s="88">
        <v>0</v>
      </c>
      <c r="CJ400" s="88">
        <v>0</v>
      </c>
      <c r="CK400" s="88">
        <v>22</v>
      </c>
      <c r="CL400" s="88">
        <v>0</v>
      </c>
      <c r="CM400" s="88">
        <v>0</v>
      </c>
      <c r="CN400" s="88">
        <v>0</v>
      </c>
      <c r="CO400" s="88">
        <v>0</v>
      </c>
      <c r="CP400" s="88">
        <v>0</v>
      </c>
      <c r="CQ400" s="88">
        <v>7</v>
      </c>
      <c r="CR400" s="88">
        <v>0</v>
      </c>
      <c r="CS400" s="88">
        <v>0</v>
      </c>
      <c r="CT400" s="88">
        <v>0</v>
      </c>
      <c r="CU400" s="88">
        <v>0</v>
      </c>
      <c r="CV400" s="88">
        <v>0</v>
      </c>
      <c r="CW400" s="88">
        <v>241</v>
      </c>
      <c r="CX400" s="88">
        <v>0</v>
      </c>
      <c r="CY400" s="88">
        <v>0</v>
      </c>
      <c r="CZ400" s="88">
        <v>0</v>
      </c>
      <c r="DA400" s="88">
        <v>0</v>
      </c>
      <c r="DB400" s="88">
        <v>0</v>
      </c>
      <c r="DC400" s="88">
        <v>0</v>
      </c>
      <c r="DD400" s="88">
        <v>0</v>
      </c>
      <c r="DE400" s="88">
        <v>0</v>
      </c>
      <c r="DF400" s="88">
        <v>0</v>
      </c>
      <c r="DG400" s="88">
        <v>0</v>
      </c>
      <c r="DH400" s="88">
        <v>0</v>
      </c>
      <c r="DI400" s="88">
        <v>2</v>
      </c>
      <c r="DJ400" s="88">
        <v>0</v>
      </c>
      <c r="DK400" s="88">
        <v>0</v>
      </c>
      <c r="DL400" s="88">
        <v>0</v>
      </c>
      <c r="DM400" s="88">
        <v>0</v>
      </c>
      <c r="DN400" s="88">
        <v>0</v>
      </c>
      <c r="DO400" s="88">
        <v>0</v>
      </c>
      <c r="DP400" s="88">
        <v>0</v>
      </c>
      <c r="DQ400" s="88">
        <v>0</v>
      </c>
      <c r="DR400" s="113">
        <v>0</v>
      </c>
      <c r="DS400" s="87">
        <v>0</v>
      </c>
      <c r="DT400" s="87">
        <v>0</v>
      </c>
      <c r="DU400" s="87">
        <v>117</v>
      </c>
      <c r="DV400" s="87">
        <v>0</v>
      </c>
      <c r="DW400" s="87">
        <v>0</v>
      </c>
      <c r="DX400" s="87">
        <v>0</v>
      </c>
      <c r="DY400" s="88">
        <v>0</v>
      </c>
      <c r="DZ400" s="88">
        <v>0</v>
      </c>
      <c r="EA400" s="88">
        <v>920</v>
      </c>
      <c r="EB400" s="88">
        <v>0</v>
      </c>
      <c r="EC400" s="88">
        <v>0</v>
      </c>
      <c r="ED400" s="88">
        <v>0</v>
      </c>
      <c r="EE400" s="88">
        <v>0</v>
      </c>
      <c r="EF400" s="88">
        <v>0</v>
      </c>
      <c r="EG400" s="88">
        <v>566</v>
      </c>
      <c r="EH400" s="88">
        <v>0</v>
      </c>
      <c r="EI400" s="88">
        <v>0</v>
      </c>
      <c r="EJ400" s="88">
        <v>33</v>
      </c>
      <c r="EK400" s="88">
        <v>0</v>
      </c>
      <c r="EL400" s="88">
        <v>0</v>
      </c>
      <c r="EM400" s="88">
        <v>859</v>
      </c>
      <c r="EN400" s="88">
        <v>0</v>
      </c>
      <c r="EO400" s="88">
        <v>0</v>
      </c>
      <c r="EP400" s="88">
        <v>48</v>
      </c>
      <c r="EQ400" s="88">
        <v>0</v>
      </c>
      <c r="ER400" s="88">
        <v>0</v>
      </c>
      <c r="ES400" s="88">
        <v>22</v>
      </c>
      <c r="ET400" s="88">
        <v>0</v>
      </c>
      <c r="EU400" s="88">
        <v>0</v>
      </c>
      <c r="EV400" s="88">
        <v>31</v>
      </c>
      <c r="EW400" s="88">
        <v>0</v>
      </c>
      <c r="EX400" s="88">
        <v>0</v>
      </c>
      <c r="EY400" s="88">
        <v>7</v>
      </c>
      <c r="EZ400" s="88">
        <v>0</v>
      </c>
      <c r="FA400" s="88">
        <v>0</v>
      </c>
      <c r="FB400" s="88">
        <v>0</v>
      </c>
      <c r="FC400" s="88">
        <v>0</v>
      </c>
      <c r="FD400" s="88">
        <v>0</v>
      </c>
      <c r="FE400" s="88">
        <v>3</v>
      </c>
      <c r="FF400" s="88">
        <v>0</v>
      </c>
      <c r="FG400" s="88">
        <v>0</v>
      </c>
      <c r="FH400" s="88">
        <v>0</v>
      </c>
      <c r="FI400" s="88">
        <v>0</v>
      </c>
      <c r="FJ400" s="88">
        <v>0</v>
      </c>
      <c r="FK400" s="32">
        <v>69</v>
      </c>
      <c r="FL400" s="88">
        <v>0</v>
      </c>
      <c r="FM400" s="88">
        <v>0</v>
      </c>
      <c r="FN400" s="88">
        <v>2688</v>
      </c>
      <c r="FO400" s="88">
        <v>0</v>
      </c>
      <c r="FP400" s="88">
        <v>0</v>
      </c>
      <c r="FQ400" s="88">
        <v>242</v>
      </c>
      <c r="FR400" s="88">
        <v>0</v>
      </c>
      <c r="FS400" s="88">
        <v>0</v>
      </c>
      <c r="FT400" s="88">
        <v>0</v>
      </c>
      <c r="FU400" s="88">
        <v>0</v>
      </c>
      <c r="FV400" s="88">
        <v>0</v>
      </c>
      <c r="FW400" s="88">
        <v>191</v>
      </c>
      <c r="FX400" s="32">
        <v>0</v>
      </c>
      <c r="FY400" s="32">
        <v>0</v>
      </c>
      <c r="FZ400" s="32">
        <v>2011</v>
      </c>
    </row>
    <row r="401" spans="1:182" s="22" customFormat="1" x14ac:dyDescent="0.2">
      <c r="A401" s="41">
        <v>43770</v>
      </c>
      <c r="B401" s="100">
        <f t="shared" si="26"/>
        <v>100563440.14000002</v>
      </c>
      <c r="C401" s="42">
        <v>44805.490000000005</v>
      </c>
      <c r="D401" s="42">
        <v>508070.87</v>
      </c>
      <c r="E401" s="43">
        <f t="shared" si="29"/>
        <v>552876.36</v>
      </c>
      <c r="F401" s="42">
        <v>10336851.290000001</v>
      </c>
      <c r="G401" s="42">
        <v>3993540.98</v>
      </c>
      <c r="H401" s="32">
        <f t="shared" si="28"/>
        <v>14330392.270000001</v>
      </c>
      <c r="I401" s="42"/>
      <c r="J401" s="42"/>
      <c r="K401" s="98">
        <v>22574167.010000002</v>
      </c>
      <c r="L401" s="42"/>
      <c r="M401" s="42"/>
      <c r="N401" s="98">
        <v>29237089.23</v>
      </c>
      <c r="O401" s="42"/>
      <c r="P401" s="42"/>
      <c r="Q401" s="98">
        <v>33234369.25</v>
      </c>
      <c r="R401" s="42"/>
      <c r="S401" s="42"/>
      <c r="T401" s="42">
        <v>165872.34</v>
      </c>
      <c r="U401" s="42">
        <v>17824.72</v>
      </c>
      <c r="V401" s="42">
        <v>16135.19</v>
      </c>
      <c r="W401" s="42">
        <f t="shared" si="30"/>
        <v>33959.910000000003</v>
      </c>
      <c r="X401" s="42">
        <v>104783.38</v>
      </c>
      <c r="Y401" s="42">
        <v>4022.95</v>
      </c>
      <c r="Z401" s="32">
        <f t="shared" si="31"/>
        <v>108806.33</v>
      </c>
      <c r="AA401" s="42">
        <v>55559.219999999994</v>
      </c>
      <c r="AB401" s="42">
        <v>47162.93</v>
      </c>
      <c r="AC401" s="32">
        <f t="shared" si="32"/>
        <v>102722.15</v>
      </c>
      <c r="AD401" s="42">
        <v>7148.58</v>
      </c>
      <c r="AE401" s="42">
        <v>39090.639999999999</v>
      </c>
      <c r="AF401" s="32">
        <f t="shared" si="33"/>
        <v>46239.22</v>
      </c>
      <c r="AG401" s="32">
        <v>5469.58</v>
      </c>
      <c r="AH401" s="32">
        <v>89585.840000000011</v>
      </c>
      <c r="AI401" s="32">
        <f t="shared" si="34"/>
        <v>95055.420000000013</v>
      </c>
      <c r="AJ401" s="42"/>
      <c r="AK401" s="42"/>
      <c r="AL401" s="42">
        <v>81890.649999999994</v>
      </c>
      <c r="AM401" s="42"/>
      <c r="AN401" s="42"/>
      <c r="AO401" s="42"/>
      <c r="AP401" s="42"/>
      <c r="AQ401" s="42"/>
      <c r="AR401" s="42"/>
      <c r="AS401" s="42"/>
      <c r="AT401" s="42"/>
      <c r="AU401" s="42">
        <v>1523887.38</v>
      </c>
      <c r="AV401" s="42"/>
      <c r="AW401" s="42"/>
      <c r="AX401" s="42">
        <v>34027.61</v>
      </c>
      <c r="AY401" s="42">
        <v>8426141.8000000007</v>
      </c>
      <c r="AZ401" s="42">
        <v>1124912.5</v>
      </c>
      <c r="BA401" s="43">
        <f t="shared" si="27"/>
        <v>9551054.3000000007</v>
      </c>
      <c r="BB401" s="42"/>
      <c r="BC401" s="42"/>
      <c r="BD401" s="42">
        <v>1758408.0666666667</v>
      </c>
      <c r="BE401" s="88">
        <v>0</v>
      </c>
      <c r="BF401" s="88">
        <v>0</v>
      </c>
      <c r="BG401" s="88">
        <v>37</v>
      </c>
      <c r="BH401" s="88">
        <v>0</v>
      </c>
      <c r="BI401" s="88">
        <v>0</v>
      </c>
      <c r="BJ401" s="88">
        <v>0</v>
      </c>
      <c r="BK401" s="88">
        <v>0</v>
      </c>
      <c r="BL401" s="88">
        <v>0</v>
      </c>
      <c r="BM401" s="88">
        <v>175</v>
      </c>
      <c r="BN401" s="88">
        <v>0</v>
      </c>
      <c r="BO401" s="88">
        <v>0</v>
      </c>
      <c r="BP401" s="88">
        <v>1</v>
      </c>
      <c r="BQ401" s="88">
        <v>0</v>
      </c>
      <c r="BR401" s="88">
        <v>0</v>
      </c>
      <c r="BS401" s="88">
        <v>172</v>
      </c>
      <c r="BT401" s="88">
        <v>0</v>
      </c>
      <c r="BU401" s="88">
        <v>0</v>
      </c>
      <c r="BV401" s="88">
        <v>0</v>
      </c>
      <c r="BW401" s="88"/>
      <c r="BX401" s="88"/>
      <c r="BY401" s="88"/>
      <c r="BZ401" s="88">
        <v>0</v>
      </c>
      <c r="CA401" s="88">
        <v>0</v>
      </c>
      <c r="CB401" s="88">
        <v>264</v>
      </c>
      <c r="CC401" s="88"/>
      <c r="CD401" s="88"/>
      <c r="CE401" s="88"/>
      <c r="CF401" s="88">
        <v>0</v>
      </c>
      <c r="CG401" s="88">
        <v>0</v>
      </c>
      <c r="CH401" s="88">
        <v>0</v>
      </c>
      <c r="CI401" s="88">
        <v>0</v>
      </c>
      <c r="CJ401" s="88">
        <v>0</v>
      </c>
      <c r="CK401" s="88">
        <v>13</v>
      </c>
      <c r="CL401" s="88">
        <v>0</v>
      </c>
      <c r="CM401" s="88">
        <v>0</v>
      </c>
      <c r="CN401" s="88">
        <v>0</v>
      </c>
      <c r="CO401" s="88">
        <v>0</v>
      </c>
      <c r="CP401" s="88">
        <v>0</v>
      </c>
      <c r="CQ401" s="88">
        <v>5</v>
      </c>
      <c r="CR401" s="88">
        <v>0</v>
      </c>
      <c r="CS401" s="88">
        <v>0</v>
      </c>
      <c r="CT401" s="88">
        <v>0</v>
      </c>
      <c r="CU401" s="88">
        <v>0</v>
      </c>
      <c r="CV401" s="88">
        <v>0</v>
      </c>
      <c r="CW401" s="88">
        <v>225</v>
      </c>
      <c r="CX401" s="88">
        <v>0</v>
      </c>
      <c r="CY401" s="88">
        <v>0</v>
      </c>
      <c r="CZ401" s="88">
        <v>0</v>
      </c>
      <c r="DA401" s="88">
        <v>0</v>
      </c>
      <c r="DB401" s="88">
        <v>0</v>
      </c>
      <c r="DC401" s="88">
        <v>0</v>
      </c>
      <c r="DD401" s="88">
        <v>0</v>
      </c>
      <c r="DE401" s="88">
        <v>0</v>
      </c>
      <c r="DF401" s="88">
        <v>1</v>
      </c>
      <c r="DG401" s="88">
        <v>0</v>
      </c>
      <c r="DH401" s="88">
        <v>0</v>
      </c>
      <c r="DI401" s="88">
        <v>4</v>
      </c>
      <c r="DJ401" s="88">
        <v>0</v>
      </c>
      <c r="DK401" s="88">
        <v>0</v>
      </c>
      <c r="DL401" s="88">
        <v>0</v>
      </c>
      <c r="DM401" s="88">
        <v>0</v>
      </c>
      <c r="DN401" s="88">
        <v>0</v>
      </c>
      <c r="DO401" s="88">
        <v>0</v>
      </c>
      <c r="DP401" s="88">
        <v>0</v>
      </c>
      <c r="DQ401" s="88">
        <v>0</v>
      </c>
      <c r="DR401" s="113">
        <v>0</v>
      </c>
      <c r="DS401" s="87">
        <v>0</v>
      </c>
      <c r="DT401" s="87">
        <v>0</v>
      </c>
      <c r="DU401" s="87">
        <v>582</v>
      </c>
      <c r="DV401" s="87">
        <v>0</v>
      </c>
      <c r="DW401" s="87">
        <v>0</v>
      </c>
      <c r="DX401" s="87">
        <v>0</v>
      </c>
      <c r="DY401" s="88">
        <v>0</v>
      </c>
      <c r="DZ401" s="88">
        <v>0</v>
      </c>
      <c r="EA401" s="88">
        <v>1203</v>
      </c>
      <c r="EB401" s="88">
        <v>0</v>
      </c>
      <c r="EC401" s="88">
        <v>0</v>
      </c>
      <c r="ED401" s="88">
        <v>0</v>
      </c>
      <c r="EE401" s="88">
        <v>0</v>
      </c>
      <c r="EF401" s="88">
        <v>0</v>
      </c>
      <c r="EG401" s="88">
        <v>505</v>
      </c>
      <c r="EH401" s="88">
        <v>0</v>
      </c>
      <c r="EI401" s="88">
        <v>0</v>
      </c>
      <c r="EJ401" s="88">
        <v>30</v>
      </c>
      <c r="EK401" s="88">
        <v>0</v>
      </c>
      <c r="EL401" s="88">
        <v>0</v>
      </c>
      <c r="EM401" s="88">
        <v>788</v>
      </c>
      <c r="EN401" s="88">
        <v>0</v>
      </c>
      <c r="EO401" s="88">
        <v>0</v>
      </c>
      <c r="EP401" s="88">
        <v>43</v>
      </c>
      <c r="EQ401" s="88">
        <v>0</v>
      </c>
      <c r="ER401" s="88">
        <v>0</v>
      </c>
      <c r="ES401" s="88">
        <v>32</v>
      </c>
      <c r="ET401" s="88">
        <v>0</v>
      </c>
      <c r="EU401" s="88">
        <v>0</v>
      </c>
      <c r="EV401" s="88">
        <v>9</v>
      </c>
      <c r="EW401" s="88">
        <v>0</v>
      </c>
      <c r="EX401" s="88">
        <v>0</v>
      </c>
      <c r="EY401" s="88">
        <v>9</v>
      </c>
      <c r="EZ401" s="88">
        <v>0</v>
      </c>
      <c r="FA401" s="88">
        <v>0</v>
      </c>
      <c r="FB401" s="88">
        <v>0</v>
      </c>
      <c r="FC401" s="88">
        <v>0</v>
      </c>
      <c r="FD401" s="88">
        <v>0</v>
      </c>
      <c r="FE401" s="88">
        <v>1</v>
      </c>
      <c r="FF401" s="88">
        <v>0</v>
      </c>
      <c r="FG401" s="88">
        <v>0</v>
      </c>
      <c r="FH401" s="88">
        <v>0</v>
      </c>
      <c r="FI401" s="88">
        <v>0</v>
      </c>
      <c r="FJ401" s="88">
        <v>0</v>
      </c>
      <c r="FK401" s="32">
        <v>86</v>
      </c>
      <c r="FL401" s="88">
        <v>0</v>
      </c>
      <c r="FM401" s="88">
        <v>0</v>
      </c>
      <c r="FN401" s="88">
        <v>2648</v>
      </c>
      <c r="FO401" s="88">
        <v>0</v>
      </c>
      <c r="FP401" s="88">
        <v>0</v>
      </c>
      <c r="FQ401" s="88">
        <v>304</v>
      </c>
      <c r="FR401" s="88">
        <v>0</v>
      </c>
      <c r="FS401" s="88">
        <v>0</v>
      </c>
      <c r="FT401" s="88">
        <v>0</v>
      </c>
      <c r="FU401" s="88">
        <v>0</v>
      </c>
      <c r="FV401" s="88">
        <v>0</v>
      </c>
      <c r="FW401" s="88">
        <v>169</v>
      </c>
      <c r="FX401" s="32">
        <v>0</v>
      </c>
      <c r="FY401" s="32">
        <v>0</v>
      </c>
      <c r="FZ401" s="32">
        <v>1812</v>
      </c>
    </row>
    <row r="402" spans="1:182" s="97" customFormat="1" x14ac:dyDescent="0.2">
      <c r="A402" s="92">
        <v>43800</v>
      </c>
      <c r="B402" s="93">
        <f t="shared" si="26"/>
        <v>117034672.14999999</v>
      </c>
      <c r="C402" s="94">
        <v>54896.24</v>
      </c>
      <c r="D402" s="94">
        <v>557416.63</v>
      </c>
      <c r="E402" s="93">
        <f t="shared" si="29"/>
        <v>612312.87</v>
      </c>
      <c r="F402" s="94">
        <v>10544465.210000001</v>
      </c>
      <c r="G402" s="94">
        <v>6195799.8399999999</v>
      </c>
      <c r="H402" s="95">
        <f t="shared" si="28"/>
        <v>16740265.050000001</v>
      </c>
      <c r="I402" s="94"/>
      <c r="J402" s="94"/>
      <c r="K402" s="99">
        <v>24733748.989999998</v>
      </c>
      <c r="L402" s="94"/>
      <c r="M402" s="94"/>
      <c r="N402" s="99">
        <v>37376257.420000002</v>
      </c>
      <c r="O402" s="94"/>
      <c r="P402" s="94"/>
      <c r="Q402" s="99">
        <v>36742775.849999994</v>
      </c>
      <c r="R402" s="94"/>
      <c r="S402" s="94"/>
      <c r="T402" s="94">
        <v>200580.35</v>
      </c>
      <c r="U402" s="94">
        <v>31121.31</v>
      </c>
      <c r="V402" s="94">
        <v>32163.47</v>
      </c>
      <c r="W402" s="94">
        <f t="shared" si="30"/>
        <v>63284.78</v>
      </c>
      <c r="X402" s="94">
        <v>69267.22</v>
      </c>
      <c r="Y402" s="94">
        <v>7561.5</v>
      </c>
      <c r="Z402" s="95">
        <f t="shared" si="31"/>
        <v>76828.72</v>
      </c>
      <c r="AA402" s="94">
        <v>79095.070000000007</v>
      </c>
      <c r="AB402" s="94">
        <v>70224.67</v>
      </c>
      <c r="AC402" s="95">
        <f t="shared" si="32"/>
        <v>149319.74</v>
      </c>
      <c r="AD402" s="94">
        <v>9799.34</v>
      </c>
      <c r="AE402" s="94">
        <v>66385.2</v>
      </c>
      <c r="AF402" s="95">
        <f t="shared" si="33"/>
        <v>76184.539999999994</v>
      </c>
      <c r="AG402" s="95">
        <v>13104.119999999999</v>
      </c>
      <c r="AH402" s="95">
        <v>137281.77000000002</v>
      </c>
      <c r="AI402" s="95">
        <f t="shared" si="34"/>
        <v>150385.89000000001</v>
      </c>
      <c r="AJ402" s="94"/>
      <c r="AK402" s="94"/>
      <c r="AL402" s="94">
        <v>112727.95</v>
      </c>
      <c r="AM402" s="94"/>
      <c r="AN402" s="94"/>
      <c r="AO402" s="94"/>
      <c r="AP402" s="94"/>
      <c r="AQ402" s="94"/>
      <c r="AR402" s="94"/>
      <c r="AS402" s="94"/>
      <c r="AT402" s="94"/>
      <c r="AU402" s="94">
        <v>1486594.59</v>
      </c>
      <c r="AV402" s="94"/>
      <c r="AW402" s="94"/>
      <c r="AX402" s="94">
        <v>30804.07</v>
      </c>
      <c r="AY402" s="94">
        <v>11324042.5</v>
      </c>
      <c r="AZ402" s="94">
        <v>2105426.2999999998</v>
      </c>
      <c r="BA402" s="93">
        <f t="shared" si="27"/>
        <v>13429468.800000001</v>
      </c>
      <c r="BB402" s="94"/>
      <c r="BC402" s="94"/>
      <c r="BD402" s="94">
        <v>2414397.5333333332</v>
      </c>
      <c r="BE402" s="117">
        <v>0</v>
      </c>
      <c r="BF402" s="117">
        <v>0</v>
      </c>
      <c r="BG402" s="117">
        <v>43</v>
      </c>
      <c r="BH402" s="117">
        <v>0</v>
      </c>
      <c r="BI402" s="117">
        <v>0</v>
      </c>
      <c r="BJ402" s="117">
        <v>0</v>
      </c>
      <c r="BK402" s="117">
        <v>0</v>
      </c>
      <c r="BL402" s="117">
        <v>0</v>
      </c>
      <c r="BM402" s="117">
        <v>211</v>
      </c>
      <c r="BN402" s="117">
        <v>0</v>
      </c>
      <c r="BO402" s="117">
        <v>0</v>
      </c>
      <c r="BP402" s="117">
        <v>2</v>
      </c>
      <c r="BQ402" s="117">
        <v>0</v>
      </c>
      <c r="BR402" s="117">
        <v>0</v>
      </c>
      <c r="BS402" s="117">
        <v>166</v>
      </c>
      <c r="BT402" s="117">
        <v>0</v>
      </c>
      <c r="BU402" s="117">
        <v>0</v>
      </c>
      <c r="BV402" s="117">
        <v>0</v>
      </c>
      <c r="BW402" s="117"/>
      <c r="BX402" s="117"/>
      <c r="BY402" s="117"/>
      <c r="BZ402" s="117">
        <v>0</v>
      </c>
      <c r="CA402" s="117">
        <v>0</v>
      </c>
      <c r="CB402" s="117">
        <v>297</v>
      </c>
      <c r="CC402" s="117"/>
      <c r="CD402" s="117"/>
      <c r="CE402" s="117"/>
      <c r="CF402" s="117">
        <v>0</v>
      </c>
      <c r="CG402" s="117">
        <v>0</v>
      </c>
      <c r="CH402" s="117">
        <v>2</v>
      </c>
      <c r="CI402" s="117">
        <v>0</v>
      </c>
      <c r="CJ402" s="117">
        <v>0</v>
      </c>
      <c r="CK402" s="117">
        <v>24</v>
      </c>
      <c r="CL402" s="117">
        <v>0</v>
      </c>
      <c r="CM402" s="117">
        <v>0</v>
      </c>
      <c r="CN402" s="117">
        <v>0</v>
      </c>
      <c r="CO402" s="117">
        <v>0</v>
      </c>
      <c r="CP402" s="117">
        <v>0</v>
      </c>
      <c r="CQ402" s="117">
        <v>14</v>
      </c>
      <c r="CR402" s="117">
        <v>0</v>
      </c>
      <c r="CS402" s="117">
        <v>0</v>
      </c>
      <c r="CT402" s="117">
        <v>0</v>
      </c>
      <c r="CU402" s="117">
        <v>0</v>
      </c>
      <c r="CV402" s="117">
        <v>0</v>
      </c>
      <c r="CW402" s="117">
        <v>303</v>
      </c>
      <c r="CX402" s="117">
        <v>0</v>
      </c>
      <c r="CY402" s="117">
        <v>0</v>
      </c>
      <c r="CZ402" s="117">
        <v>0</v>
      </c>
      <c r="DA402" s="117">
        <v>0</v>
      </c>
      <c r="DB402" s="117">
        <v>0</v>
      </c>
      <c r="DC402" s="117">
        <v>0</v>
      </c>
      <c r="DD402" s="117">
        <v>0</v>
      </c>
      <c r="DE402" s="117">
        <v>0</v>
      </c>
      <c r="DF402" s="117">
        <v>3</v>
      </c>
      <c r="DG402" s="117">
        <v>0</v>
      </c>
      <c r="DH402" s="117">
        <v>0</v>
      </c>
      <c r="DI402" s="117">
        <v>2</v>
      </c>
      <c r="DJ402" s="117">
        <v>0</v>
      </c>
      <c r="DK402" s="117">
        <v>0</v>
      </c>
      <c r="DL402" s="117">
        <v>0</v>
      </c>
      <c r="DM402" s="117">
        <v>0</v>
      </c>
      <c r="DN402" s="117">
        <v>0</v>
      </c>
      <c r="DO402" s="117">
        <v>0</v>
      </c>
      <c r="DP402" s="117">
        <v>0</v>
      </c>
      <c r="DQ402" s="117">
        <v>0</v>
      </c>
      <c r="DR402" s="117">
        <v>0</v>
      </c>
      <c r="DS402" s="95">
        <v>0</v>
      </c>
      <c r="DT402" s="95">
        <v>0</v>
      </c>
      <c r="DU402" s="95">
        <v>1997</v>
      </c>
      <c r="DV402" s="95">
        <v>0</v>
      </c>
      <c r="DW402" s="95">
        <v>0</v>
      </c>
      <c r="DX402" s="95">
        <v>0</v>
      </c>
      <c r="DY402" s="117">
        <v>0</v>
      </c>
      <c r="DZ402" s="117">
        <v>0</v>
      </c>
      <c r="EA402" s="117">
        <v>1260</v>
      </c>
      <c r="EB402" s="117">
        <v>0</v>
      </c>
      <c r="EC402" s="117">
        <v>0</v>
      </c>
      <c r="ED402" s="117">
        <v>0</v>
      </c>
      <c r="EE402" s="117">
        <v>0</v>
      </c>
      <c r="EF402" s="117">
        <v>0</v>
      </c>
      <c r="EG402" s="117">
        <v>696</v>
      </c>
      <c r="EH402" s="117">
        <v>0</v>
      </c>
      <c r="EI402" s="117">
        <v>0</v>
      </c>
      <c r="EJ402" s="117">
        <v>14</v>
      </c>
      <c r="EK402" s="117">
        <v>0</v>
      </c>
      <c r="EL402" s="117">
        <v>0</v>
      </c>
      <c r="EM402" s="117">
        <v>978</v>
      </c>
      <c r="EN402" s="117">
        <v>0</v>
      </c>
      <c r="EO402" s="117">
        <v>0</v>
      </c>
      <c r="EP402" s="117">
        <v>44</v>
      </c>
      <c r="EQ402" s="117">
        <v>0</v>
      </c>
      <c r="ER402" s="117">
        <v>0</v>
      </c>
      <c r="ES402" s="117">
        <v>40</v>
      </c>
      <c r="ET402" s="117">
        <v>0</v>
      </c>
      <c r="EU402" s="117">
        <v>0</v>
      </c>
      <c r="EV402" s="117">
        <v>30</v>
      </c>
      <c r="EW402" s="117">
        <v>0</v>
      </c>
      <c r="EX402" s="117">
        <v>0</v>
      </c>
      <c r="EY402" s="117">
        <v>8</v>
      </c>
      <c r="EZ402" s="117">
        <v>0</v>
      </c>
      <c r="FA402" s="117">
        <v>0</v>
      </c>
      <c r="FB402" s="117">
        <v>0</v>
      </c>
      <c r="FC402" s="117">
        <v>0</v>
      </c>
      <c r="FD402" s="117">
        <v>0</v>
      </c>
      <c r="FE402" s="117">
        <v>8</v>
      </c>
      <c r="FF402" s="117">
        <v>0</v>
      </c>
      <c r="FG402" s="117">
        <v>0</v>
      </c>
      <c r="FH402" s="117">
        <v>0</v>
      </c>
      <c r="FI402" s="117">
        <v>0</v>
      </c>
      <c r="FJ402" s="117">
        <v>0</v>
      </c>
      <c r="FK402" s="95">
        <v>188</v>
      </c>
      <c r="FL402" s="117">
        <v>0</v>
      </c>
      <c r="FM402" s="117">
        <v>0</v>
      </c>
      <c r="FN402" s="117">
        <v>4030</v>
      </c>
      <c r="FO402" s="117">
        <v>0</v>
      </c>
      <c r="FP402" s="117">
        <v>0</v>
      </c>
      <c r="FQ402" s="117">
        <v>448</v>
      </c>
      <c r="FR402" s="117">
        <v>0</v>
      </c>
      <c r="FS402" s="117">
        <v>0</v>
      </c>
      <c r="FT402" s="117">
        <v>0</v>
      </c>
      <c r="FU402" s="117">
        <v>0</v>
      </c>
      <c r="FV402" s="117">
        <v>0</v>
      </c>
      <c r="FW402" s="117">
        <v>201</v>
      </c>
      <c r="FX402" s="95">
        <v>0</v>
      </c>
      <c r="FY402" s="95">
        <v>0</v>
      </c>
      <c r="FZ402" s="95">
        <v>5016</v>
      </c>
    </row>
    <row r="403" spans="1:182" s="22" customFormat="1" x14ac:dyDescent="0.2">
      <c r="A403" s="41">
        <v>43831</v>
      </c>
      <c r="B403" s="100">
        <f t="shared" ref="B403:B466" si="35">+E403+H403+K403+N403+Q403+W403+T403+Z403+AC403+AF403+AI403+AL403+AO403+AR403</f>
        <v>87541468.730000004</v>
      </c>
      <c r="C403" s="42">
        <v>41172.870000000003</v>
      </c>
      <c r="D403" s="42">
        <v>173961.27</v>
      </c>
      <c r="E403" s="43">
        <f t="shared" si="29"/>
        <v>215134.13999999998</v>
      </c>
      <c r="F403" s="42">
        <v>5570238.4100000001</v>
      </c>
      <c r="G403" s="42">
        <v>3174986.3000000003</v>
      </c>
      <c r="H403" s="32">
        <f t="shared" si="28"/>
        <v>8745224.7100000009</v>
      </c>
      <c r="I403" s="42"/>
      <c r="J403" s="42"/>
      <c r="K403" s="98">
        <v>18788924.52</v>
      </c>
      <c r="L403" s="42"/>
      <c r="M403" s="42"/>
      <c r="N403" s="98">
        <v>22226804.919999998</v>
      </c>
      <c r="O403" s="42"/>
      <c r="P403" s="42"/>
      <c r="Q403" s="98">
        <v>37111818.049999997</v>
      </c>
      <c r="R403" s="42"/>
      <c r="S403" s="42"/>
      <c r="T403" s="42">
        <v>132982.80000000002</v>
      </c>
      <c r="U403" s="42">
        <v>3786.12</v>
      </c>
      <c r="V403" s="42">
        <v>5341.5</v>
      </c>
      <c r="W403" s="42">
        <f t="shared" si="30"/>
        <v>9127.619999999999</v>
      </c>
      <c r="X403" s="42">
        <v>38532.120000000003</v>
      </c>
      <c r="Y403" s="42">
        <v>3000</v>
      </c>
      <c r="Z403" s="32">
        <f t="shared" si="31"/>
        <v>41532.120000000003</v>
      </c>
      <c r="AA403" s="42">
        <v>32497.95</v>
      </c>
      <c r="AB403" s="42">
        <v>41485.440000000002</v>
      </c>
      <c r="AC403" s="32">
        <f t="shared" si="32"/>
        <v>73983.39</v>
      </c>
      <c r="AD403" s="42">
        <v>4453.32</v>
      </c>
      <c r="AE403" s="42">
        <v>15209.12</v>
      </c>
      <c r="AF403" s="32">
        <f t="shared" si="33"/>
        <v>19662.440000000002</v>
      </c>
      <c r="AG403" s="32">
        <v>13923.339999999998</v>
      </c>
      <c r="AH403" s="32">
        <v>83445.73</v>
      </c>
      <c r="AI403" s="32">
        <f t="shared" si="34"/>
        <v>97369.069999999992</v>
      </c>
      <c r="AJ403" s="42"/>
      <c r="AK403" s="42"/>
      <c r="AL403" s="42">
        <v>78904.95</v>
      </c>
      <c r="AM403" s="42"/>
      <c r="AN403" s="42"/>
      <c r="AO403" s="42"/>
      <c r="AP403" s="42"/>
      <c r="AQ403" s="42"/>
      <c r="AR403" s="42"/>
      <c r="AS403" s="42"/>
      <c r="AT403" s="42"/>
      <c r="AU403" s="42">
        <v>1230706.6000000001</v>
      </c>
      <c r="AV403" s="42"/>
      <c r="AW403" s="42"/>
      <c r="AX403" s="42">
        <v>33982.719999999987</v>
      </c>
      <c r="AY403" s="42">
        <v>5803522.5</v>
      </c>
      <c r="AZ403" s="42">
        <v>539996.85</v>
      </c>
      <c r="BA403" s="43">
        <f t="shared" si="27"/>
        <v>6343519.3499999996</v>
      </c>
      <c r="BB403" s="42"/>
      <c r="BC403" s="42"/>
      <c r="BD403" s="42">
        <v>1112089.3333333333</v>
      </c>
      <c r="BE403" s="88">
        <v>0</v>
      </c>
      <c r="BF403" s="88">
        <v>0</v>
      </c>
      <c r="BG403" s="88">
        <v>24</v>
      </c>
      <c r="BH403" s="88">
        <v>0</v>
      </c>
      <c r="BI403" s="88">
        <v>0</v>
      </c>
      <c r="BJ403" s="88">
        <v>0</v>
      </c>
      <c r="BK403" s="88">
        <v>0</v>
      </c>
      <c r="BL403" s="88">
        <v>0</v>
      </c>
      <c r="BM403" s="88">
        <v>229</v>
      </c>
      <c r="BN403" s="88">
        <v>0</v>
      </c>
      <c r="BO403" s="88">
        <v>0</v>
      </c>
      <c r="BP403" s="88">
        <v>2</v>
      </c>
      <c r="BQ403" s="88">
        <v>0</v>
      </c>
      <c r="BR403" s="88">
        <v>0</v>
      </c>
      <c r="BS403" s="88">
        <v>170</v>
      </c>
      <c r="BT403" s="88">
        <v>0</v>
      </c>
      <c r="BU403" s="88">
        <v>0</v>
      </c>
      <c r="BV403" s="88">
        <v>2</v>
      </c>
      <c r="BW403" s="88"/>
      <c r="BX403" s="88"/>
      <c r="BY403" s="88"/>
      <c r="BZ403" s="88">
        <v>0</v>
      </c>
      <c r="CA403" s="88">
        <v>0</v>
      </c>
      <c r="CB403" s="88">
        <v>210</v>
      </c>
      <c r="CC403" s="88"/>
      <c r="CD403" s="88"/>
      <c r="CE403" s="88"/>
      <c r="CF403" s="88">
        <v>0</v>
      </c>
      <c r="CG403" s="88">
        <v>0</v>
      </c>
      <c r="CH403" s="88">
        <v>3</v>
      </c>
      <c r="CI403" s="88">
        <v>0</v>
      </c>
      <c r="CJ403" s="88">
        <v>0</v>
      </c>
      <c r="CK403" s="88">
        <v>22</v>
      </c>
      <c r="CL403" s="88">
        <v>0</v>
      </c>
      <c r="CM403" s="88">
        <v>0</v>
      </c>
      <c r="CN403" s="88">
        <v>0</v>
      </c>
      <c r="CO403" s="88">
        <v>0</v>
      </c>
      <c r="CP403" s="88">
        <v>0</v>
      </c>
      <c r="CQ403" s="88">
        <v>2</v>
      </c>
      <c r="CR403" s="88">
        <v>0</v>
      </c>
      <c r="CS403" s="88">
        <v>0</v>
      </c>
      <c r="CT403" s="88">
        <v>0</v>
      </c>
      <c r="CU403" s="88">
        <v>0</v>
      </c>
      <c r="CV403" s="88">
        <v>0</v>
      </c>
      <c r="CW403" s="88">
        <v>232</v>
      </c>
      <c r="CX403" s="88">
        <v>0</v>
      </c>
      <c r="CY403" s="88">
        <v>0</v>
      </c>
      <c r="CZ403" s="88">
        <v>0</v>
      </c>
      <c r="DA403" s="88">
        <v>0</v>
      </c>
      <c r="DB403" s="88">
        <v>0</v>
      </c>
      <c r="DC403" s="88">
        <v>0</v>
      </c>
      <c r="DD403" s="88">
        <v>0</v>
      </c>
      <c r="DE403" s="88">
        <v>0</v>
      </c>
      <c r="DF403" s="88">
        <v>1</v>
      </c>
      <c r="DG403" s="88">
        <v>0</v>
      </c>
      <c r="DH403" s="88">
        <v>0</v>
      </c>
      <c r="DI403" s="88">
        <v>5</v>
      </c>
      <c r="DJ403" s="88">
        <v>0</v>
      </c>
      <c r="DK403" s="88">
        <v>0</v>
      </c>
      <c r="DL403" s="88">
        <v>0</v>
      </c>
      <c r="DM403" s="88">
        <v>0</v>
      </c>
      <c r="DN403" s="88">
        <v>0</v>
      </c>
      <c r="DO403" s="88">
        <v>0</v>
      </c>
      <c r="DP403" s="88">
        <v>0</v>
      </c>
      <c r="DQ403" s="88">
        <v>0</v>
      </c>
      <c r="DR403" s="113">
        <v>0</v>
      </c>
      <c r="DS403" s="87">
        <v>0</v>
      </c>
      <c r="DT403" s="87">
        <v>0</v>
      </c>
      <c r="DU403" s="87">
        <v>139</v>
      </c>
      <c r="DV403" s="87">
        <v>0</v>
      </c>
      <c r="DW403" s="87">
        <v>0</v>
      </c>
      <c r="DX403" s="87">
        <v>0</v>
      </c>
      <c r="DY403" s="88">
        <v>0</v>
      </c>
      <c r="DZ403" s="88">
        <v>0</v>
      </c>
      <c r="EA403" s="88">
        <v>804</v>
      </c>
      <c r="EB403" s="88">
        <v>0</v>
      </c>
      <c r="EC403" s="88">
        <v>0</v>
      </c>
      <c r="ED403" s="88">
        <v>0</v>
      </c>
      <c r="EE403" s="88">
        <v>0</v>
      </c>
      <c r="EF403" s="88">
        <v>0</v>
      </c>
      <c r="EG403" s="88">
        <v>544</v>
      </c>
      <c r="EH403" s="88">
        <v>0</v>
      </c>
      <c r="EI403" s="88">
        <v>0</v>
      </c>
      <c r="EJ403" s="88">
        <v>22</v>
      </c>
      <c r="EK403" s="88">
        <v>0</v>
      </c>
      <c r="EL403" s="88">
        <v>0</v>
      </c>
      <c r="EM403" s="88">
        <v>494</v>
      </c>
      <c r="EN403" s="88">
        <v>0</v>
      </c>
      <c r="EO403" s="88">
        <v>0</v>
      </c>
      <c r="EP403" s="88">
        <v>49</v>
      </c>
      <c r="EQ403" s="88">
        <v>0</v>
      </c>
      <c r="ER403" s="88">
        <v>0</v>
      </c>
      <c r="ES403" s="88">
        <v>7</v>
      </c>
      <c r="ET403" s="88">
        <v>0</v>
      </c>
      <c r="EU403" s="88">
        <v>0</v>
      </c>
      <c r="EV403" s="88">
        <v>17</v>
      </c>
      <c r="EW403" s="88">
        <v>0</v>
      </c>
      <c r="EX403" s="88">
        <v>0</v>
      </c>
      <c r="EY403" s="88">
        <v>9</v>
      </c>
      <c r="EZ403" s="88">
        <v>0</v>
      </c>
      <c r="FA403" s="88">
        <v>0</v>
      </c>
      <c r="FB403" s="88">
        <v>0</v>
      </c>
      <c r="FC403" s="88">
        <v>0</v>
      </c>
      <c r="FD403" s="88">
        <v>0</v>
      </c>
      <c r="FE403" s="88">
        <v>6</v>
      </c>
      <c r="FF403" s="88">
        <v>0</v>
      </c>
      <c r="FG403" s="88">
        <v>0</v>
      </c>
      <c r="FH403" s="88">
        <v>0</v>
      </c>
      <c r="FI403" s="88">
        <v>0</v>
      </c>
      <c r="FJ403" s="88">
        <v>0</v>
      </c>
      <c r="FK403" s="32">
        <v>136</v>
      </c>
      <c r="FL403" s="88">
        <v>0</v>
      </c>
      <c r="FM403" s="88">
        <v>0</v>
      </c>
      <c r="FN403" s="88">
        <v>3472</v>
      </c>
      <c r="FO403" s="88">
        <v>0</v>
      </c>
      <c r="FP403" s="88">
        <v>0</v>
      </c>
      <c r="FQ403" s="88">
        <v>312</v>
      </c>
      <c r="FR403" s="88">
        <v>0</v>
      </c>
      <c r="FS403" s="88">
        <v>0</v>
      </c>
      <c r="FT403" s="88">
        <v>0</v>
      </c>
      <c r="FU403" s="88">
        <v>0</v>
      </c>
      <c r="FV403" s="88">
        <v>0</v>
      </c>
      <c r="FW403" s="88">
        <v>214</v>
      </c>
      <c r="FX403" s="32">
        <v>0</v>
      </c>
      <c r="FY403" s="32">
        <v>0</v>
      </c>
      <c r="FZ403" s="32">
        <v>1328</v>
      </c>
    </row>
    <row r="404" spans="1:182" s="22" customFormat="1" x14ac:dyDescent="0.2">
      <c r="A404" s="41">
        <v>43862</v>
      </c>
      <c r="B404" s="100">
        <f t="shared" si="35"/>
        <v>83669584.349999994</v>
      </c>
      <c r="C404" s="42">
        <v>47659.880000000005</v>
      </c>
      <c r="D404" s="42">
        <v>211617.82</v>
      </c>
      <c r="E404" s="43">
        <f t="shared" si="29"/>
        <v>259277.7</v>
      </c>
      <c r="F404" s="42">
        <v>6999513.7199999997</v>
      </c>
      <c r="G404" s="42">
        <v>2553127.54</v>
      </c>
      <c r="H404" s="32">
        <f t="shared" si="28"/>
        <v>9552641.2599999998</v>
      </c>
      <c r="I404" s="42"/>
      <c r="J404" s="42"/>
      <c r="K404" s="98">
        <v>16749738.369999999</v>
      </c>
      <c r="L404" s="42"/>
      <c r="M404" s="42"/>
      <c r="N404" s="98">
        <v>23977716.779999994</v>
      </c>
      <c r="O404" s="42"/>
      <c r="P404" s="42"/>
      <c r="Q404" s="98">
        <v>32793586.109999999</v>
      </c>
      <c r="R404" s="42"/>
      <c r="S404" s="42"/>
      <c r="T404" s="42">
        <v>109715.02</v>
      </c>
      <c r="U404" s="42">
        <v>3792.9100000000003</v>
      </c>
      <c r="V404" s="42">
        <v>1864.35</v>
      </c>
      <c r="W404" s="42">
        <f t="shared" si="30"/>
        <v>5657.26</v>
      </c>
      <c r="X404" s="42">
        <v>18781.060000000001</v>
      </c>
      <c r="Y404" s="42">
        <v>1061.0999999999999</v>
      </c>
      <c r="Z404" s="32">
        <f t="shared" si="31"/>
        <v>19842.16</v>
      </c>
      <c r="AA404" s="42">
        <v>56558.13</v>
      </c>
      <c r="AB404" s="42">
        <v>23330.230000000003</v>
      </c>
      <c r="AC404" s="32">
        <f t="shared" si="32"/>
        <v>79888.36</v>
      </c>
      <c r="AD404" s="42">
        <v>4350.51</v>
      </c>
      <c r="AE404" s="42">
        <v>10575.65</v>
      </c>
      <c r="AF404" s="32">
        <f t="shared" si="33"/>
        <v>14926.16</v>
      </c>
      <c r="AG404" s="32">
        <v>10204.779999999999</v>
      </c>
      <c r="AH404" s="32">
        <f>37941.69+1585</f>
        <v>39526.69</v>
      </c>
      <c r="AI404" s="32">
        <f t="shared" si="34"/>
        <v>49731.47</v>
      </c>
      <c r="AJ404" s="42"/>
      <c r="AK404" s="42"/>
      <c r="AL404" s="42">
        <v>56863.7</v>
      </c>
      <c r="AM404" s="42"/>
      <c r="AN404" s="42"/>
      <c r="AO404" s="42"/>
      <c r="AP404" s="42"/>
      <c r="AQ404" s="42"/>
      <c r="AR404" s="42"/>
      <c r="AS404" s="42"/>
      <c r="AT404" s="42"/>
      <c r="AU404" s="42">
        <v>1193883.9500000004</v>
      </c>
      <c r="AV404" s="42"/>
      <c r="AW404" s="42"/>
      <c r="AX404" s="42">
        <v>36915.470000000016</v>
      </c>
      <c r="AY404" s="42">
        <v>4992849</v>
      </c>
      <c r="AZ404" s="42">
        <v>1211442.5</v>
      </c>
      <c r="BA404" s="43">
        <f t="shared" si="27"/>
        <v>6204291.5</v>
      </c>
      <c r="BB404" s="42"/>
      <c r="BC404" s="42"/>
      <c r="BD404" s="42">
        <v>885601.77777777775</v>
      </c>
      <c r="BE404" s="88">
        <v>0</v>
      </c>
      <c r="BF404" s="88">
        <v>0</v>
      </c>
      <c r="BG404" s="88">
        <v>28</v>
      </c>
      <c r="BH404" s="88">
        <v>0</v>
      </c>
      <c r="BI404" s="88">
        <v>0</v>
      </c>
      <c r="BJ404" s="88">
        <v>0</v>
      </c>
      <c r="BK404" s="88">
        <v>0</v>
      </c>
      <c r="BL404" s="88">
        <v>0</v>
      </c>
      <c r="BM404" s="88">
        <v>118</v>
      </c>
      <c r="BN404" s="88">
        <v>0</v>
      </c>
      <c r="BO404" s="88">
        <v>0</v>
      </c>
      <c r="BP404" s="88">
        <v>0</v>
      </c>
      <c r="BQ404" s="88">
        <v>0</v>
      </c>
      <c r="BR404" s="88">
        <v>0</v>
      </c>
      <c r="BS404" s="88">
        <v>155</v>
      </c>
      <c r="BT404" s="88">
        <v>0</v>
      </c>
      <c r="BU404" s="88">
        <v>0</v>
      </c>
      <c r="BV404" s="88">
        <v>0</v>
      </c>
      <c r="BW404" s="88"/>
      <c r="BX404" s="88"/>
      <c r="BY404" s="88"/>
      <c r="BZ404" s="88">
        <v>0</v>
      </c>
      <c r="CA404" s="88">
        <v>0</v>
      </c>
      <c r="CB404" s="88">
        <v>186</v>
      </c>
      <c r="CC404" s="88"/>
      <c r="CD404" s="88"/>
      <c r="CE404" s="88"/>
      <c r="CF404" s="88">
        <v>0</v>
      </c>
      <c r="CG404" s="88">
        <v>0</v>
      </c>
      <c r="CH404" s="88">
        <v>2</v>
      </c>
      <c r="CI404" s="88">
        <v>0</v>
      </c>
      <c r="CJ404" s="88">
        <v>0</v>
      </c>
      <c r="CK404" s="88">
        <v>14</v>
      </c>
      <c r="CL404" s="88">
        <v>0</v>
      </c>
      <c r="CM404" s="88">
        <v>0</v>
      </c>
      <c r="CN404" s="88">
        <v>0</v>
      </c>
      <c r="CO404" s="88">
        <v>0</v>
      </c>
      <c r="CP404" s="88">
        <v>0</v>
      </c>
      <c r="CQ404" s="88">
        <v>1</v>
      </c>
      <c r="CR404" s="88">
        <v>0</v>
      </c>
      <c r="CS404" s="88">
        <v>0</v>
      </c>
      <c r="CT404" s="88">
        <v>0</v>
      </c>
      <c r="CU404" s="88">
        <v>0</v>
      </c>
      <c r="CV404" s="88">
        <v>0</v>
      </c>
      <c r="CW404" s="88">
        <v>188</v>
      </c>
      <c r="CX404" s="88">
        <v>0</v>
      </c>
      <c r="CY404" s="88">
        <v>0</v>
      </c>
      <c r="CZ404" s="88">
        <v>0</v>
      </c>
      <c r="DA404" s="88">
        <v>0</v>
      </c>
      <c r="DB404" s="88">
        <v>0</v>
      </c>
      <c r="DC404" s="88">
        <v>0</v>
      </c>
      <c r="DD404" s="88">
        <v>0</v>
      </c>
      <c r="DE404" s="88">
        <v>0</v>
      </c>
      <c r="DF404" s="88">
        <v>1</v>
      </c>
      <c r="DG404" s="88">
        <v>0</v>
      </c>
      <c r="DH404" s="88">
        <v>0</v>
      </c>
      <c r="DI404" s="88">
        <v>0</v>
      </c>
      <c r="DJ404" s="88">
        <v>0</v>
      </c>
      <c r="DK404" s="88">
        <v>0</v>
      </c>
      <c r="DL404" s="88">
        <v>0</v>
      </c>
      <c r="DM404" s="88">
        <v>0</v>
      </c>
      <c r="DN404" s="88">
        <v>0</v>
      </c>
      <c r="DO404" s="88">
        <v>0</v>
      </c>
      <c r="DP404" s="88">
        <v>0</v>
      </c>
      <c r="DQ404" s="88">
        <v>0</v>
      </c>
      <c r="DR404" s="113">
        <v>0</v>
      </c>
      <c r="DS404" s="87">
        <v>0</v>
      </c>
      <c r="DT404" s="87">
        <v>0</v>
      </c>
      <c r="DU404" s="87">
        <v>47</v>
      </c>
      <c r="DV404" s="87">
        <v>0</v>
      </c>
      <c r="DW404" s="87">
        <v>0</v>
      </c>
      <c r="DX404" s="87">
        <v>0</v>
      </c>
      <c r="DY404" s="88">
        <v>0</v>
      </c>
      <c r="DZ404" s="88">
        <v>0</v>
      </c>
      <c r="EA404" s="88">
        <v>871</v>
      </c>
      <c r="EB404" s="88">
        <v>0</v>
      </c>
      <c r="EC404" s="88">
        <v>0</v>
      </c>
      <c r="ED404" s="88">
        <v>0</v>
      </c>
      <c r="EE404" s="88">
        <v>0</v>
      </c>
      <c r="EF404" s="88">
        <v>0</v>
      </c>
      <c r="EG404" s="88">
        <v>363</v>
      </c>
      <c r="EH404" s="88">
        <v>0</v>
      </c>
      <c r="EI404" s="88">
        <v>0</v>
      </c>
      <c r="EJ404" s="88">
        <v>8</v>
      </c>
      <c r="EK404" s="88">
        <v>0</v>
      </c>
      <c r="EL404" s="88">
        <v>0</v>
      </c>
      <c r="EM404" s="88">
        <v>552</v>
      </c>
      <c r="EN404" s="88">
        <v>0</v>
      </c>
      <c r="EO404" s="88">
        <v>0</v>
      </c>
      <c r="EP404" s="88">
        <v>28</v>
      </c>
      <c r="EQ404" s="88">
        <v>0</v>
      </c>
      <c r="ER404" s="88">
        <v>0</v>
      </c>
      <c r="ES404" s="88">
        <v>16</v>
      </c>
      <c r="ET404" s="88">
        <v>0</v>
      </c>
      <c r="EU404" s="88">
        <v>0</v>
      </c>
      <c r="EV404" s="88">
        <v>10</v>
      </c>
      <c r="EW404" s="88">
        <v>0</v>
      </c>
      <c r="EX404" s="88">
        <v>0</v>
      </c>
      <c r="EY404" s="88">
        <v>6</v>
      </c>
      <c r="EZ404" s="88">
        <v>0</v>
      </c>
      <c r="FA404" s="88">
        <v>0</v>
      </c>
      <c r="FB404" s="88">
        <v>0</v>
      </c>
      <c r="FC404" s="88">
        <v>0</v>
      </c>
      <c r="FD404" s="88">
        <v>0</v>
      </c>
      <c r="FE404" s="88">
        <v>2</v>
      </c>
      <c r="FF404" s="88">
        <v>0</v>
      </c>
      <c r="FG404" s="88">
        <v>0</v>
      </c>
      <c r="FH404" s="88">
        <v>0</v>
      </c>
      <c r="FI404" s="88">
        <v>0</v>
      </c>
      <c r="FJ404" s="88">
        <v>0</v>
      </c>
      <c r="FK404" s="32">
        <v>125</v>
      </c>
      <c r="FL404" s="88">
        <v>0</v>
      </c>
      <c r="FM404" s="88">
        <v>0</v>
      </c>
      <c r="FN404" s="88">
        <v>2585</v>
      </c>
      <c r="FO404" s="88">
        <v>0</v>
      </c>
      <c r="FP404" s="88">
        <v>0</v>
      </c>
      <c r="FQ404" s="88">
        <v>279</v>
      </c>
      <c r="FR404" s="88">
        <v>0</v>
      </c>
      <c r="FS404" s="88">
        <v>0</v>
      </c>
      <c r="FT404" s="88">
        <v>0</v>
      </c>
      <c r="FU404" s="88">
        <v>0</v>
      </c>
      <c r="FV404" s="88">
        <v>0</v>
      </c>
      <c r="FW404" s="88">
        <v>103</v>
      </c>
      <c r="FX404" s="32">
        <v>0</v>
      </c>
      <c r="FY404" s="32">
        <v>0</v>
      </c>
      <c r="FZ404" s="32">
        <v>394</v>
      </c>
    </row>
    <row r="405" spans="1:182" s="22" customFormat="1" x14ac:dyDescent="0.2">
      <c r="A405" s="41">
        <v>43891</v>
      </c>
      <c r="B405" s="100">
        <f t="shared" si="35"/>
        <v>84981733.029999986</v>
      </c>
      <c r="C405" s="42">
        <v>49996.959999999999</v>
      </c>
      <c r="D405" s="42">
        <v>263114.49</v>
      </c>
      <c r="E405" s="43">
        <f t="shared" si="29"/>
        <v>313111.45</v>
      </c>
      <c r="F405" s="42">
        <v>5100025.13</v>
      </c>
      <c r="G405" s="42">
        <v>2091898.6400000004</v>
      </c>
      <c r="H405" s="32">
        <f t="shared" si="28"/>
        <v>7191923.7700000005</v>
      </c>
      <c r="I405" s="42"/>
      <c r="J405" s="42"/>
      <c r="K405" s="98">
        <v>15696432.729999999</v>
      </c>
      <c r="L405" s="42"/>
      <c r="M405" s="42"/>
      <c r="N405" s="98">
        <v>22537707.52</v>
      </c>
      <c r="O405" s="42"/>
      <c r="P405" s="42"/>
      <c r="Q405" s="98">
        <v>38772846.299999997</v>
      </c>
      <c r="R405" s="42"/>
      <c r="S405" s="42"/>
      <c r="T405" s="42">
        <v>149526.46</v>
      </c>
      <c r="U405" s="42">
        <v>1330.56</v>
      </c>
      <c r="V405" s="42">
        <v>-6.5500000000000114</v>
      </c>
      <c r="W405" s="42">
        <f t="shared" si="30"/>
        <v>1324.01</v>
      </c>
      <c r="X405" s="42">
        <v>24465.599999999999</v>
      </c>
      <c r="Y405" s="42">
        <v>2332.1</v>
      </c>
      <c r="Z405" s="32">
        <f t="shared" si="31"/>
        <v>26797.699999999997</v>
      </c>
      <c r="AA405" s="42">
        <v>132828.35</v>
      </c>
      <c r="AB405" s="42">
        <v>24526.25</v>
      </c>
      <c r="AC405" s="32">
        <f t="shared" si="32"/>
        <v>157354.6</v>
      </c>
      <c r="AD405" s="42">
        <v>820.43</v>
      </c>
      <c r="AE405" s="42">
        <v>6739.23</v>
      </c>
      <c r="AF405" s="32">
        <f t="shared" si="33"/>
        <v>7559.66</v>
      </c>
      <c r="AG405" s="32">
        <v>4677.3999999999996</v>
      </c>
      <c r="AH405" s="32">
        <f>33563.58+8</f>
        <v>33571.58</v>
      </c>
      <c r="AI405" s="32">
        <f t="shared" si="34"/>
        <v>38248.980000000003</v>
      </c>
      <c r="AJ405" s="42"/>
      <c r="AK405" s="42"/>
      <c r="AL405" s="42">
        <v>88899.85</v>
      </c>
      <c r="AM405" s="42"/>
      <c r="AN405" s="42"/>
      <c r="AO405" s="42"/>
      <c r="AP405" s="42"/>
      <c r="AQ405" s="42"/>
      <c r="AR405" s="42"/>
      <c r="AS405" s="42"/>
      <c r="AT405" s="42"/>
      <c r="AU405" s="42">
        <v>1189960.45</v>
      </c>
      <c r="AV405" s="42"/>
      <c r="AW405" s="42"/>
      <c r="AX405" s="42">
        <v>37988.14</v>
      </c>
      <c r="AY405" s="42">
        <v>5565354.4000000004</v>
      </c>
      <c r="AZ405" s="42">
        <v>1688785</v>
      </c>
      <c r="BA405" s="43">
        <f t="shared" si="27"/>
        <v>7254139.4000000004</v>
      </c>
      <c r="BB405" s="42"/>
      <c r="BC405" s="42"/>
      <c r="BD405" s="42">
        <v>1694055.5333333334</v>
      </c>
      <c r="BE405" s="88">
        <v>0</v>
      </c>
      <c r="BF405" s="88">
        <v>0</v>
      </c>
      <c r="BG405" s="88">
        <v>33</v>
      </c>
      <c r="BH405" s="88">
        <v>0</v>
      </c>
      <c r="BI405" s="88">
        <v>0</v>
      </c>
      <c r="BJ405" s="88">
        <v>0</v>
      </c>
      <c r="BK405" s="88">
        <v>0</v>
      </c>
      <c r="BL405" s="88">
        <v>0</v>
      </c>
      <c r="BM405" s="88">
        <v>91</v>
      </c>
      <c r="BN405" s="88">
        <v>0</v>
      </c>
      <c r="BO405" s="88">
        <v>0</v>
      </c>
      <c r="BP405" s="88">
        <v>0</v>
      </c>
      <c r="BQ405" s="88">
        <v>0</v>
      </c>
      <c r="BR405" s="88">
        <v>0</v>
      </c>
      <c r="BS405" s="88">
        <v>77</v>
      </c>
      <c r="BT405" s="88">
        <v>0</v>
      </c>
      <c r="BU405" s="88">
        <v>0</v>
      </c>
      <c r="BV405" s="88">
        <v>0</v>
      </c>
      <c r="BW405" s="88"/>
      <c r="BX405" s="88"/>
      <c r="BY405" s="88"/>
      <c r="BZ405" s="88">
        <v>0</v>
      </c>
      <c r="CA405" s="88">
        <v>0</v>
      </c>
      <c r="CB405" s="88">
        <v>202</v>
      </c>
      <c r="CC405" s="88"/>
      <c r="CD405" s="88"/>
      <c r="CE405" s="88"/>
      <c r="CF405" s="88">
        <v>0</v>
      </c>
      <c r="CG405" s="88">
        <v>0</v>
      </c>
      <c r="CH405" s="88">
        <v>2</v>
      </c>
      <c r="CI405" s="88">
        <v>0</v>
      </c>
      <c r="CJ405" s="88">
        <v>0</v>
      </c>
      <c r="CK405" s="88">
        <v>6</v>
      </c>
      <c r="CL405" s="88">
        <v>0</v>
      </c>
      <c r="CM405" s="88">
        <v>0</v>
      </c>
      <c r="CN405" s="88">
        <v>0</v>
      </c>
      <c r="CO405" s="88">
        <v>0</v>
      </c>
      <c r="CP405" s="88">
        <v>0</v>
      </c>
      <c r="CQ405" s="88">
        <v>13</v>
      </c>
      <c r="CR405" s="88">
        <v>0</v>
      </c>
      <c r="CS405" s="88">
        <v>0</v>
      </c>
      <c r="CT405" s="88">
        <v>0</v>
      </c>
      <c r="CU405" s="88">
        <v>0</v>
      </c>
      <c r="CV405" s="88">
        <v>0</v>
      </c>
      <c r="CW405" s="88">
        <v>128</v>
      </c>
      <c r="CX405" s="88">
        <v>0</v>
      </c>
      <c r="CY405" s="88">
        <v>0</v>
      </c>
      <c r="CZ405" s="88">
        <v>0</v>
      </c>
      <c r="DA405" s="88">
        <v>0</v>
      </c>
      <c r="DB405" s="88">
        <v>0</v>
      </c>
      <c r="DC405" s="88">
        <v>0</v>
      </c>
      <c r="DD405" s="88">
        <v>0</v>
      </c>
      <c r="DE405" s="88">
        <v>0</v>
      </c>
      <c r="DF405" s="88">
        <v>0</v>
      </c>
      <c r="DG405" s="88">
        <v>0</v>
      </c>
      <c r="DH405" s="88">
        <v>0</v>
      </c>
      <c r="DI405" s="88">
        <v>3</v>
      </c>
      <c r="DJ405" s="88">
        <v>0</v>
      </c>
      <c r="DK405" s="88">
        <v>0</v>
      </c>
      <c r="DL405" s="88">
        <v>0</v>
      </c>
      <c r="DM405" s="88">
        <v>0</v>
      </c>
      <c r="DN405" s="88">
        <v>0</v>
      </c>
      <c r="DO405" s="88">
        <v>0</v>
      </c>
      <c r="DP405" s="88">
        <v>0</v>
      </c>
      <c r="DQ405" s="88">
        <v>0</v>
      </c>
      <c r="DR405" s="113">
        <v>0</v>
      </c>
      <c r="DS405" s="87">
        <v>0</v>
      </c>
      <c r="DT405" s="87">
        <v>0</v>
      </c>
      <c r="DU405" s="87">
        <v>48</v>
      </c>
      <c r="DV405" s="87">
        <v>0</v>
      </c>
      <c r="DW405" s="87">
        <v>0</v>
      </c>
      <c r="DX405" s="87">
        <v>0</v>
      </c>
      <c r="DY405" s="88">
        <v>0</v>
      </c>
      <c r="DZ405" s="88">
        <v>0</v>
      </c>
      <c r="EA405" s="88">
        <v>541</v>
      </c>
      <c r="EB405" s="88">
        <v>0</v>
      </c>
      <c r="EC405" s="88">
        <v>0</v>
      </c>
      <c r="ED405" s="88">
        <v>0</v>
      </c>
      <c r="EE405" s="88">
        <v>0</v>
      </c>
      <c r="EF405" s="88">
        <v>0</v>
      </c>
      <c r="EG405" s="88">
        <v>499</v>
      </c>
      <c r="EH405" s="88">
        <v>0</v>
      </c>
      <c r="EI405" s="88">
        <v>0</v>
      </c>
      <c r="EJ405" s="88">
        <v>18</v>
      </c>
      <c r="EK405" s="88">
        <v>0</v>
      </c>
      <c r="EL405" s="88">
        <v>0</v>
      </c>
      <c r="EM405" s="88">
        <v>546</v>
      </c>
      <c r="EN405" s="88">
        <v>0</v>
      </c>
      <c r="EO405" s="88">
        <v>0</v>
      </c>
      <c r="EP405" s="88">
        <v>45</v>
      </c>
      <c r="EQ405" s="88">
        <v>0</v>
      </c>
      <c r="ER405" s="88">
        <v>0</v>
      </c>
      <c r="ES405" s="88">
        <v>22</v>
      </c>
      <c r="ET405" s="88">
        <v>0</v>
      </c>
      <c r="EU405" s="88">
        <v>0</v>
      </c>
      <c r="EV405" s="88">
        <v>10</v>
      </c>
      <c r="EW405" s="88">
        <v>0</v>
      </c>
      <c r="EX405" s="88">
        <v>0</v>
      </c>
      <c r="EY405" s="88">
        <v>3</v>
      </c>
      <c r="EZ405" s="88">
        <v>0</v>
      </c>
      <c r="FA405" s="88">
        <v>0</v>
      </c>
      <c r="FB405" s="88">
        <v>0</v>
      </c>
      <c r="FC405" s="88">
        <v>0</v>
      </c>
      <c r="FD405" s="88">
        <v>0</v>
      </c>
      <c r="FE405" s="88">
        <v>1</v>
      </c>
      <c r="FF405" s="88">
        <v>0</v>
      </c>
      <c r="FG405" s="88">
        <v>0</v>
      </c>
      <c r="FH405" s="88">
        <v>0</v>
      </c>
      <c r="FI405" s="88">
        <v>0</v>
      </c>
      <c r="FJ405" s="88">
        <v>0</v>
      </c>
      <c r="FK405" s="32">
        <v>97</v>
      </c>
      <c r="FL405" s="88">
        <v>0</v>
      </c>
      <c r="FM405" s="88">
        <v>0</v>
      </c>
      <c r="FN405" s="88">
        <v>2894</v>
      </c>
      <c r="FO405" s="88">
        <v>0</v>
      </c>
      <c r="FP405" s="88">
        <v>0</v>
      </c>
      <c r="FQ405" s="88">
        <v>216</v>
      </c>
      <c r="FR405" s="88">
        <v>0</v>
      </c>
      <c r="FS405" s="88">
        <v>0</v>
      </c>
      <c r="FT405" s="88">
        <v>0</v>
      </c>
      <c r="FU405" s="88">
        <v>0</v>
      </c>
      <c r="FV405" s="88">
        <v>0</v>
      </c>
      <c r="FW405" s="88">
        <v>74</v>
      </c>
      <c r="FX405" s="32">
        <v>0</v>
      </c>
      <c r="FY405" s="32">
        <v>0</v>
      </c>
      <c r="FZ405" s="32">
        <v>1098</v>
      </c>
    </row>
    <row r="406" spans="1:182" s="22" customFormat="1" x14ac:dyDescent="0.2">
      <c r="A406" s="41">
        <v>43922</v>
      </c>
      <c r="B406" s="100">
        <f t="shared" si="35"/>
        <v>59474041.54999999</v>
      </c>
      <c r="C406" s="42">
        <v>45550.16</v>
      </c>
      <c r="D406" s="42">
        <v>229934.34999999998</v>
      </c>
      <c r="E406" s="43">
        <f t="shared" si="29"/>
        <v>275484.51</v>
      </c>
      <c r="F406" s="42">
        <v>2764123.16</v>
      </c>
      <c r="G406" s="42">
        <v>1240788.4000000001</v>
      </c>
      <c r="H406" s="32">
        <f t="shared" si="28"/>
        <v>4004911.5600000005</v>
      </c>
      <c r="I406" s="42"/>
      <c r="J406" s="42"/>
      <c r="K406" s="98">
        <v>15530143.689999999</v>
      </c>
      <c r="L406" s="42"/>
      <c r="M406" s="42"/>
      <c r="N406" s="98">
        <v>18007222.370000001</v>
      </c>
      <c r="O406" s="42"/>
      <c r="P406" s="42"/>
      <c r="Q406" s="98">
        <v>21138302.899999999</v>
      </c>
      <c r="R406" s="42"/>
      <c r="S406" s="42"/>
      <c r="T406" s="42">
        <v>160768.41</v>
      </c>
      <c r="U406" s="42">
        <v>233.81</v>
      </c>
      <c r="V406" s="42">
        <v>246.2</v>
      </c>
      <c r="W406" s="42">
        <f t="shared" si="30"/>
        <v>480.01</v>
      </c>
      <c r="X406" s="42">
        <v>27616.38</v>
      </c>
      <c r="Y406" s="42">
        <v>1699.05</v>
      </c>
      <c r="Z406" s="32">
        <f t="shared" si="31"/>
        <v>29315.43</v>
      </c>
      <c r="AA406" s="42">
        <v>138855.88999999998</v>
      </c>
      <c r="AB406" s="42">
        <v>11688.15</v>
      </c>
      <c r="AC406" s="32">
        <f t="shared" si="32"/>
        <v>150544.03999999998</v>
      </c>
      <c r="AD406" s="42">
        <v>774.71</v>
      </c>
      <c r="AE406" s="42">
        <v>3130.56</v>
      </c>
      <c r="AF406" s="32">
        <f t="shared" si="33"/>
        <v>3905.27</v>
      </c>
      <c r="AG406" s="32">
        <v>5450.1</v>
      </c>
      <c r="AH406" s="32">
        <f>20555.51+10</f>
        <v>20565.509999999998</v>
      </c>
      <c r="AI406" s="32">
        <f t="shared" si="34"/>
        <v>26015.61</v>
      </c>
      <c r="AJ406" s="42"/>
      <c r="AK406" s="42"/>
      <c r="AL406" s="42">
        <v>146947.75</v>
      </c>
      <c r="AM406" s="42"/>
      <c r="AN406" s="42"/>
      <c r="AO406" s="42"/>
      <c r="AP406" s="42"/>
      <c r="AQ406" s="42"/>
      <c r="AR406" s="42"/>
      <c r="AS406" s="42"/>
      <c r="AT406" s="42"/>
      <c r="AU406" s="42">
        <v>1119543.25</v>
      </c>
      <c r="AV406" s="42"/>
      <c r="AW406" s="42"/>
      <c r="AX406" s="42">
        <v>35665.079999999994</v>
      </c>
      <c r="AY406" s="42">
        <v>5419638.2000000002</v>
      </c>
      <c r="AZ406" s="42">
        <v>674010</v>
      </c>
      <c r="BA406" s="43">
        <f t="shared" si="27"/>
        <v>6093648.2000000002</v>
      </c>
      <c r="BB406" s="42"/>
      <c r="BC406" s="42"/>
      <c r="BD406" s="42">
        <v>1451945.3333333333</v>
      </c>
      <c r="BE406" s="88">
        <v>0</v>
      </c>
      <c r="BF406" s="88">
        <v>0</v>
      </c>
      <c r="BG406" s="88">
        <v>33</v>
      </c>
      <c r="BH406" s="88">
        <v>0</v>
      </c>
      <c r="BI406" s="88">
        <v>0</v>
      </c>
      <c r="BJ406" s="88">
        <v>0</v>
      </c>
      <c r="BK406" s="88">
        <v>0</v>
      </c>
      <c r="BL406" s="88">
        <v>0</v>
      </c>
      <c r="BM406" s="88">
        <v>40</v>
      </c>
      <c r="BN406" s="88">
        <v>0</v>
      </c>
      <c r="BO406" s="88">
        <v>0</v>
      </c>
      <c r="BP406" s="88">
        <v>0</v>
      </c>
      <c r="BQ406" s="88">
        <v>0</v>
      </c>
      <c r="BR406" s="88">
        <v>0</v>
      </c>
      <c r="BS406" s="88">
        <v>30</v>
      </c>
      <c r="BT406" s="88">
        <v>0</v>
      </c>
      <c r="BU406" s="88">
        <v>0</v>
      </c>
      <c r="BV406" s="88">
        <v>0</v>
      </c>
      <c r="BW406" s="88"/>
      <c r="BX406" s="88"/>
      <c r="BY406" s="88"/>
      <c r="BZ406" s="88">
        <v>0</v>
      </c>
      <c r="CA406" s="88">
        <v>0</v>
      </c>
      <c r="CB406" s="88">
        <v>70</v>
      </c>
      <c r="CC406" s="88"/>
      <c r="CD406" s="88"/>
      <c r="CE406" s="88"/>
      <c r="CF406" s="88">
        <v>0</v>
      </c>
      <c r="CG406" s="88">
        <v>0</v>
      </c>
      <c r="CH406" s="88">
        <v>1</v>
      </c>
      <c r="CI406" s="88">
        <v>0</v>
      </c>
      <c r="CJ406" s="88">
        <v>0</v>
      </c>
      <c r="CK406" s="88">
        <v>7</v>
      </c>
      <c r="CL406" s="88">
        <v>0</v>
      </c>
      <c r="CM406" s="88">
        <v>0</v>
      </c>
      <c r="CN406" s="88">
        <v>0</v>
      </c>
      <c r="CO406" s="88">
        <v>0</v>
      </c>
      <c r="CP406" s="88">
        <v>0</v>
      </c>
      <c r="CQ406" s="88">
        <v>17</v>
      </c>
      <c r="CR406" s="88">
        <v>0</v>
      </c>
      <c r="CS406" s="88">
        <v>0</v>
      </c>
      <c r="CT406" s="88">
        <v>0</v>
      </c>
      <c r="CU406" s="88">
        <v>0</v>
      </c>
      <c r="CV406" s="88">
        <v>0</v>
      </c>
      <c r="CW406" s="88">
        <v>50</v>
      </c>
      <c r="CX406" s="88">
        <v>0</v>
      </c>
      <c r="CY406" s="88">
        <v>0</v>
      </c>
      <c r="CZ406" s="88">
        <v>0</v>
      </c>
      <c r="DA406" s="88">
        <v>0</v>
      </c>
      <c r="DB406" s="88">
        <v>0</v>
      </c>
      <c r="DC406" s="88">
        <v>0</v>
      </c>
      <c r="DD406" s="88">
        <v>0</v>
      </c>
      <c r="DE406" s="88">
        <v>0</v>
      </c>
      <c r="DF406" s="88">
        <v>0</v>
      </c>
      <c r="DG406" s="88">
        <v>0</v>
      </c>
      <c r="DH406" s="88">
        <v>0</v>
      </c>
      <c r="DI406" s="88">
        <v>0</v>
      </c>
      <c r="DJ406" s="88">
        <v>0</v>
      </c>
      <c r="DK406" s="88">
        <v>0</v>
      </c>
      <c r="DL406" s="88">
        <v>0</v>
      </c>
      <c r="DM406" s="88">
        <v>0</v>
      </c>
      <c r="DN406" s="88">
        <v>0</v>
      </c>
      <c r="DO406" s="88">
        <v>0</v>
      </c>
      <c r="DP406" s="88">
        <v>0</v>
      </c>
      <c r="DQ406" s="88">
        <v>0</v>
      </c>
      <c r="DR406" s="113">
        <v>0</v>
      </c>
      <c r="DS406" s="87">
        <v>0</v>
      </c>
      <c r="DT406" s="87">
        <v>0</v>
      </c>
      <c r="DU406" s="87">
        <v>27</v>
      </c>
      <c r="DV406" s="87">
        <v>0</v>
      </c>
      <c r="DW406" s="87">
        <v>0</v>
      </c>
      <c r="DX406" s="87">
        <v>0</v>
      </c>
      <c r="DY406" s="88">
        <v>0</v>
      </c>
      <c r="DZ406" s="88">
        <v>0</v>
      </c>
      <c r="EA406" s="88">
        <v>255</v>
      </c>
      <c r="EB406" s="88">
        <v>0</v>
      </c>
      <c r="EC406" s="88">
        <v>0</v>
      </c>
      <c r="ED406" s="88">
        <v>0</v>
      </c>
      <c r="EE406" s="88">
        <v>0</v>
      </c>
      <c r="EF406" s="88">
        <v>0</v>
      </c>
      <c r="EG406" s="88">
        <v>375</v>
      </c>
      <c r="EH406" s="88">
        <v>0</v>
      </c>
      <c r="EI406" s="88">
        <v>0</v>
      </c>
      <c r="EJ406" s="88">
        <v>9</v>
      </c>
      <c r="EK406" s="88">
        <v>0</v>
      </c>
      <c r="EL406" s="88">
        <v>0</v>
      </c>
      <c r="EM406" s="88">
        <v>238</v>
      </c>
      <c r="EN406" s="88">
        <v>0</v>
      </c>
      <c r="EO406" s="88">
        <v>0</v>
      </c>
      <c r="EP406" s="88">
        <v>23</v>
      </c>
      <c r="EQ406" s="88">
        <v>0</v>
      </c>
      <c r="ER406" s="88">
        <v>0</v>
      </c>
      <c r="ES406" s="88">
        <v>7</v>
      </c>
      <c r="ET406" s="88">
        <v>0</v>
      </c>
      <c r="EU406" s="88">
        <v>0</v>
      </c>
      <c r="EV406" s="88">
        <v>8</v>
      </c>
      <c r="EW406" s="88">
        <v>0</v>
      </c>
      <c r="EX406" s="88">
        <v>0</v>
      </c>
      <c r="EY406" s="88">
        <v>3</v>
      </c>
      <c r="EZ406" s="88">
        <v>0</v>
      </c>
      <c r="FA406" s="88">
        <v>0</v>
      </c>
      <c r="FB406" s="88">
        <v>0</v>
      </c>
      <c r="FC406" s="88">
        <v>0</v>
      </c>
      <c r="FD406" s="88">
        <v>0</v>
      </c>
      <c r="FE406" s="88">
        <v>3</v>
      </c>
      <c r="FF406" s="88">
        <v>0</v>
      </c>
      <c r="FG406" s="88">
        <v>0</v>
      </c>
      <c r="FH406" s="88">
        <v>0</v>
      </c>
      <c r="FI406" s="88">
        <v>0</v>
      </c>
      <c r="FJ406" s="88">
        <v>0</v>
      </c>
      <c r="FK406" s="32">
        <v>52</v>
      </c>
      <c r="FL406" s="88">
        <v>0</v>
      </c>
      <c r="FM406" s="88">
        <v>0</v>
      </c>
      <c r="FN406" s="88">
        <v>590</v>
      </c>
      <c r="FO406" s="88">
        <v>0</v>
      </c>
      <c r="FP406" s="88">
        <v>0</v>
      </c>
      <c r="FQ406" s="88">
        <v>71</v>
      </c>
      <c r="FR406" s="88">
        <v>0</v>
      </c>
      <c r="FS406" s="88">
        <v>0</v>
      </c>
      <c r="FT406" s="88">
        <v>0</v>
      </c>
      <c r="FU406" s="88">
        <v>0</v>
      </c>
      <c r="FV406" s="88">
        <v>0</v>
      </c>
      <c r="FW406" s="88">
        <v>57</v>
      </c>
      <c r="FX406" s="32">
        <v>0</v>
      </c>
      <c r="FY406" s="32">
        <v>0</v>
      </c>
      <c r="FZ406" s="32">
        <v>1332</v>
      </c>
    </row>
    <row r="407" spans="1:182" s="22" customFormat="1" x14ac:dyDescent="0.2">
      <c r="A407" s="41">
        <v>43952</v>
      </c>
      <c r="B407" s="100">
        <f t="shared" si="35"/>
        <v>53996980.770000003</v>
      </c>
      <c r="C407" s="42">
        <v>44712.86</v>
      </c>
      <c r="D407" s="42">
        <v>311598.39</v>
      </c>
      <c r="E407" s="43">
        <f t="shared" si="29"/>
        <v>356311.25</v>
      </c>
      <c r="F407" s="42">
        <v>3323012.4300000006</v>
      </c>
      <c r="G407" s="42">
        <v>1559785.34</v>
      </c>
      <c r="H407" s="32">
        <f t="shared" si="28"/>
        <v>4882797.7700000005</v>
      </c>
      <c r="I407" s="42"/>
      <c r="J407" s="42"/>
      <c r="K407" s="98">
        <v>11054177.49</v>
      </c>
      <c r="L407" s="42"/>
      <c r="M407" s="42"/>
      <c r="N407" s="98">
        <v>19314255.309999999</v>
      </c>
      <c r="O407" s="42"/>
      <c r="P407" s="42"/>
      <c r="Q407" s="98">
        <v>17925421.550000001</v>
      </c>
      <c r="R407" s="42"/>
      <c r="S407" s="42"/>
      <c r="T407" s="42">
        <v>189221.67</v>
      </c>
      <c r="U407" s="42">
        <v>751.45</v>
      </c>
      <c r="V407" s="42">
        <v>223.15999999999997</v>
      </c>
      <c r="W407" s="42">
        <f t="shared" si="30"/>
        <v>974.61</v>
      </c>
      <c r="X407" s="42">
        <v>25198.33</v>
      </c>
      <c r="Y407" s="42">
        <v>1718.1</v>
      </c>
      <c r="Z407" s="32">
        <f t="shared" si="31"/>
        <v>26916.43</v>
      </c>
      <c r="AA407" s="42">
        <v>141470.37000000002</v>
      </c>
      <c r="AB407" s="42">
        <v>20968.96</v>
      </c>
      <c r="AC407" s="32">
        <f t="shared" si="32"/>
        <v>162439.33000000002</v>
      </c>
      <c r="AD407" s="42">
        <v>3231.0699999999997</v>
      </c>
      <c r="AE407" s="42">
        <v>2423.7800000000002</v>
      </c>
      <c r="AF407" s="32">
        <f t="shared" si="33"/>
        <v>5654.85</v>
      </c>
      <c r="AG407" s="32">
        <v>7649.51</v>
      </c>
      <c r="AH407" s="32">
        <f>32103.1+10</f>
        <v>32113.1</v>
      </c>
      <c r="AI407" s="32">
        <f t="shared" si="34"/>
        <v>39762.61</v>
      </c>
      <c r="AJ407" s="42"/>
      <c r="AK407" s="42"/>
      <c r="AL407" s="42">
        <v>39047.9</v>
      </c>
      <c r="AM407" s="42"/>
      <c r="AN407" s="42"/>
      <c r="AO407" s="42"/>
      <c r="AP407" s="42"/>
      <c r="AQ407" s="42"/>
      <c r="AR407" s="42"/>
      <c r="AS407" s="42"/>
      <c r="AT407" s="42"/>
      <c r="AU407" s="42">
        <v>1366555.7899999996</v>
      </c>
      <c r="AV407" s="42"/>
      <c r="AW407" s="42"/>
      <c r="AX407" s="42">
        <v>34774.380000000012</v>
      </c>
      <c r="AY407" s="42">
        <v>5557960</v>
      </c>
      <c r="AZ407" s="42">
        <v>684744.75</v>
      </c>
      <c r="BA407" s="43">
        <f t="shared" si="27"/>
        <v>6242704.75</v>
      </c>
      <c r="BB407" s="42"/>
      <c r="BC407" s="42"/>
      <c r="BD407" s="42">
        <v>1874297.8444444444</v>
      </c>
      <c r="BE407" s="88">
        <v>0</v>
      </c>
      <c r="BF407" s="88">
        <v>0</v>
      </c>
      <c r="BG407" s="88">
        <v>47</v>
      </c>
      <c r="BH407" s="88">
        <v>0</v>
      </c>
      <c r="BI407" s="88">
        <v>0</v>
      </c>
      <c r="BJ407" s="88">
        <v>0</v>
      </c>
      <c r="BK407" s="88">
        <v>0</v>
      </c>
      <c r="BL407" s="88">
        <v>0</v>
      </c>
      <c r="BM407" s="88">
        <v>80</v>
      </c>
      <c r="BN407" s="88">
        <v>0</v>
      </c>
      <c r="BO407" s="88">
        <v>0</v>
      </c>
      <c r="BP407" s="88">
        <v>0</v>
      </c>
      <c r="BQ407" s="88">
        <v>0</v>
      </c>
      <c r="BR407" s="88">
        <v>0</v>
      </c>
      <c r="BS407" s="88">
        <v>95</v>
      </c>
      <c r="BT407" s="88">
        <v>0</v>
      </c>
      <c r="BU407" s="88">
        <v>0</v>
      </c>
      <c r="BV407" s="88">
        <v>0</v>
      </c>
      <c r="BW407" s="88"/>
      <c r="BX407" s="88"/>
      <c r="BY407" s="88"/>
      <c r="BZ407" s="88">
        <v>0</v>
      </c>
      <c r="CA407" s="88">
        <v>0</v>
      </c>
      <c r="CB407" s="88">
        <v>118</v>
      </c>
      <c r="CC407" s="88"/>
      <c r="CD407" s="88"/>
      <c r="CE407" s="88"/>
      <c r="CF407" s="88">
        <v>0</v>
      </c>
      <c r="CG407" s="88">
        <v>0</v>
      </c>
      <c r="CH407" s="88">
        <v>2</v>
      </c>
      <c r="CI407" s="88">
        <v>0</v>
      </c>
      <c r="CJ407" s="88">
        <v>0</v>
      </c>
      <c r="CK407" s="88">
        <v>11</v>
      </c>
      <c r="CL407" s="88">
        <v>0</v>
      </c>
      <c r="CM407" s="88">
        <v>0</v>
      </c>
      <c r="CN407" s="88">
        <v>1</v>
      </c>
      <c r="CO407" s="88">
        <v>0</v>
      </c>
      <c r="CP407" s="88">
        <v>0</v>
      </c>
      <c r="CQ407" s="88">
        <v>18</v>
      </c>
      <c r="CR407" s="88">
        <v>0</v>
      </c>
      <c r="CS407" s="88">
        <v>0</v>
      </c>
      <c r="CT407" s="88">
        <v>0</v>
      </c>
      <c r="CU407" s="88">
        <v>0</v>
      </c>
      <c r="CV407" s="88">
        <v>0</v>
      </c>
      <c r="CW407" s="88">
        <v>101</v>
      </c>
      <c r="CX407" s="88">
        <v>0</v>
      </c>
      <c r="CY407" s="88">
        <v>0</v>
      </c>
      <c r="CZ407" s="88">
        <v>0</v>
      </c>
      <c r="DA407" s="88">
        <v>0</v>
      </c>
      <c r="DB407" s="88">
        <v>0</v>
      </c>
      <c r="DC407" s="88">
        <v>0</v>
      </c>
      <c r="DD407" s="88">
        <v>0</v>
      </c>
      <c r="DE407" s="88">
        <v>0</v>
      </c>
      <c r="DF407" s="88">
        <v>0</v>
      </c>
      <c r="DG407" s="88">
        <v>0</v>
      </c>
      <c r="DH407" s="88">
        <v>0</v>
      </c>
      <c r="DI407" s="88">
        <v>4</v>
      </c>
      <c r="DJ407" s="88">
        <v>0</v>
      </c>
      <c r="DK407" s="88">
        <v>0</v>
      </c>
      <c r="DL407" s="88">
        <v>0</v>
      </c>
      <c r="DM407" s="88">
        <v>0</v>
      </c>
      <c r="DN407" s="88">
        <v>0</v>
      </c>
      <c r="DO407" s="88">
        <v>0</v>
      </c>
      <c r="DP407" s="88">
        <v>0</v>
      </c>
      <c r="DQ407" s="88">
        <v>0</v>
      </c>
      <c r="DR407" s="113">
        <v>0</v>
      </c>
      <c r="DS407" s="87">
        <v>0</v>
      </c>
      <c r="DT407" s="87">
        <v>0</v>
      </c>
      <c r="DU407" s="87">
        <v>57</v>
      </c>
      <c r="DV407" s="87">
        <v>0</v>
      </c>
      <c r="DW407" s="87">
        <v>0</v>
      </c>
      <c r="DX407" s="87">
        <v>0</v>
      </c>
      <c r="DY407" s="88">
        <v>0</v>
      </c>
      <c r="DZ407" s="88">
        <v>0</v>
      </c>
      <c r="EA407" s="88">
        <v>403</v>
      </c>
      <c r="EB407" s="88">
        <v>0</v>
      </c>
      <c r="EC407" s="88">
        <v>0</v>
      </c>
      <c r="ED407" s="88">
        <v>0</v>
      </c>
      <c r="EE407" s="88">
        <v>0</v>
      </c>
      <c r="EF407" s="88">
        <v>0</v>
      </c>
      <c r="EG407" s="88">
        <v>355</v>
      </c>
      <c r="EH407" s="88">
        <v>0</v>
      </c>
      <c r="EI407" s="88">
        <v>0</v>
      </c>
      <c r="EJ407" s="88">
        <v>16</v>
      </c>
      <c r="EK407" s="88">
        <v>0</v>
      </c>
      <c r="EL407" s="88">
        <v>0</v>
      </c>
      <c r="EM407" s="88">
        <v>279</v>
      </c>
      <c r="EN407" s="88">
        <v>0</v>
      </c>
      <c r="EO407" s="88">
        <v>0</v>
      </c>
      <c r="EP407" s="88">
        <v>27</v>
      </c>
      <c r="EQ407" s="88">
        <v>0</v>
      </c>
      <c r="ER407" s="88">
        <v>0</v>
      </c>
      <c r="ES407" s="88">
        <v>9</v>
      </c>
      <c r="ET407" s="88">
        <v>0</v>
      </c>
      <c r="EU407" s="88">
        <v>0</v>
      </c>
      <c r="EV407" s="88">
        <v>8</v>
      </c>
      <c r="EW407" s="88">
        <v>0</v>
      </c>
      <c r="EX407" s="88">
        <v>0</v>
      </c>
      <c r="EY407" s="88">
        <v>1</v>
      </c>
      <c r="EZ407" s="88">
        <v>0</v>
      </c>
      <c r="FA407" s="88">
        <v>0</v>
      </c>
      <c r="FB407" s="88">
        <v>0</v>
      </c>
      <c r="FC407" s="88">
        <v>0</v>
      </c>
      <c r="FD407" s="88">
        <v>0</v>
      </c>
      <c r="FE407" s="88">
        <v>3</v>
      </c>
      <c r="FF407" s="88">
        <v>0</v>
      </c>
      <c r="FG407" s="88">
        <v>0</v>
      </c>
      <c r="FH407" s="88">
        <v>0</v>
      </c>
      <c r="FI407" s="88">
        <v>0</v>
      </c>
      <c r="FJ407" s="88">
        <v>0</v>
      </c>
      <c r="FK407" s="32">
        <v>104</v>
      </c>
      <c r="FL407" s="88">
        <v>0</v>
      </c>
      <c r="FM407" s="88">
        <v>0</v>
      </c>
      <c r="FN407" s="88">
        <v>1671</v>
      </c>
      <c r="FO407" s="88">
        <v>0</v>
      </c>
      <c r="FP407" s="88">
        <v>0</v>
      </c>
      <c r="FQ407" s="88">
        <v>148</v>
      </c>
      <c r="FR407" s="88">
        <v>0</v>
      </c>
      <c r="FS407" s="88">
        <v>0</v>
      </c>
      <c r="FT407" s="88">
        <v>0</v>
      </c>
      <c r="FU407" s="88">
        <v>0</v>
      </c>
      <c r="FV407" s="88">
        <v>0</v>
      </c>
      <c r="FW407" s="115">
        <v>123</v>
      </c>
      <c r="FX407" s="32">
        <v>0</v>
      </c>
      <c r="FY407" s="32">
        <v>0</v>
      </c>
      <c r="FZ407" s="32">
        <v>1194</v>
      </c>
    </row>
    <row r="408" spans="1:182" s="22" customFormat="1" x14ac:dyDescent="0.2">
      <c r="A408" s="41">
        <v>43983</v>
      </c>
      <c r="B408" s="100">
        <f t="shared" si="35"/>
        <v>61150668.459999993</v>
      </c>
      <c r="C408" s="42">
        <v>51327.02</v>
      </c>
      <c r="D408" s="42">
        <v>370334.08</v>
      </c>
      <c r="E408" s="43">
        <f t="shared" si="29"/>
        <v>421661.10000000003</v>
      </c>
      <c r="F408" s="42">
        <v>3228251.8099999996</v>
      </c>
      <c r="G408" s="42">
        <v>1461520.15</v>
      </c>
      <c r="H408" s="32">
        <f t="shared" si="28"/>
        <v>4689771.959999999</v>
      </c>
      <c r="I408" s="42"/>
      <c r="J408" s="42"/>
      <c r="K408" s="98">
        <v>13609855.949999999</v>
      </c>
      <c r="L408" s="42"/>
      <c r="M408" s="42"/>
      <c r="N408" s="98">
        <v>20595369.749999996</v>
      </c>
      <c r="O408" s="42"/>
      <c r="P408" s="42"/>
      <c r="Q408" s="98">
        <v>21394472.949999999</v>
      </c>
      <c r="R408" s="42"/>
      <c r="S408" s="42"/>
      <c r="T408" s="42">
        <v>127369.5</v>
      </c>
      <c r="U408" s="42">
        <v>1460.73</v>
      </c>
      <c r="V408" s="42">
        <v>2192.6</v>
      </c>
      <c r="W408" s="42">
        <f t="shared" si="30"/>
        <v>3653.33</v>
      </c>
      <c r="X408" s="42">
        <v>55155.44</v>
      </c>
      <c r="Y408" s="42">
        <v>2719.2</v>
      </c>
      <c r="Z408" s="32">
        <f t="shared" si="31"/>
        <v>57874.64</v>
      </c>
      <c r="AA408" s="42">
        <v>122581.01999999999</v>
      </c>
      <c r="AB408" s="42">
        <v>37127.089999999997</v>
      </c>
      <c r="AC408" s="32">
        <f t="shared" si="32"/>
        <v>159708.10999999999</v>
      </c>
      <c r="AD408" s="42">
        <v>2582.88</v>
      </c>
      <c r="AE408" s="42">
        <v>7093.02</v>
      </c>
      <c r="AF408" s="32">
        <f t="shared" si="33"/>
        <v>9675.9000000000015</v>
      </c>
      <c r="AG408" s="32">
        <v>10970.29</v>
      </c>
      <c r="AH408" s="32">
        <v>33994.980000000003</v>
      </c>
      <c r="AI408" s="32">
        <f t="shared" si="34"/>
        <v>44965.270000000004</v>
      </c>
      <c r="AJ408" s="42"/>
      <c r="AK408" s="42"/>
      <c r="AL408" s="42">
        <v>36290</v>
      </c>
      <c r="AM408" s="42"/>
      <c r="AN408" s="42"/>
      <c r="AO408" s="42"/>
      <c r="AP408" s="42"/>
      <c r="AQ408" s="42"/>
      <c r="AR408" s="42"/>
      <c r="AS408" s="42"/>
      <c r="AT408" s="42"/>
      <c r="AU408" s="42">
        <v>1456989.9699999997</v>
      </c>
      <c r="AV408" s="42"/>
      <c r="AW408" s="42"/>
      <c r="AX408" s="42">
        <v>35101.89</v>
      </c>
      <c r="AY408" s="42">
        <v>6466769.7999999998</v>
      </c>
      <c r="AZ408" s="42">
        <v>1122590</v>
      </c>
      <c r="BA408" s="43">
        <f t="shared" si="27"/>
        <v>7589359.7999999998</v>
      </c>
      <c r="BB408" s="42"/>
      <c r="BC408" s="42"/>
      <c r="BD408" s="42">
        <v>1194428.6888888888</v>
      </c>
      <c r="BE408" s="88">
        <v>0</v>
      </c>
      <c r="BF408" s="88">
        <v>0</v>
      </c>
      <c r="BG408" s="88">
        <v>46</v>
      </c>
      <c r="BH408" s="88">
        <v>0</v>
      </c>
      <c r="BI408" s="88">
        <v>0</v>
      </c>
      <c r="BJ408" s="88">
        <v>0</v>
      </c>
      <c r="BK408" s="88">
        <v>0</v>
      </c>
      <c r="BL408" s="88">
        <v>0</v>
      </c>
      <c r="BM408" s="88">
        <v>125</v>
      </c>
      <c r="BN408" s="88">
        <v>0</v>
      </c>
      <c r="BO408" s="88">
        <v>0</v>
      </c>
      <c r="BP408" s="88">
        <v>0</v>
      </c>
      <c r="BQ408" s="88">
        <v>0</v>
      </c>
      <c r="BR408" s="88">
        <v>0</v>
      </c>
      <c r="BS408" s="88">
        <v>162</v>
      </c>
      <c r="BT408" s="88">
        <v>0</v>
      </c>
      <c r="BU408" s="88">
        <v>0</v>
      </c>
      <c r="BV408" s="88">
        <v>0</v>
      </c>
      <c r="BW408" s="88"/>
      <c r="BX408" s="88"/>
      <c r="BY408" s="88"/>
      <c r="BZ408" s="88">
        <v>0</v>
      </c>
      <c r="CA408" s="88">
        <v>0</v>
      </c>
      <c r="CB408" s="88">
        <v>186</v>
      </c>
      <c r="CC408" s="88"/>
      <c r="CD408" s="88"/>
      <c r="CE408" s="88"/>
      <c r="CF408" s="88">
        <v>0</v>
      </c>
      <c r="CG408" s="88">
        <v>0</v>
      </c>
      <c r="CH408" s="88">
        <v>2</v>
      </c>
      <c r="CI408" s="88">
        <v>0</v>
      </c>
      <c r="CJ408" s="88">
        <v>0</v>
      </c>
      <c r="CK408" s="88">
        <v>14</v>
      </c>
      <c r="CL408" s="88">
        <v>0</v>
      </c>
      <c r="CM408" s="88">
        <v>0</v>
      </c>
      <c r="CN408" s="88">
        <v>0</v>
      </c>
      <c r="CO408" s="88">
        <v>0</v>
      </c>
      <c r="CP408" s="88">
        <v>0</v>
      </c>
      <c r="CQ408" s="88">
        <v>4</v>
      </c>
      <c r="CR408" s="88">
        <v>0</v>
      </c>
      <c r="CS408" s="88">
        <v>0</v>
      </c>
      <c r="CT408" s="88">
        <v>0</v>
      </c>
      <c r="CU408" s="88">
        <v>0</v>
      </c>
      <c r="CV408" s="88">
        <v>0</v>
      </c>
      <c r="CW408" s="88">
        <v>238</v>
      </c>
      <c r="CX408" s="88">
        <v>0</v>
      </c>
      <c r="CY408" s="88">
        <v>0</v>
      </c>
      <c r="CZ408" s="88">
        <v>1</v>
      </c>
      <c r="DA408" s="88">
        <v>0</v>
      </c>
      <c r="DB408" s="88">
        <v>0</v>
      </c>
      <c r="DC408" s="88">
        <v>0</v>
      </c>
      <c r="DD408" s="88">
        <v>0</v>
      </c>
      <c r="DE408" s="88">
        <v>0</v>
      </c>
      <c r="DF408" s="88">
        <v>0</v>
      </c>
      <c r="DG408" s="88">
        <v>0</v>
      </c>
      <c r="DH408" s="88">
        <v>0</v>
      </c>
      <c r="DI408" s="88">
        <v>7</v>
      </c>
      <c r="DJ408" s="88">
        <v>0</v>
      </c>
      <c r="DK408" s="88">
        <v>0</v>
      </c>
      <c r="DL408" s="88">
        <v>0</v>
      </c>
      <c r="DM408" s="88">
        <v>0</v>
      </c>
      <c r="DN408" s="88">
        <v>0</v>
      </c>
      <c r="DO408" s="88">
        <v>0</v>
      </c>
      <c r="DP408" s="88">
        <v>0</v>
      </c>
      <c r="DQ408" s="88">
        <v>0</v>
      </c>
      <c r="DR408" s="113">
        <v>0</v>
      </c>
      <c r="DS408" s="87">
        <v>0</v>
      </c>
      <c r="DT408" s="87">
        <v>0</v>
      </c>
      <c r="DU408" s="87">
        <v>126</v>
      </c>
      <c r="DV408" s="87">
        <v>0</v>
      </c>
      <c r="DW408" s="87">
        <v>0</v>
      </c>
      <c r="DX408" s="87">
        <v>0</v>
      </c>
      <c r="DY408" s="88">
        <v>0</v>
      </c>
      <c r="DZ408" s="88">
        <v>0</v>
      </c>
      <c r="EA408" s="88">
        <v>682</v>
      </c>
      <c r="EB408" s="88">
        <v>0</v>
      </c>
      <c r="EC408" s="88">
        <v>0</v>
      </c>
      <c r="ED408" s="88">
        <v>0</v>
      </c>
      <c r="EE408" s="88">
        <v>0</v>
      </c>
      <c r="EF408" s="88">
        <v>0</v>
      </c>
      <c r="EG408" s="88">
        <v>461</v>
      </c>
      <c r="EH408" s="88">
        <v>0</v>
      </c>
      <c r="EI408" s="88">
        <v>0</v>
      </c>
      <c r="EJ408" s="88">
        <v>16</v>
      </c>
      <c r="EK408" s="88">
        <v>0</v>
      </c>
      <c r="EL408" s="88">
        <v>0</v>
      </c>
      <c r="EM408" s="88">
        <v>370</v>
      </c>
      <c r="EN408" s="88">
        <v>0</v>
      </c>
      <c r="EO408" s="88">
        <v>0</v>
      </c>
      <c r="EP408" s="88">
        <v>17</v>
      </c>
      <c r="EQ408" s="88">
        <v>0</v>
      </c>
      <c r="ER408" s="88">
        <v>0</v>
      </c>
      <c r="ES408" s="88">
        <v>25</v>
      </c>
      <c r="ET408" s="88">
        <v>0</v>
      </c>
      <c r="EU408" s="88">
        <v>0</v>
      </c>
      <c r="EV408" s="88">
        <v>10</v>
      </c>
      <c r="EW408" s="88">
        <v>0</v>
      </c>
      <c r="EX408" s="88">
        <v>0</v>
      </c>
      <c r="EY408" s="88">
        <v>3</v>
      </c>
      <c r="EZ408" s="88">
        <v>0</v>
      </c>
      <c r="FA408" s="88">
        <v>0</v>
      </c>
      <c r="FB408" s="88">
        <v>0</v>
      </c>
      <c r="FC408" s="88">
        <v>0</v>
      </c>
      <c r="FD408" s="88">
        <v>0</v>
      </c>
      <c r="FE408" s="88">
        <v>1</v>
      </c>
      <c r="FF408" s="88">
        <v>0</v>
      </c>
      <c r="FG408" s="88">
        <v>0</v>
      </c>
      <c r="FH408" s="88">
        <v>0</v>
      </c>
      <c r="FI408" s="88">
        <v>0</v>
      </c>
      <c r="FJ408" s="88">
        <v>0</v>
      </c>
      <c r="FK408" s="32">
        <v>120</v>
      </c>
      <c r="FL408" s="88">
        <v>0</v>
      </c>
      <c r="FM408" s="88">
        <v>0</v>
      </c>
      <c r="FN408" s="88">
        <v>2597</v>
      </c>
      <c r="FO408" s="88">
        <v>0</v>
      </c>
      <c r="FP408" s="88">
        <v>0</v>
      </c>
      <c r="FQ408" s="88">
        <v>229</v>
      </c>
      <c r="FR408" s="88">
        <v>0</v>
      </c>
      <c r="FS408" s="88">
        <v>0</v>
      </c>
      <c r="FT408" s="88">
        <v>0</v>
      </c>
      <c r="FU408" s="88">
        <v>0</v>
      </c>
      <c r="FV408" s="88">
        <v>0</v>
      </c>
      <c r="FW408" s="88">
        <v>36</v>
      </c>
      <c r="FX408" s="32">
        <v>0</v>
      </c>
      <c r="FY408" s="32">
        <v>0</v>
      </c>
      <c r="FZ408" s="32">
        <v>727</v>
      </c>
    </row>
    <row r="409" spans="1:182" s="22" customFormat="1" x14ac:dyDescent="0.2">
      <c r="A409" s="41">
        <v>44013</v>
      </c>
      <c r="B409" s="100">
        <f t="shared" si="35"/>
        <v>61768524.459999993</v>
      </c>
      <c r="C409" s="42">
        <v>59974.95</v>
      </c>
      <c r="D409" s="42">
        <v>417196.88999999996</v>
      </c>
      <c r="E409" s="43">
        <f t="shared" si="29"/>
        <v>477171.83999999997</v>
      </c>
      <c r="F409" s="42">
        <v>3605201.39</v>
      </c>
      <c r="G409" s="42">
        <v>1659569.6999999997</v>
      </c>
      <c r="H409" s="32">
        <f t="shared" si="28"/>
        <v>5264771.09</v>
      </c>
      <c r="I409" s="42"/>
      <c r="J409" s="42"/>
      <c r="K409" s="98">
        <v>13516134.930000002</v>
      </c>
      <c r="L409" s="42"/>
      <c r="M409" s="42"/>
      <c r="N409" s="98">
        <v>21007115.340000004</v>
      </c>
      <c r="O409" s="42"/>
      <c r="P409" s="42"/>
      <c r="Q409" s="98">
        <v>20988053.800000001</v>
      </c>
      <c r="R409" s="42"/>
      <c r="S409" s="42"/>
      <c r="T409" s="42">
        <v>160424.04</v>
      </c>
      <c r="U409" s="42">
        <v>989.08</v>
      </c>
      <c r="V409" s="42">
        <v>777.11</v>
      </c>
      <c r="W409" s="42">
        <f t="shared" si="30"/>
        <v>1766.19</v>
      </c>
      <c r="X409" s="42">
        <v>30849.040000000001</v>
      </c>
      <c r="Y409" s="42">
        <v>2922.65</v>
      </c>
      <c r="Z409" s="32">
        <f t="shared" si="31"/>
        <v>33771.69</v>
      </c>
      <c r="AA409" s="42">
        <v>139036.21000000002</v>
      </c>
      <c r="AB409" s="42">
        <v>56375.520000000004</v>
      </c>
      <c r="AC409" s="32">
        <f t="shared" si="32"/>
        <v>195411.73000000004</v>
      </c>
      <c r="AD409" s="42">
        <v>1397.5</v>
      </c>
      <c r="AE409" s="42">
        <v>7682.630000000001</v>
      </c>
      <c r="AF409" s="32">
        <f t="shared" si="33"/>
        <v>9080.130000000001</v>
      </c>
      <c r="AG409" s="32">
        <v>11662.51</v>
      </c>
      <c r="AH409" s="32">
        <f>57090.57+22</f>
        <v>57112.57</v>
      </c>
      <c r="AI409" s="32">
        <f t="shared" si="34"/>
        <v>68775.08</v>
      </c>
      <c r="AJ409" s="42"/>
      <c r="AK409" s="42"/>
      <c r="AL409" s="42">
        <v>46048.6</v>
      </c>
      <c r="AM409" s="42"/>
      <c r="AN409" s="42"/>
      <c r="AO409" s="42"/>
      <c r="AP409" s="42"/>
      <c r="AQ409" s="42"/>
      <c r="AR409" s="42"/>
      <c r="AS409" s="42"/>
      <c r="AT409" s="42"/>
      <c r="AU409" s="42">
        <v>1310581.1299999999</v>
      </c>
      <c r="AV409" s="42"/>
      <c r="AW409" s="42"/>
      <c r="AX409" s="42">
        <v>41567.539999999994</v>
      </c>
      <c r="AY409" s="42">
        <v>6681336.4000000004</v>
      </c>
      <c r="AZ409" s="42">
        <v>1018940</v>
      </c>
      <c r="BA409" s="43">
        <f t="shared" si="27"/>
        <v>7700276.4000000004</v>
      </c>
      <c r="BB409" s="42"/>
      <c r="BC409" s="42"/>
      <c r="BD409" s="42">
        <v>1572737.1333333333</v>
      </c>
      <c r="BE409" s="88">
        <v>0</v>
      </c>
      <c r="BF409" s="88">
        <v>0</v>
      </c>
      <c r="BG409" s="88">
        <v>48</v>
      </c>
      <c r="BH409" s="88">
        <v>0</v>
      </c>
      <c r="BI409" s="88">
        <v>0</v>
      </c>
      <c r="BJ409" s="88">
        <v>0</v>
      </c>
      <c r="BK409" s="88">
        <v>0</v>
      </c>
      <c r="BL409" s="88">
        <v>0</v>
      </c>
      <c r="BM409" s="88">
        <v>103.01</v>
      </c>
      <c r="BN409" s="88">
        <v>0</v>
      </c>
      <c r="BO409" s="88">
        <v>0</v>
      </c>
      <c r="BP409" s="88">
        <v>0</v>
      </c>
      <c r="BQ409" s="88">
        <v>0</v>
      </c>
      <c r="BR409" s="88">
        <v>0</v>
      </c>
      <c r="BS409" s="88">
        <v>113</v>
      </c>
      <c r="BT409" s="88">
        <v>0</v>
      </c>
      <c r="BU409" s="88">
        <v>0</v>
      </c>
      <c r="BV409" s="88">
        <v>0</v>
      </c>
      <c r="BW409" s="88"/>
      <c r="BX409" s="88"/>
      <c r="BY409" s="88"/>
      <c r="BZ409" s="88">
        <v>0</v>
      </c>
      <c r="CA409" s="88">
        <v>0</v>
      </c>
      <c r="CB409" s="88">
        <v>222</v>
      </c>
      <c r="CC409" s="88"/>
      <c r="CD409" s="88"/>
      <c r="CE409" s="88"/>
      <c r="CF409" s="88">
        <v>0</v>
      </c>
      <c r="CG409" s="88">
        <v>0</v>
      </c>
      <c r="CH409" s="88">
        <v>2</v>
      </c>
      <c r="CI409" s="88">
        <v>0</v>
      </c>
      <c r="CJ409" s="88">
        <v>0</v>
      </c>
      <c r="CK409" s="88">
        <v>18</v>
      </c>
      <c r="CL409" s="88">
        <v>0</v>
      </c>
      <c r="CM409" s="88">
        <v>0</v>
      </c>
      <c r="CN409" s="88">
        <v>0</v>
      </c>
      <c r="CO409" s="88">
        <v>0</v>
      </c>
      <c r="CP409" s="88">
        <v>0</v>
      </c>
      <c r="CQ409" s="88">
        <v>14</v>
      </c>
      <c r="CR409" s="88">
        <v>0</v>
      </c>
      <c r="CS409" s="88">
        <v>0</v>
      </c>
      <c r="CT409" s="88">
        <v>0</v>
      </c>
      <c r="CU409" s="88">
        <v>0</v>
      </c>
      <c r="CV409" s="88">
        <v>0</v>
      </c>
      <c r="CW409" s="88">
        <v>291</v>
      </c>
      <c r="CX409" s="88">
        <v>0</v>
      </c>
      <c r="CY409" s="88">
        <v>0</v>
      </c>
      <c r="CZ409" s="88">
        <v>0</v>
      </c>
      <c r="DA409" s="88">
        <v>0</v>
      </c>
      <c r="DB409" s="88">
        <v>0</v>
      </c>
      <c r="DC409" s="88">
        <v>0</v>
      </c>
      <c r="DD409" s="88">
        <v>0</v>
      </c>
      <c r="DE409" s="88">
        <v>0</v>
      </c>
      <c r="DF409" s="88">
        <v>0</v>
      </c>
      <c r="DG409" s="88">
        <v>0</v>
      </c>
      <c r="DH409" s="88">
        <v>0</v>
      </c>
      <c r="DI409" s="88">
        <v>3</v>
      </c>
      <c r="DJ409" s="88">
        <v>0</v>
      </c>
      <c r="DK409" s="88">
        <v>0</v>
      </c>
      <c r="DL409" s="88">
        <v>0</v>
      </c>
      <c r="DM409" s="88">
        <v>0</v>
      </c>
      <c r="DN409" s="88">
        <v>0</v>
      </c>
      <c r="DO409" s="88">
        <v>0</v>
      </c>
      <c r="DP409" s="88">
        <v>0</v>
      </c>
      <c r="DQ409" s="88">
        <v>0</v>
      </c>
      <c r="DR409" s="113">
        <v>0</v>
      </c>
      <c r="DS409" s="87">
        <v>0</v>
      </c>
      <c r="DT409" s="87">
        <v>0</v>
      </c>
      <c r="DU409" s="87">
        <v>330</v>
      </c>
      <c r="DV409" s="87">
        <v>0</v>
      </c>
      <c r="DW409" s="87">
        <v>0</v>
      </c>
      <c r="DX409" s="87">
        <v>0</v>
      </c>
      <c r="DY409" s="88">
        <v>0</v>
      </c>
      <c r="DZ409" s="88">
        <v>0</v>
      </c>
      <c r="EA409" s="88">
        <v>773</v>
      </c>
      <c r="EB409" s="88">
        <v>0</v>
      </c>
      <c r="EC409" s="88">
        <v>0</v>
      </c>
      <c r="ED409" s="88">
        <v>0</v>
      </c>
      <c r="EE409" s="88">
        <v>0</v>
      </c>
      <c r="EF409" s="88">
        <v>0</v>
      </c>
      <c r="EG409" s="115">
        <v>35</v>
      </c>
      <c r="EH409" s="88">
        <v>0</v>
      </c>
      <c r="EI409" s="88">
        <v>0</v>
      </c>
      <c r="EJ409" s="88">
        <v>11</v>
      </c>
      <c r="EK409" s="88">
        <v>0</v>
      </c>
      <c r="EL409" s="88">
        <v>0</v>
      </c>
      <c r="EM409" s="115">
        <v>3</v>
      </c>
      <c r="EN409" s="88">
        <v>0</v>
      </c>
      <c r="EO409" s="88">
        <v>0</v>
      </c>
      <c r="EP409" s="88">
        <v>35</v>
      </c>
      <c r="EQ409" s="88">
        <v>0</v>
      </c>
      <c r="ER409" s="88">
        <v>0</v>
      </c>
      <c r="ES409" s="88">
        <v>32</v>
      </c>
      <c r="ET409" s="88">
        <v>0</v>
      </c>
      <c r="EU409" s="88">
        <v>0</v>
      </c>
      <c r="EV409" s="88">
        <v>2</v>
      </c>
      <c r="EW409" s="88">
        <v>0</v>
      </c>
      <c r="EX409" s="88">
        <v>0</v>
      </c>
      <c r="EY409" s="88">
        <v>5</v>
      </c>
      <c r="EZ409" s="88">
        <v>0</v>
      </c>
      <c r="FA409" s="88">
        <v>0</v>
      </c>
      <c r="FB409" s="88">
        <v>0</v>
      </c>
      <c r="FC409" s="88">
        <v>0</v>
      </c>
      <c r="FD409" s="88">
        <v>0</v>
      </c>
      <c r="FE409" s="88">
        <v>3</v>
      </c>
      <c r="FF409" s="88">
        <v>0</v>
      </c>
      <c r="FG409" s="88">
        <v>0</v>
      </c>
      <c r="FH409" s="88">
        <v>0</v>
      </c>
      <c r="FI409" s="88">
        <v>0</v>
      </c>
      <c r="FJ409" s="88">
        <v>0</v>
      </c>
      <c r="FK409" s="32">
        <v>126</v>
      </c>
      <c r="FL409" s="88">
        <v>0</v>
      </c>
      <c r="FM409" s="88">
        <v>0</v>
      </c>
      <c r="FN409" s="88">
        <v>2165</v>
      </c>
      <c r="FO409" s="88">
        <v>0</v>
      </c>
      <c r="FP409" s="88">
        <v>0</v>
      </c>
      <c r="FQ409" s="88">
        <v>326</v>
      </c>
      <c r="FR409" s="88">
        <v>0</v>
      </c>
      <c r="FS409" s="88">
        <v>0</v>
      </c>
      <c r="FT409" s="88">
        <v>0</v>
      </c>
      <c r="FU409" s="88">
        <v>0</v>
      </c>
      <c r="FV409" s="88">
        <v>0</v>
      </c>
      <c r="FW409" s="88">
        <v>46</v>
      </c>
      <c r="FX409" s="32">
        <v>0</v>
      </c>
      <c r="FY409" s="32">
        <v>0</v>
      </c>
      <c r="FZ409" s="32">
        <v>1737</v>
      </c>
    </row>
    <row r="410" spans="1:182" s="22" customFormat="1" x14ac:dyDescent="0.2">
      <c r="A410" s="41">
        <v>44044</v>
      </c>
      <c r="B410" s="100">
        <f t="shared" si="35"/>
        <v>70047871.199999988</v>
      </c>
      <c r="C410" s="42">
        <v>58603.15</v>
      </c>
      <c r="D410" s="42">
        <v>323486.57999999996</v>
      </c>
      <c r="E410" s="43">
        <f t="shared" si="29"/>
        <v>382089.73</v>
      </c>
      <c r="F410" s="42">
        <v>4517701.9800000004</v>
      </c>
      <c r="G410" s="42">
        <v>2097900.02</v>
      </c>
      <c r="H410" s="32">
        <f t="shared" si="28"/>
        <v>6615602</v>
      </c>
      <c r="I410" s="42"/>
      <c r="J410" s="42"/>
      <c r="K410" s="98">
        <v>15792279.140000001</v>
      </c>
      <c r="L410" s="42"/>
      <c r="M410" s="42"/>
      <c r="N410" s="98">
        <v>22518693.389999993</v>
      </c>
      <c r="O410" s="42"/>
      <c r="P410" s="42"/>
      <c r="Q410" s="98">
        <v>24273414.699999999</v>
      </c>
      <c r="R410" s="42"/>
      <c r="S410" s="42"/>
      <c r="T410" s="42">
        <v>162364.54</v>
      </c>
      <c r="U410" s="42">
        <v>1775.79</v>
      </c>
      <c r="V410" s="42">
        <v>1411.9099999999999</v>
      </c>
      <c r="W410" s="42">
        <f t="shared" si="30"/>
        <v>3187.7</v>
      </c>
      <c r="X410" s="42">
        <v>48263.9</v>
      </c>
      <c r="Y410" s="42">
        <v>3536.65</v>
      </c>
      <c r="Z410" s="32">
        <f t="shared" si="31"/>
        <v>51800.55</v>
      </c>
      <c r="AA410" s="42">
        <v>67183.37</v>
      </c>
      <c r="AB410" s="42">
        <v>45655.86</v>
      </c>
      <c r="AC410" s="32">
        <f t="shared" si="32"/>
        <v>112839.23</v>
      </c>
      <c r="AD410" s="42">
        <v>1643.29</v>
      </c>
      <c r="AE410" s="42">
        <v>4822.01</v>
      </c>
      <c r="AF410" s="32">
        <f t="shared" si="33"/>
        <v>6465.3</v>
      </c>
      <c r="AG410" s="32">
        <v>22493.19</v>
      </c>
      <c r="AH410" s="32">
        <v>53562.87999999999</v>
      </c>
      <c r="AI410" s="32">
        <f t="shared" si="34"/>
        <v>76056.069999999992</v>
      </c>
      <c r="AJ410" s="42"/>
      <c r="AK410" s="42"/>
      <c r="AL410" s="42">
        <v>53078.85</v>
      </c>
      <c r="AM410" s="42"/>
      <c r="AN410" s="42"/>
      <c r="AO410" s="42"/>
      <c r="AP410" s="42"/>
      <c r="AQ410" s="42"/>
      <c r="AR410" s="42"/>
      <c r="AS410" s="42"/>
      <c r="AT410" s="42"/>
      <c r="AU410" s="42">
        <v>1368584.56</v>
      </c>
      <c r="AV410" s="42"/>
      <c r="AW410" s="42"/>
      <c r="AX410" s="42">
        <v>30729.53</v>
      </c>
      <c r="AY410" s="42">
        <v>6522295.0999999996</v>
      </c>
      <c r="AZ410" s="42">
        <v>1378154</v>
      </c>
      <c r="BA410" s="43">
        <f t="shared" si="27"/>
        <v>7900449.0999999996</v>
      </c>
      <c r="BB410" s="42"/>
      <c r="BC410" s="42"/>
      <c r="BD410" s="42">
        <v>1591478.5555555555</v>
      </c>
      <c r="BE410" s="88">
        <v>0</v>
      </c>
      <c r="BF410" s="88">
        <v>0</v>
      </c>
      <c r="BG410" s="88">
        <v>47</v>
      </c>
      <c r="BH410" s="88">
        <v>0</v>
      </c>
      <c r="BI410" s="88">
        <v>0</v>
      </c>
      <c r="BJ410" s="88">
        <v>0</v>
      </c>
      <c r="BK410" s="88">
        <v>0</v>
      </c>
      <c r="BL410" s="88">
        <v>0</v>
      </c>
      <c r="BM410" s="88">
        <v>163</v>
      </c>
      <c r="BN410" s="88">
        <v>0</v>
      </c>
      <c r="BO410" s="88">
        <v>0</v>
      </c>
      <c r="BP410" s="88">
        <v>0</v>
      </c>
      <c r="BQ410" s="88">
        <v>0</v>
      </c>
      <c r="BR410" s="88">
        <v>0</v>
      </c>
      <c r="BS410" s="88">
        <v>181</v>
      </c>
      <c r="BT410" s="88">
        <v>0</v>
      </c>
      <c r="BU410" s="88">
        <v>0</v>
      </c>
      <c r="BV410" s="88">
        <v>0</v>
      </c>
      <c r="BW410" s="88"/>
      <c r="BX410" s="88"/>
      <c r="BY410" s="88"/>
      <c r="BZ410" s="88">
        <v>0</v>
      </c>
      <c r="CA410" s="88">
        <v>0</v>
      </c>
      <c r="CB410" s="88">
        <v>254</v>
      </c>
      <c r="CC410" s="88"/>
      <c r="CD410" s="88"/>
      <c r="CE410" s="88"/>
      <c r="CF410" s="88">
        <v>0</v>
      </c>
      <c r="CG410" s="88">
        <v>0</v>
      </c>
      <c r="CH410" s="88">
        <v>8</v>
      </c>
      <c r="CI410" s="88">
        <v>0</v>
      </c>
      <c r="CJ410" s="88">
        <v>0</v>
      </c>
      <c r="CK410" s="88">
        <v>23</v>
      </c>
      <c r="CL410" s="88">
        <v>0</v>
      </c>
      <c r="CM410" s="88">
        <v>0</v>
      </c>
      <c r="CN410" s="88">
        <v>0</v>
      </c>
      <c r="CO410" s="88">
        <v>0</v>
      </c>
      <c r="CP410" s="88">
        <v>0</v>
      </c>
      <c r="CQ410" s="88">
        <v>7</v>
      </c>
      <c r="CR410" s="88">
        <v>0</v>
      </c>
      <c r="CS410" s="88">
        <v>0</v>
      </c>
      <c r="CT410" s="88">
        <v>0</v>
      </c>
      <c r="CU410" s="88">
        <v>0</v>
      </c>
      <c r="CV410" s="88">
        <v>0</v>
      </c>
      <c r="CW410" s="88">
        <v>260</v>
      </c>
      <c r="CX410" s="88">
        <v>0</v>
      </c>
      <c r="CY410" s="88">
        <v>0</v>
      </c>
      <c r="CZ410" s="88">
        <v>1</v>
      </c>
      <c r="DA410" s="88">
        <v>0</v>
      </c>
      <c r="DB410" s="88">
        <v>0</v>
      </c>
      <c r="DC410" s="88">
        <v>0</v>
      </c>
      <c r="DD410" s="88">
        <v>0</v>
      </c>
      <c r="DE410" s="88">
        <v>0</v>
      </c>
      <c r="DF410" s="88">
        <v>0</v>
      </c>
      <c r="DG410" s="88">
        <v>0</v>
      </c>
      <c r="DH410" s="88">
        <v>0</v>
      </c>
      <c r="DI410" s="88">
        <v>5</v>
      </c>
      <c r="DJ410" s="88">
        <v>0</v>
      </c>
      <c r="DK410" s="88">
        <v>0</v>
      </c>
      <c r="DL410" s="88">
        <v>0</v>
      </c>
      <c r="DM410" s="88">
        <v>0</v>
      </c>
      <c r="DN410" s="88">
        <v>0</v>
      </c>
      <c r="DO410" s="88">
        <v>0</v>
      </c>
      <c r="DP410" s="88">
        <v>0</v>
      </c>
      <c r="DQ410" s="88">
        <v>0</v>
      </c>
      <c r="DR410" s="113">
        <v>0</v>
      </c>
      <c r="DS410" s="87">
        <v>0</v>
      </c>
      <c r="DT410" s="87">
        <v>0</v>
      </c>
      <c r="DU410" s="87">
        <v>137</v>
      </c>
      <c r="DV410" s="87">
        <v>0</v>
      </c>
      <c r="DW410" s="87">
        <v>0</v>
      </c>
      <c r="DX410" s="87">
        <v>0</v>
      </c>
      <c r="DY410" s="88">
        <v>0</v>
      </c>
      <c r="DZ410" s="88">
        <v>0</v>
      </c>
      <c r="EA410" s="88">
        <v>872</v>
      </c>
      <c r="EB410" s="88">
        <v>0</v>
      </c>
      <c r="EC410" s="88">
        <v>0</v>
      </c>
      <c r="ED410" s="88">
        <v>0</v>
      </c>
      <c r="EE410" s="88">
        <v>0</v>
      </c>
      <c r="EF410" s="88">
        <v>0</v>
      </c>
      <c r="EG410" s="88">
        <v>546.91</v>
      </c>
      <c r="EH410" s="88">
        <v>0</v>
      </c>
      <c r="EI410" s="88">
        <v>0</v>
      </c>
      <c r="EJ410" s="88">
        <v>2</v>
      </c>
      <c r="EK410" s="88">
        <v>0</v>
      </c>
      <c r="EL410" s="88">
        <v>0</v>
      </c>
      <c r="EM410" s="88">
        <v>712</v>
      </c>
      <c r="EN410" s="88">
        <v>0</v>
      </c>
      <c r="EO410" s="88">
        <v>0</v>
      </c>
      <c r="EP410" s="88">
        <v>38</v>
      </c>
      <c r="EQ410" s="88">
        <v>0</v>
      </c>
      <c r="ER410" s="88">
        <v>0</v>
      </c>
      <c r="ES410" s="88">
        <v>27</v>
      </c>
      <c r="ET410" s="88">
        <v>0</v>
      </c>
      <c r="EU410" s="88">
        <v>0</v>
      </c>
      <c r="EV410" s="88">
        <v>0</v>
      </c>
      <c r="EW410" s="88">
        <v>0</v>
      </c>
      <c r="EX410" s="88">
        <v>0</v>
      </c>
      <c r="EY410" s="88">
        <v>9</v>
      </c>
      <c r="EZ410" s="88">
        <v>0</v>
      </c>
      <c r="FA410" s="88">
        <v>0</v>
      </c>
      <c r="FB410" s="88">
        <v>3</v>
      </c>
      <c r="FC410" s="88">
        <v>0</v>
      </c>
      <c r="FD410" s="88">
        <v>0</v>
      </c>
      <c r="FE410" s="88">
        <v>5</v>
      </c>
      <c r="FF410" s="88">
        <v>0</v>
      </c>
      <c r="FG410" s="88">
        <v>0</v>
      </c>
      <c r="FH410" s="88">
        <v>0</v>
      </c>
      <c r="FI410" s="88">
        <v>0</v>
      </c>
      <c r="FJ410" s="88">
        <v>0</v>
      </c>
      <c r="FK410" s="32">
        <v>206</v>
      </c>
      <c r="FL410" s="88">
        <v>0</v>
      </c>
      <c r="FM410" s="88">
        <v>0</v>
      </c>
      <c r="FN410" s="88">
        <v>2270</v>
      </c>
      <c r="FO410" s="88">
        <v>0</v>
      </c>
      <c r="FP410" s="88">
        <v>0</v>
      </c>
      <c r="FQ410" s="88">
        <v>250</v>
      </c>
      <c r="FR410" s="88">
        <v>0</v>
      </c>
      <c r="FS410" s="88">
        <v>0</v>
      </c>
      <c r="FT410" s="88">
        <v>0</v>
      </c>
      <c r="FU410" s="88">
        <v>0</v>
      </c>
      <c r="FV410" s="88">
        <v>0</v>
      </c>
      <c r="FW410" s="88">
        <v>106</v>
      </c>
      <c r="FX410" s="32">
        <v>0</v>
      </c>
      <c r="FY410" s="32">
        <v>0</v>
      </c>
      <c r="FZ410" s="32">
        <v>1143</v>
      </c>
    </row>
    <row r="411" spans="1:182" s="22" customFormat="1" x14ac:dyDescent="0.2">
      <c r="A411" s="41">
        <v>44075</v>
      </c>
      <c r="B411" s="100">
        <f t="shared" si="35"/>
        <v>84013998.339999989</v>
      </c>
      <c r="C411" s="42">
        <v>49886.319999999992</v>
      </c>
      <c r="D411" s="42">
        <v>314470.84000000003</v>
      </c>
      <c r="E411" s="43">
        <f t="shared" si="29"/>
        <v>364357.16000000003</v>
      </c>
      <c r="F411" s="42">
        <v>4862455.05</v>
      </c>
      <c r="G411" s="42">
        <v>2782028.3100000005</v>
      </c>
      <c r="H411" s="32">
        <f t="shared" si="28"/>
        <v>7644483.3600000003</v>
      </c>
      <c r="I411" s="42"/>
      <c r="J411" s="42"/>
      <c r="K411" s="98">
        <v>25550592.080000002</v>
      </c>
      <c r="L411" s="42"/>
      <c r="M411" s="42"/>
      <c r="N411" s="98">
        <v>22333385.519999996</v>
      </c>
      <c r="O411" s="42"/>
      <c r="P411" s="42"/>
      <c r="Q411" s="98">
        <v>27590559.079999998</v>
      </c>
      <c r="R411" s="42"/>
      <c r="S411" s="42"/>
      <c r="T411" s="42">
        <v>182107.65000000002</v>
      </c>
      <c r="U411" s="42">
        <v>2112.81</v>
      </c>
      <c r="V411" s="42">
        <v>2357.67</v>
      </c>
      <c r="W411" s="42">
        <f t="shared" si="30"/>
        <v>4470.4799999999996</v>
      </c>
      <c r="X411" s="42">
        <v>49747.51</v>
      </c>
      <c r="Y411" s="42">
        <v>2697.95</v>
      </c>
      <c r="Z411" s="32">
        <f t="shared" si="31"/>
        <v>52445.46</v>
      </c>
      <c r="AA411" s="42">
        <v>60407.71</v>
      </c>
      <c r="AB411" s="42">
        <v>58383.340000000004</v>
      </c>
      <c r="AC411" s="32">
        <f t="shared" si="32"/>
        <v>118791.05</v>
      </c>
      <c r="AD411" s="42">
        <v>2176.62</v>
      </c>
      <c r="AE411" s="42">
        <v>11822.810000000001</v>
      </c>
      <c r="AF411" s="32">
        <f t="shared" si="33"/>
        <v>13999.43</v>
      </c>
      <c r="AG411" s="32">
        <v>16764.379999999997</v>
      </c>
      <c r="AH411" s="32">
        <v>61940.44</v>
      </c>
      <c r="AI411" s="32">
        <f t="shared" si="34"/>
        <v>78704.820000000007</v>
      </c>
      <c r="AJ411" s="42"/>
      <c r="AK411" s="42"/>
      <c r="AL411" s="42">
        <v>80102.25</v>
      </c>
      <c r="AM411" s="42"/>
      <c r="AN411" s="42"/>
      <c r="AO411" s="42"/>
      <c r="AP411" s="42"/>
      <c r="AQ411" s="42"/>
      <c r="AR411" s="42"/>
      <c r="AS411" s="42"/>
      <c r="AT411" s="42"/>
      <c r="AU411" s="42">
        <v>1446875.6899999997</v>
      </c>
      <c r="AV411" s="42"/>
      <c r="AW411" s="42"/>
      <c r="AX411" s="42">
        <v>45375.98</v>
      </c>
      <c r="AY411" s="42">
        <v>6355366</v>
      </c>
      <c r="AZ411" s="42">
        <v>1281910</v>
      </c>
      <c r="BA411" s="43">
        <f t="shared" si="27"/>
        <v>7637276</v>
      </c>
      <c r="BB411" s="42"/>
      <c r="BC411" s="42"/>
      <c r="BD411" s="42">
        <v>1573112.2222222222</v>
      </c>
      <c r="BE411" s="88">
        <v>0</v>
      </c>
      <c r="BF411" s="88">
        <v>0</v>
      </c>
      <c r="BG411" s="88">
        <v>60</v>
      </c>
      <c r="BH411" s="88">
        <v>0</v>
      </c>
      <c r="BI411" s="88">
        <v>0</v>
      </c>
      <c r="BJ411" s="88">
        <v>0</v>
      </c>
      <c r="BK411" s="88">
        <v>0</v>
      </c>
      <c r="BL411" s="88">
        <v>0</v>
      </c>
      <c r="BM411" s="88">
        <v>146</v>
      </c>
      <c r="BN411" s="88">
        <v>0</v>
      </c>
      <c r="BO411" s="88">
        <v>0</v>
      </c>
      <c r="BP411" s="88">
        <v>5</v>
      </c>
      <c r="BQ411" s="88">
        <v>0</v>
      </c>
      <c r="BR411" s="88">
        <v>0</v>
      </c>
      <c r="BS411" s="88">
        <v>208</v>
      </c>
      <c r="BT411" s="88">
        <v>0</v>
      </c>
      <c r="BU411" s="88">
        <v>0</v>
      </c>
      <c r="BV411" s="88">
        <v>0</v>
      </c>
      <c r="BW411" s="88"/>
      <c r="BX411" s="88"/>
      <c r="BY411" s="88"/>
      <c r="BZ411" s="88">
        <v>0</v>
      </c>
      <c r="CA411" s="88">
        <v>0</v>
      </c>
      <c r="CB411" s="88">
        <v>219</v>
      </c>
      <c r="CC411" s="88"/>
      <c r="CD411" s="88"/>
      <c r="CE411" s="88"/>
      <c r="CF411" s="88">
        <v>0</v>
      </c>
      <c r="CG411" s="88">
        <v>0</v>
      </c>
      <c r="CH411" s="88">
        <v>2</v>
      </c>
      <c r="CI411" s="88">
        <v>0</v>
      </c>
      <c r="CJ411" s="88">
        <v>0</v>
      </c>
      <c r="CK411" s="88">
        <v>25</v>
      </c>
      <c r="CL411" s="88">
        <v>0</v>
      </c>
      <c r="CM411" s="88">
        <v>0</v>
      </c>
      <c r="CN411" s="88">
        <v>1</v>
      </c>
      <c r="CO411" s="88">
        <v>0</v>
      </c>
      <c r="CP411" s="88">
        <v>0</v>
      </c>
      <c r="CQ411" s="88">
        <v>2</v>
      </c>
      <c r="CR411" s="88">
        <v>0</v>
      </c>
      <c r="CS411" s="88">
        <v>0</v>
      </c>
      <c r="CT411" s="88">
        <v>0</v>
      </c>
      <c r="CU411" s="88">
        <v>0</v>
      </c>
      <c r="CV411" s="88">
        <v>0</v>
      </c>
      <c r="CW411" s="88">
        <v>185.99</v>
      </c>
      <c r="CX411" s="88">
        <v>0</v>
      </c>
      <c r="CY411" s="88">
        <v>0</v>
      </c>
      <c r="CZ411" s="88">
        <v>1</v>
      </c>
      <c r="DA411" s="88">
        <v>0</v>
      </c>
      <c r="DB411" s="88">
        <v>0</v>
      </c>
      <c r="DC411" s="88">
        <v>0</v>
      </c>
      <c r="DD411" s="88">
        <v>0</v>
      </c>
      <c r="DE411" s="88">
        <v>0</v>
      </c>
      <c r="DF411" s="88">
        <v>0</v>
      </c>
      <c r="DG411" s="88">
        <v>0</v>
      </c>
      <c r="DH411" s="88">
        <v>0</v>
      </c>
      <c r="DI411" s="88">
        <v>5</v>
      </c>
      <c r="DJ411" s="88">
        <v>0</v>
      </c>
      <c r="DK411" s="88">
        <v>0</v>
      </c>
      <c r="DL411" s="88">
        <v>0</v>
      </c>
      <c r="DM411" s="88">
        <v>0</v>
      </c>
      <c r="DN411" s="88">
        <v>0</v>
      </c>
      <c r="DO411" s="88">
        <v>0</v>
      </c>
      <c r="DP411" s="88">
        <v>0</v>
      </c>
      <c r="DQ411" s="88">
        <v>0</v>
      </c>
      <c r="DR411" s="113">
        <v>0</v>
      </c>
      <c r="DS411" s="87">
        <v>0</v>
      </c>
      <c r="DT411" s="87">
        <v>0</v>
      </c>
      <c r="DU411" s="87">
        <v>92</v>
      </c>
      <c r="DV411" s="87">
        <v>0</v>
      </c>
      <c r="DW411" s="87">
        <v>0</v>
      </c>
      <c r="DX411" s="87">
        <v>0</v>
      </c>
      <c r="DY411" s="88">
        <v>0</v>
      </c>
      <c r="DZ411" s="88">
        <v>0</v>
      </c>
      <c r="EA411" s="88">
        <v>804</v>
      </c>
      <c r="EB411" s="88">
        <v>0</v>
      </c>
      <c r="EC411" s="88">
        <v>0</v>
      </c>
      <c r="ED411" s="88">
        <v>0</v>
      </c>
      <c r="EE411" s="88">
        <v>0</v>
      </c>
      <c r="EF411" s="88">
        <v>0</v>
      </c>
      <c r="EG411" s="88">
        <v>721</v>
      </c>
      <c r="EH411" s="88">
        <v>0</v>
      </c>
      <c r="EI411" s="88">
        <v>0</v>
      </c>
      <c r="EJ411" s="88">
        <v>33</v>
      </c>
      <c r="EK411" s="88">
        <v>0</v>
      </c>
      <c r="EL411" s="88">
        <v>0</v>
      </c>
      <c r="EM411" s="88">
        <v>729</v>
      </c>
      <c r="EN411" s="88">
        <v>0</v>
      </c>
      <c r="EO411" s="88">
        <v>0</v>
      </c>
      <c r="EP411" s="88">
        <v>33</v>
      </c>
      <c r="EQ411" s="88">
        <v>0</v>
      </c>
      <c r="ER411" s="88">
        <v>0</v>
      </c>
      <c r="ES411" s="88">
        <v>24</v>
      </c>
      <c r="ET411" s="88">
        <v>0</v>
      </c>
      <c r="EU411" s="88">
        <v>0</v>
      </c>
      <c r="EV411" s="88">
        <v>12</v>
      </c>
      <c r="EW411" s="88">
        <v>0</v>
      </c>
      <c r="EX411" s="88">
        <v>0</v>
      </c>
      <c r="EY411" s="88">
        <v>5</v>
      </c>
      <c r="EZ411" s="88">
        <v>0</v>
      </c>
      <c r="FA411" s="88">
        <v>0</v>
      </c>
      <c r="FB411" s="88">
        <v>0</v>
      </c>
      <c r="FC411" s="88">
        <v>0</v>
      </c>
      <c r="FD411" s="88">
        <v>0</v>
      </c>
      <c r="FE411" s="88">
        <v>3</v>
      </c>
      <c r="FF411" s="88">
        <v>0</v>
      </c>
      <c r="FG411" s="88">
        <v>0</v>
      </c>
      <c r="FH411" s="88">
        <v>0</v>
      </c>
      <c r="FI411" s="88">
        <v>0</v>
      </c>
      <c r="FJ411" s="88">
        <v>0</v>
      </c>
      <c r="FK411" s="32">
        <v>120</v>
      </c>
      <c r="FL411" s="88">
        <v>0</v>
      </c>
      <c r="FM411" s="88">
        <v>0</v>
      </c>
      <c r="FN411" s="88">
        <v>2706</v>
      </c>
      <c r="FO411" s="88">
        <v>0</v>
      </c>
      <c r="FP411" s="88">
        <v>0</v>
      </c>
      <c r="FQ411" s="88">
        <v>278</v>
      </c>
      <c r="FR411" s="88">
        <v>0</v>
      </c>
      <c r="FS411" s="88">
        <v>0</v>
      </c>
      <c r="FT411" s="88">
        <v>0</v>
      </c>
      <c r="FU411" s="88">
        <v>0</v>
      </c>
      <c r="FV411" s="88">
        <v>0</v>
      </c>
      <c r="FW411" s="88">
        <v>150</v>
      </c>
      <c r="FX411" s="32">
        <v>0</v>
      </c>
      <c r="FY411" s="32">
        <v>0</v>
      </c>
      <c r="FZ411" s="32">
        <v>748</v>
      </c>
    </row>
    <row r="412" spans="1:182" s="22" customFormat="1" x14ac:dyDescent="0.2">
      <c r="A412" s="41">
        <v>44105</v>
      </c>
      <c r="B412" s="100">
        <f t="shared" si="35"/>
        <v>88855164.279999986</v>
      </c>
      <c r="C412" s="42">
        <v>53057.13</v>
      </c>
      <c r="D412" s="42">
        <v>411436.72</v>
      </c>
      <c r="E412" s="43">
        <f t="shared" si="29"/>
        <v>464493.85</v>
      </c>
      <c r="F412" s="42">
        <v>6037165.5399999991</v>
      </c>
      <c r="G412" s="42">
        <v>3352976.9600000004</v>
      </c>
      <c r="H412" s="32">
        <f t="shared" si="28"/>
        <v>9390142.5</v>
      </c>
      <c r="I412" s="42"/>
      <c r="J412" s="42"/>
      <c r="K412" s="98">
        <v>21824699.839999996</v>
      </c>
      <c r="L412" s="42"/>
      <c r="M412" s="42"/>
      <c r="N412" s="98">
        <v>26102159.809999999</v>
      </c>
      <c r="O412" s="42"/>
      <c r="P412" s="42"/>
      <c r="Q412" s="98">
        <v>30496412.02</v>
      </c>
      <c r="R412" s="42"/>
      <c r="S412" s="42"/>
      <c r="T412" s="42">
        <v>178180.12</v>
      </c>
      <c r="U412" s="42">
        <v>1745.5</v>
      </c>
      <c r="V412" s="42">
        <v>9150.6299999999992</v>
      </c>
      <c r="W412" s="42">
        <f t="shared" si="30"/>
        <v>10896.13</v>
      </c>
      <c r="X412" s="42">
        <v>96383.67</v>
      </c>
      <c r="Y412" s="42">
        <v>1648.7</v>
      </c>
      <c r="Z412" s="32">
        <f t="shared" si="31"/>
        <v>98032.37</v>
      </c>
      <c r="AA412" s="42">
        <v>56982.049999999996</v>
      </c>
      <c r="AB412" s="42">
        <v>55788.27</v>
      </c>
      <c r="AC412" s="32">
        <f t="shared" si="32"/>
        <v>112770.31999999999</v>
      </c>
      <c r="AD412" s="42">
        <v>2680.89</v>
      </c>
      <c r="AE412" s="42">
        <v>19068.129999999997</v>
      </c>
      <c r="AF412" s="32">
        <f t="shared" si="33"/>
        <v>21749.019999999997</v>
      </c>
      <c r="AG412" s="32">
        <v>8400.5</v>
      </c>
      <c r="AH412" s="32">
        <v>68988.699999999983</v>
      </c>
      <c r="AI412" s="32">
        <f t="shared" si="34"/>
        <v>77389.199999999983</v>
      </c>
      <c r="AJ412" s="42"/>
      <c r="AK412" s="42"/>
      <c r="AL412" s="42">
        <v>78239.100000000006</v>
      </c>
      <c r="AM412" s="42"/>
      <c r="AN412" s="42"/>
      <c r="AO412" s="42"/>
      <c r="AP412" s="42"/>
      <c r="AQ412" s="42"/>
      <c r="AR412" s="42"/>
      <c r="AS412" s="42"/>
      <c r="AT412" s="42"/>
      <c r="AU412" s="42">
        <v>1343507.3300000005</v>
      </c>
      <c r="AV412" s="42"/>
      <c r="AW412" s="42"/>
      <c r="AX412" s="42">
        <v>36278.69</v>
      </c>
      <c r="AY412" s="42">
        <v>7381821.7999999998</v>
      </c>
      <c r="AZ412" s="42">
        <v>1225800</v>
      </c>
      <c r="BA412" s="43">
        <f t="shared" si="27"/>
        <v>8607621.8000000007</v>
      </c>
      <c r="BB412" s="42"/>
      <c r="BC412" s="42"/>
      <c r="BD412" s="42">
        <v>1722533.4888888889</v>
      </c>
      <c r="BE412" s="88">
        <v>0</v>
      </c>
      <c r="BF412" s="88">
        <v>0</v>
      </c>
      <c r="BG412" s="88">
        <v>59</v>
      </c>
      <c r="BH412" s="88">
        <v>0</v>
      </c>
      <c r="BI412" s="88">
        <v>0</v>
      </c>
      <c r="BJ412" s="88">
        <v>0</v>
      </c>
      <c r="BK412" s="88">
        <v>0</v>
      </c>
      <c r="BL412" s="88">
        <v>0</v>
      </c>
      <c r="BM412" s="88">
        <v>136</v>
      </c>
      <c r="BN412" s="88">
        <v>0</v>
      </c>
      <c r="BO412" s="88">
        <v>0</v>
      </c>
      <c r="BP412" s="88">
        <v>0</v>
      </c>
      <c r="BQ412" s="88">
        <v>0</v>
      </c>
      <c r="BR412" s="88">
        <v>0</v>
      </c>
      <c r="BS412" s="88">
        <v>56</v>
      </c>
      <c r="BT412" s="88">
        <v>0</v>
      </c>
      <c r="BU412" s="88">
        <v>0</v>
      </c>
      <c r="BV412" s="88">
        <v>0</v>
      </c>
      <c r="BW412" s="88"/>
      <c r="BX412" s="88"/>
      <c r="BY412" s="88"/>
      <c r="BZ412" s="88">
        <v>0</v>
      </c>
      <c r="CA412" s="88">
        <v>0</v>
      </c>
      <c r="CB412" s="88">
        <v>235</v>
      </c>
      <c r="CC412" s="88"/>
      <c r="CD412" s="88"/>
      <c r="CE412" s="88"/>
      <c r="CF412" s="88">
        <v>0</v>
      </c>
      <c r="CG412" s="88">
        <v>0</v>
      </c>
      <c r="CH412" s="88">
        <v>1</v>
      </c>
      <c r="CI412" s="88">
        <v>0</v>
      </c>
      <c r="CJ412" s="88">
        <v>0</v>
      </c>
      <c r="CK412" s="88">
        <v>15</v>
      </c>
      <c r="CL412" s="88">
        <v>0</v>
      </c>
      <c r="CM412" s="88">
        <v>0</v>
      </c>
      <c r="CN412" s="88">
        <v>0</v>
      </c>
      <c r="CO412" s="88">
        <v>0</v>
      </c>
      <c r="CP412" s="88">
        <v>0</v>
      </c>
      <c r="CQ412" s="88">
        <v>4</v>
      </c>
      <c r="CR412" s="88">
        <v>0</v>
      </c>
      <c r="CS412" s="88">
        <v>0</v>
      </c>
      <c r="CT412" s="88">
        <v>0</v>
      </c>
      <c r="CU412" s="88">
        <v>0</v>
      </c>
      <c r="CV412" s="88">
        <v>0</v>
      </c>
      <c r="CW412" s="88">
        <v>299</v>
      </c>
      <c r="CX412" s="88">
        <v>0</v>
      </c>
      <c r="CY412" s="88">
        <v>0</v>
      </c>
      <c r="CZ412" s="88">
        <v>0</v>
      </c>
      <c r="DA412" s="88">
        <v>0</v>
      </c>
      <c r="DB412" s="88">
        <v>0</v>
      </c>
      <c r="DC412" s="88">
        <v>0</v>
      </c>
      <c r="DD412" s="88">
        <v>0</v>
      </c>
      <c r="DE412" s="88">
        <v>0</v>
      </c>
      <c r="DF412" s="88">
        <v>0</v>
      </c>
      <c r="DG412" s="88">
        <v>0</v>
      </c>
      <c r="DH412" s="88">
        <v>0</v>
      </c>
      <c r="DI412" s="88">
        <v>1</v>
      </c>
      <c r="DJ412" s="88">
        <v>0</v>
      </c>
      <c r="DK412" s="88">
        <v>0</v>
      </c>
      <c r="DL412" s="88">
        <v>0</v>
      </c>
      <c r="DM412" s="88">
        <v>0</v>
      </c>
      <c r="DN412" s="88">
        <v>0</v>
      </c>
      <c r="DO412" s="88">
        <v>0</v>
      </c>
      <c r="DP412" s="88">
        <v>0</v>
      </c>
      <c r="DQ412" s="88">
        <v>0</v>
      </c>
      <c r="DR412" s="113">
        <v>0</v>
      </c>
      <c r="DS412" s="87">
        <v>0</v>
      </c>
      <c r="DT412" s="87">
        <v>0</v>
      </c>
      <c r="DU412" s="87">
        <v>245</v>
      </c>
      <c r="DV412" s="87">
        <v>0</v>
      </c>
      <c r="DW412" s="87">
        <v>0</v>
      </c>
      <c r="DX412" s="87">
        <v>0</v>
      </c>
      <c r="DY412" s="88">
        <v>0</v>
      </c>
      <c r="DZ412" s="88">
        <v>0</v>
      </c>
      <c r="EA412" s="88">
        <v>1038</v>
      </c>
      <c r="EB412" s="88">
        <v>0</v>
      </c>
      <c r="EC412" s="88">
        <v>0</v>
      </c>
      <c r="ED412" s="88">
        <v>0</v>
      </c>
      <c r="EE412" s="88">
        <v>0</v>
      </c>
      <c r="EF412" s="88">
        <v>0</v>
      </c>
      <c r="EG412" s="88">
        <v>674</v>
      </c>
      <c r="EH412" s="88">
        <v>0</v>
      </c>
      <c r="EI412" s="88">
        <v>0</v>
      </c>
      <c r="EJ412" s="88">
        <v>5</v>
      </c>
      <c r="EK412" s="88">
        <v>0</v>
      </c>
      <c r="EL412" s="88">
        <v>0</v>
      </c>
      <c r="EM412" s="88">
        <v>720</v>
      </c>
      <c r="EN412" s="88">
        <v>0</v>
      </c>
      <c r="EO412" s="88">
        <v>0</v>
      </c>
      <c r="EP412" s="88">
        <v>20</v>
      </c>
      <c r="EQ412" s="88">
        <v>0</v>
      </c>
      <c r="ER412" s="88">
        <v>0</v>
      </c>
      <c r="ES412" s="88">
        <v>15</v>
      </c>
      <c r="ET412" s="88">
        <v>0</v>
      </c>
      <c r="EU412" s="88">
        <v>0</v>
      </c>
      <c r="EV412" s="88">
        <v>3</v>
      </c>
      <c r="EW412" s="88">
        <v>0</v>
      </c>
      <c r="EX412" s="88">
        <v>0</v>
      </c>
      <c r="EY412" s="88">
        <v>10</v>
      </c>
      <c r="EZ412" s="88">
        <v>0</v>
      </c>
      <c r="FA412" s="88">
        <v>0</v>
      </c>
      <c r="FB412" s="88">
        <v>0</v>
      </c>
      <c r="FC412" s="88">
        <v>0</v>
      </c>
      <c r="FD412" s="88">
        <v>0</v>
      </c>
      <c r="FE412" s="88">
        <v>11</v>
      </c>
      <c r="FF412" s="88">
        <v>0</v>
      </c>
      <c r="FG412" s="88">
        <v>0</v>
      </c>
      <c r="FH412" s="88">
        <v>0</v>
      </c>
      <c r="FI412" s="88">
        <v>0</v>
      </c>
      <c r="FJ412" s="88">
        <v>0</v>
      </c>
      <c r="FK412" s="32">
        <v>156</v>
      </c>
      <c r="FL412" s="88">
        <v>0</v>
      </c>
      <c r="FM412" s="88">
        <v>0</v>
      </c>
      <c r="FN412" s="88">
        <v>2843</v>
      </c>
      <c r="FO412" s="88">
        <v>0</v>
      </c>
      <c r="FP412" s="88">
        <v>0</v>
      </c>
      <c r="FQ412" s="88">
        <v>348</v>
      </c>
      <c r="FR412" s="88">
        <v>0</v>
      </c>
      <c r="FS412" s="88">
        <v>0</v>
      </c>
      <c r="FT412" s="88">
        <v>0</v>
      </c>
      <c r="FU412" s="88">
        <v>0</v>
      </c>
      <c r="FV412" s="88">
        <v>0</v>
      </c>
      <c r="FW412" s="88">
        <v>183</v>
      </c>
      <c r="FX412" s="32">
        <v>0</v>
      </c>
      <c r="FY412" s="32">
        <v>0</v>
      </c>
      <c r="FZ412" s="32">
        <v>4067</v>
      </c>
    </row>
    <row r="413" spans="1:182" s="22" customFormat="1" x14ac:dyDescent="0.2">
      <c r="A413" s="41">
        <v>44136</v>
      </c>
      <c r="B413" s="100">
        <f t="shared" si="35"/>
        <v>98281780.769999996</v>
      </c>
      <c r="C413" s="42">
        <v>43181.47</v>
      </c>
      <c r="D413" s="42">
        <v>535368.42000000004</v>
      </c>
      <c r="E413" s="43">
        <f t="shared" si="29"/>
        <v>578549.89</v>
      </c>
      <c r="F413" s="42">
        <v>8138543.9099999992</v>
      </c>
      <c r="G413" s="42">
        <v>4448475.6700000009</v>
      </c>
      <c r="H413" s="32">
        <f t="shared" si="28"/>
        <v>12587019.58</v>
      </c>
      <c r="I413" s="42"/>
      <c r="J413" s="42"/>
      <c r="K413" s="98">
        <v>23589704.23</v>
      </c>
      <c r="L413" s="42"/>
      <c r="M413" s="42"/>
      <c r="N413" s="98">
        <v>28722952.209999997</v>
      </c>
      <c r="O413" s="42"/>
      <c r="P413" s="42"/>
      <c r="Q413" s="98">
        <v>32198922.630000003</v>
      </c>
      <c r="R413" s="42"/>
      <c r="S413" s="42"/>
      <c r="T413" s="42">
        <v>133292.75</v>
      </c>
      <c r="U413" s="42">
        <v>9349.08</v>
      </c>
      <c r="V413" s="42">
        <v>12928.39</v>
      </c>
      <c r="W413" s="42">
        <f t="shared" si="30"/>
        <v>22277.47</v>
      </c>
      <c r="X413" s="42">
        <v>91089.56</v>
      </c>
      <c r="Y413" s="42">
        <v>3734.9</v>
      </c>
      <c r="Z413" s="32">
        <f t="shared" si="31"/>
        <v>94824.459999999992</v>
      </c>
      <c r="AA413" s="42">
        <v>60219.46</v>
      </c>
      <c r="AB413" s="42">
        <v>56553.73</v>
      </c>
      <c r="AC413" s="32">
        <f t="shared" si="32"/>
        <v>116773.19</v>
      </c>
      <c r="AD413" s="42">
        <v>3664.33</v>
      </c>
      <c r="AE413" s="42">
        <v>46417.340000000004</v>
      </c>
      <c r="AF413" s="32">
        <f t="shared" si="33"/>
        <v>50081.670000000006</v>
      </c>
      <c r="AG413" s="32">
        <v>9797.17</v>
      </c>
      <c r="AH413" s="32">
        <v>84927.37</v>
      </c>
      <c r="AI413" s="32">
        <f t="shared" si="34"/>
        <v>94724.54</v>
      </c>
      <c r="AJ413" s="42"/>
      <c r="AK413" s="42"/>
      <c r="AL413" s="42">
        <v>92658.15</v>
      </c>
      <c r="AM413" s="42"/>
      <c r="AN413" s="42"/>
      <c r="AO413" s="42"/>
      <c r="AP413" s="42"/>
      <c r="AQ413" s="42"/>
      <c r="AR413" s="42"/>
      <c r="AS413" s="42"/>
      <c r="AT413" s="42"/>
      <c r="AU413" s="42">
        <v>1446642.46</v>
      </c>
      <c r="AV413" s="42"/>
      <c r="AW413" s="42"/>
      <c r="AX413" s="42">
        <v>116462.2</v>
      </c>
      <c r="AY413" s="42">
        <v>6803739.7000000002</v>
      </c>
      <c r="AZ413" s="42">
        <v>1772270</v>
      </c>
      <c r="BA413" s="43">
        <f t="shared" si="27"/>
        <v>8576009.6999999993</v>
      </c>
      <c r="BB413" s="42"/>
      <c r="BC413" s="42"/>
      <c r="BD413" s="42">
        <v>1723675.1111111112</v>
      </c>
      <c r="BE413" s="88">
        <v>0</v>
      </c>
      <c r="BF413" s="88">
        <v>0</v>
      </c>
      <c r="BG413" s="88">
        <v>64</v>
      </c>
      <c r="BH413" s="88">
        <v>0</v>
      </c>
      <c r="BI413" s="88">
        <v>0</v>
      </c>
      <c r="BJ413" s="88">
        <v>0</v>
      </c>
      <c r="BK413" s="88">
        <v>0</v>
      </c>
      <c r="BL413" s="88">
        <v>0</v>
      </c>
      <c r="BM413" s="88">
        <v>151</v>
      </c>
      <c r="BN413" s="88">
        <v>0</v>
      </c>
      <c r="BO413" s="88">
        <v>0</v>
      </c>
      <c r="BP413" s="88">
        <v>0</v>
      </c>
      <c r="BQ413" s="88">
        <v>0</v>
      </c>
      <c r="BR413" s="88">
        <v>0</v>
      </c>
      <c r="BS413" s="88">
        <v>314</v>
      </c>
      <c r="BT413" s="88">
        <v>0</v>
      </c>
      <c r="BU413" s="88">
        <v>0</v>
      </c>
      <c r="BV413" s="88">
        <v>0</v>
      </c>
      <c r="BW413" s="88"/>
      <c r="BX413" s="88"/>
      <c r="BY413" s="88"/>
      <c r="BZ413" s="88">
        <v>0</v>
      </c>
      <c r="CA413" s="88">
        <v>0</v>
      </c>
      <c r="CB413" s="88">
        <v>185</v>
      </c>
      <c r="CC413" s="88"/>
      <c r="CD413" s="88"/>
      <c r="CE413" s="88"/>
      <c r="CF413" s="88">
        <v>0</v>
      </c>
      <c r="CG413" s="88">
        <v>0</v>
      </c>
      <c r="CH413" s="88">
        <v>3</v>
      </c>
      <c r="CI413" s="88">
        <v>0</v>
      </c>
      <c r="CJ413" s="88">
        <v>0</v>
      </c>
      <c r="CK413" s="88">
        <v>6</v>
      </c>
      <c r="CL413" s="88">
        <v>0</v>
      </c>
      <c r="CM413" s="88">
        <v>0</v>
      </c>
      <c r="CN413" s="88">
        <v>0</v>
      </c>
      <c r="CO413" s="88">
        <v>0</v>
      </c>
      <c r="CP413" s="88">
        <v>0</v>
      </c>
      <c r="CQ413" s="88">
        <v>8</v>
      </c>
      <c r="CR413" s="88">
        <v>0</v>
      </c>
      <c r="CS413" s="88">
        <v>0</v>
      </c>
      <c r="CT413" s="88">
        <v>0</v>
      </c>
      <c r="CU413" s="88">
        <v>0</v>
      </c>
      <c r="CV413" s="88">
        <v>0</v>
      </c>
      <c r="CW413" s="88">
        <v>414</v>
      </c>
      <c r="CX413" s="88">
        <v>0</v>
      </c>
      <c r="CY413" s="88">
        <v>0</v>
      </c>
      <c r="CZ413" s="88">
        <v>0</v>
      </c>
      <c r="DA413" s="88">
        <v>0</v>
      </c>
      <c r="DB413" s="88">
        <v>0</v>
      </c>
      <c r="DC413" s="88">
        <v>0</v>
      </c>
      <c r="DD413" s="88">
        <v>0</v>
      </c>
      <c r="DE413" s="88">
        <v>0</v>
      </c>
      <c r="DF413" s="88">
        <v>0</v>
      </c>
      <c r="DG413" s="88">
        <v>0</v>
      </c>
      <c r="DH413" s="88">
        <v>0</v>
      </c>
      <c r="DI413" s="88">
        <v>8</v>
      </c>
      <c r="DJ413" s="88">
        <v>0</v>
      </c>
      <c r="DK413" s="88">
        <v>0</v>
      </c>
      <c r="DL413" s="88">
        <v>0</v>
      </c>
      <c r="DM413" s="88">
        <v>0</v>
      </c>
      <c r="DN413" s="88">
        <v>0</v>
      </c>
      <c r="DO413" s="88">
        <v>0</v>
      </c>
      <c r="DP413" s="88">
        <v>0</v>
      </c>
      <c r="DQ413" s="88">
        <v>0</v>
      </c>
      <c r="DR413" s="113">
        <v>0</v>
      </c>
      <c r="DS413" s="87">
        <v>0</v>
      </c>
      <c r="DT413" s="87">
        <v>0</v>
      </c>
      <c r="DU413" s="87">
        <v>1598</v>
      </c>
      <c r="DV413" s="87">
        <v>0</v>
      </c>
      <c r="DW413" s="87">
        <v>0</v>
      </c>
      <c r="DX413" s="87">
        <v>0</v>
      </c>
      <c r="DY413" s="88">
        <v>0</v>
      </c>
      <c r="DZ413" s="88">
        <v>0</v>
      </c>
      <c r="EA413" s="88">
        <v>1392</v>
      </c>
      <c r="EB413" s="88">
        <v>0</v>
      </c>
      <c r="EC413" s="88">
        <v>0</v>
      </c>
      <c r="ED413" s="88">
        <v>0</v>
      </c>
      <c r="EE413" s="88">
        <v>0</v>
      </c>
      <c r="EF413" s="88">
        <v>0</v>
      </c>
      <c r="EG413" s="88">
        <v>560</v>
      </c>
      <c r="EH413" s="88">
        <v>0</v>
      </c>
      <c r="EI413" s="88">
        <v>0</v>
      </c>
      <c r="EJ413" s="88">
        <v>4</v>
      </c>
      <c r="EK413" s="88">
        <v>0</v>
      </c>
      <c r="EL413" s="88">
        <v>0</v>
      </c>
      <c r="EM413" s="88">
        <v>1005</v>
      </c>
      <c r="EN413" s="88">
        <v>0</v>
      </c>
      <c r="EO413" s="88">
        <v>0</v>
      </c>
      <c r="EP413" s="88">
        <v>40</v>
      </c>
      <c r="EQ413" s="88">
        <v>0</v>
      </c>
      <c r="ER413" s="88">
        <v>0</v>
      </c>
      <c r="ES413" s="88">
        <v>24</v>
      </c>
      <c r="ET413" s="88">
        <v>0</v>
      </c>
      <c r="EU413" s="88">
        <v>0</v>
      </c>
      <c r="EV413" s="88">
        <v>1</v>
      </c>
      <c r="EW413" s="88">
        <v>0</v>
      </c>
      <c r="EX413" s="88">
        <v>0</v>
      </c>
      <c r="EY413" s="88">
        <v>8</v>
      </c>
      <c r="EZ413" s="88">
        <v>0</v>
      </c>
      <c r="FA413" s="88">
        <v>0</v>
      </c>
      <c r="FB413" s="88">
        <v>0</v>
      </c>
      <c r="FC413" s="88">
        <v>0</v>
      </c>
      <c r="FD413" s="88">
        <v>0</v>
      </c>
      <c r="FE413" s="88">
        <v>2</v>
      </c>
      <c r="FF413" s="88">
        <v>0</v>
      </c>
      <c r="FG413" s="88">
        <v>0</v>
      </c>
      <c r="FH413" s="88">
        <v>0</v>
      </c>
      <c r="FI413" s="88">
        <v>0</v>
      </c>
      <c r="FJ413" s="88">
        <v>0</v>
      </c>
      <c r="FK413" s="32">
        <v>232</v>
      </c>
      <c r="FL413" s="88">
        <v>0</v>
      </c>
      <c r="FM413" s="88">
        <v>0</v>
      </c>
      <c r="FN413" s="88">
        <v>3064</v>
      </c>
      <c r="FO413" s="88">
        <v>0</v>
      </c>
      <c r="FP413" s="88">
        <v>0</v>
      </c>
      <c r="FQ413" s="88">
        <v>338</v>
      </c>
      <c r="FR413" s="88">
        <v>0</v>
      </c>
      <c r="FS413" s="88">
        <v>0</v>
      </c>
      <c r="FT413" s="88">
        <v>0</v>
      </c>
      <c r="FU413" s="88">
        <v>0</v>
      </c>
      <c r="FV413" s="88">
        <v>0</v>
      </c>
      <c r="FW413" s="88">
        <v>226</v>
      </c>
      <c r="FX413" s="32">
        <v>0</v>
      </c>
      <c r="FY413" s="32">
        <v>0</v>
      </c>
      <c r="FZ413" s="32">
        <v>3175</v>
      </c>
    </row>
    <row r="414" spans="1:182" s="97" customFormat="1" x14ac:dyDescent="0.2">
      <c r="A414" s="92">
        <v>44166</v>
      </c>
      <c r="B414" s="93">
        <f t="shared" si="35"/>
        <v>111016169.34999999</v>
      </c>
      <c r="C414" s="94">
        <v>64057.490000000005</v>
      </c>
      <c r="D414" s="94">
        <v>547227.41</v>
      </c>
      <c r="E414" s="93">
        <f t="shared" si="29"/>
        <v>611284.9</v>
      </c>
      <c r="F414" s="94">
        <v>8885684.6599999983</v>
      </c>
      <c r="G414" s="94">
        <v>5880872.6500000004</v>
      </c>
      <c r="H414" s="95">
        <f t="shared" si="28"/>
        <v>14766557.309999999</v>
      </c>
      <c r="I414" s="94"/>
      <c r="J414" s="94"/>
      <c r="K414" s="99">
        <v>25637602.739999998</v>
      </c>
      <c r="L414" s="94"/>
      <c r="M414" s="94"/>
      <c r="N414" s="99">
        <v>34687432.629999995</v>
      </c>
      <c r="O414" s="94"/>
      <c r="P414" s="94"/>
      <c r="Q414" s="99">
        <v>34420879.57</v>
      </c>
      <c r="R414" s="94"/>
      <c r="S414" s="94"/>
      <c r="T414" s="94">
        <v>200632.53999999998</v>
      </c>
      <c r="U414" s="94">
        <v>15023.75</v>
      </c>
      <c r="V414" s="94">
        <v>24712.120000000003</v>
      </c>
      <c r="W414" s="94">
        <f t="shared" si="30"/>
        <v>39735.870000000003</v>
      </c>
      <c r="X414" s="94">
        <v>113104.13</v>
      </c>
      <c r="Y414" s="94">
        <v>12569.86</v>
      </c>
      <c r="Z414" s="95">
        <f t="shared" si="31"/>
        <v>125673.99</v>
      </c>
      <c r="AA414" s="94">
        <v>57960.060000000005</v>
      </c>
      <c r="AB414" s="94">
        <v>85924.12</v>
      </c>
      <c r="AC414" s="95">
        <f t="shared" si="32"/>
        <v>143884.18</v>
      </c>
      <c r="AD414" s="94">
        <v>7443.69</v>
      </c>
      <c r="AE414" s="94">
        <v>74613.440000000002</v>
      </c>
      <c r="AF414" s="95">
        <f t="shared" si="33"/>
        <v>82057.13</v>
      </c>
      <c r="AG414" s="95">
        <v>18405.41</v>
      </c>
      <c r="AH414" s="95">
        <v>145665.88</v>
      </c>
      <c r="AI414" s="95">
        <f t="shared" si="34"/>
        <v>164071.29</v>
      </c>
      <c r="AJ414" s="94"/>
      <c r="AK414" s="94"/>
      <c r="AL414" s="94">
        <v>136357.20000000001</v>
      </c>
      <c r="AM414" s="94"/>
      <c r="AN414" s="94"/>
      <c r="AO414" s="94"/>
      <c r="AP414" s="94"/>
      <c r="AQ414" s="94"/>
      <c r="AR414" s="94"/>
      <c r="AS414" s="94"/>
      <c r="AT414" s="94"/>
      <c r="AU414" s="94">
        <v>1350039.0599999996</v>
      </c>
      <c r="AV414" s="94"/>
      <c r="AW414" s="94"/>
      <c r="AX414" s="94">
        <v>32082.62</v>
      </c>
      <c r="AY414" s="94">
        <v>11274931.300000001</v>
      </c>
      <c r="AZ414" s="94">
        <v>1291110</v>
      </c>
      <c r="BA414" s="93">
        <f t="shared" si="27"/>
        <v>12566041.300000001</v>
      </c>
      <c r="BB414" s="94"/>
      <c r="BC414" s="94"/>
      <c r="BD414" s="94">
        <v>2856778.222222222</v>
      </c>
      <c r="BE414" s="117">
        <v>0</v>
      </c>
      <c r="BF414" s="117">
        <v>0</v>
      </c>
      <c r="BG414" s="117">
        <v>64</v>
      </c>
      <c r="BH414" s="117">
        <v>0</v>
      </c>
      <c r="BI414" s="117">
        <v>0</v>
      </c>
      <c r="BJ414" s="117">
        <v>0</v>
      </c>
      <c r="BK414" s="117">
        <v>0</v>
      </c>
      <c r="BL414" s="117">
        <v>0</v>
      </c>
      <c r="BM414" s="117">
        <v>267</v>
      </c>
      <c r="BN414" s="117">
        <v>0</v>
      </c>
      <c r="BO414" s="117">
        <v>0</v>
      </c>
      <c r="BP414" s="117">
        <v>3</v>
      </c>
      <c r="BQ414" s="117">
        <v>0</v>
      </c>
      <c r="BR414" s="117">
        <v>0</v>
      </c>
      <c r="BS414" s="117">
        <v>47</v>
      </c>
      <c r="BT414" s="117">
        <v>0</v>
      </c>
      <c r="BU414" s="117">
        <v>0</v>
      </c>
      <c r="BV414" s="117">
        <v>0</v>
      </c>
      <c r="BW414" s="117"/>
      <c r="BX414" s="117"/>
      <c r="BY414" s="117"/>
      <c r="BZ414" s="117">
        <v>0</v>
      </c>
      <c r="CA414" s="117">
        <v>0</v>
      </c>
      <c r="CB414" s="117">
        <v>270</v>
      </c>
      <c r="CC414" s="117"/>
      <c r="CD414" s="117"/>
      <c r="CE414" s="117"/>
      <c r="CF414" s="117">
        <v>0</v>
      </c>
      <c r="CG414" s="117">
        <v>0</v>
      </c>
      <c r="CH414" s="117">
        <v>4</v>
      </c>
      <c r="CI414" s="117">
        <v>0</v>
      </c>
      <c r="CJ414" s="117">
        <v>0</v>
      </c>
      <c r="CK414" s="117">
        <v>36</v>
      </c>
      <c r="CL414" s="117">
        <v>0</v>
      </c>
      <c r="CM414" s="117">
        <v>0</v>
      </c>
      <c r="CN414" s="117">
        <v>2</v>
      </c>
      <c r="CO414" s="117">
        <v>0</v>
      </c>
      <c r="CP414" s="117">
        <v>0</v>
      </c>
      <c r="CQ414" s="117">
        <v>9</v>
      </c>
      <c r="CR414" s="117">
        <v>0</v>
      </c>
      <c r="CS414" s="117">
        <v>0</v>
      </c>
      <c r="CT414" s="117">
        <v>0</v>
      </c>
      <c r="CU414" s="117">
        <v>0</v>
      </c>
      <c r="CV414" s="117">
        <v>0</v>
      </c>
      <c r="CW414" s="117">
        <v>337</v>
      </c>
      <c r="CX414" s="117">
        <v>0</v>
      </c>
      <c r="CY414" s="117">
        <v>0</v>
      </c>
      <c r="CZ414" s="117">
        <v>4</v>
      </c>
      <c r="DA414" s="117">
        <v>0</v>
      </c>
      <c r="DB414" s="117">
        <v>0</v>
      </c>
      <c r="DC414" s="117">
        <v>0</v>
      </c>
      <c r="DD414" s="117">
        <v>0</v>
      </c>
      <c r="DE414" s="117">
        <v>0</v>
      </c>
      <c r="DF414" s="117">
        <v>0</v>
      </c>
      <c r="DG414" s="117">
        <v>0</v>
      </c>
      <c r="DH414" s="117">
        <v>0</v>
      </c>
      <c r="DI414" s="117">
        <v>4</v>
      </c>
      <c r="DJ414" s="117">
        <v>0</v>
      </c>
      <c r="DK414" s="117">
        <v>0</v>
      </c>
      <c r="DL414" s="117">
        <v>0</v>
      </c>
      <c r="DM414" s="117">
        <v>0</v>
      </c>
      <c r="DN414" s="117">
        <v>0</v>
      </c>
      <c r="DO414" s="117">
        <v>0</v>
      </c>
      <c r="DP414" s="117">
        <v>0</v>
      </c>
      <c r="DQ414" s="117">
        <v>0</v>
      </c>
      <c r="DR414" s="117">
        <v>0</v>
      </c>
      <c r="DS414" s="95">
        <v>0</v>
      </c>
      <c r="DT414" s="95">
        <v>0</v>
      </c>
      <c r="DU414" s="95">
        <v>1064</v>
      </c>
      <c r="DV414" s="95">
        <v>0</v>
      </c>
      <c r="DW414" s="95">
        <v>0</v>
      </c>
      <c r="DX414" s="95">
        <v>0</v>
      </c>
      <c r="DY414" s="117">
        <v>0</v>
      </c>
      <c r="DZ414" s="117">
        <v>0</v>
      </c>
      <c r="EA414" s="117">
        <v>1558</v>
      </c>
      <c r="EB414" s="117">
        <v>0</v>
      </c>
      <c r="EC414" s="117">
        <v>0</v>
      </c>
      <c r="ED414" s="117">
        <v>0</v>
      </c>
      <c r="EE414" s="117">
        <v>0</v>
      </c>
      <c r="EF414" s="117">
        <v>0</v>
      </c>
      <c r="EG414" s="117">
        <v>1002</v>
      </c>
      <c r="EH414" s="117">
        <v>0</v>
      </c>
      <c r="EI414" s="117">
        <v>0</v>
      </c>
      <c r="EJ414" s="117">
        <v>66</v>
      </c>
      <c r="EK414" s="117">
        <v>0</v>
      </c>
      <c r="EL414" s="117">
        <v>0</v>
      </c>
      <c r="EM414" s="117">
        <v>870</v>
      </c>
      <c r="EN414" s="117">
        <v>0</v>
      </c>
      <c r="EO414" s="117">
        <v>0</v>
      </c>
      <c r="EP414" s="117">
        <v>256</v>
      </c>
      <c r="EQ414" s="117">
        <v>0</v>
      </c>
      <c r="ER414" s="117">
        <v>0</v>
      </c>
      <c r="ES414" s="117">
        <v>13</v>
      </c>
      <c r="ET414" s="117">
        <v>0</v>
      </c>
      <c r="EU414" s="117">
        <v>0</v>
      </c>
      <c r="EV414" s="117">
        <v>100</v>
      </c>
      <c r="EW414" s="117">
        <v>0</v>
      </c>
      <c r="EX414" s="117">
        <v>0</v>
      </c>
      <c r="EY414" s="117">
        <v>10</v>
      </c>
      <c r="EZ414" s="117">
        <v>0</v>
      </c>
      <c r="FA414" s="117">
        <v>0</v>
      </c>
      <c r="FB414" s="117">
        <v>0</v>
      </c>
      <c r="FC414" s="117">
        <v>0</v>
      </c>
      <c r="FD414" s="117">
        <v>0</v>
      </c>
      <c r="FE414" s="117">
        <v>2</v>
      </c>
      <c r="FF414" s="117">
        <v>0</v>
      </c>
      <c r="FG414" s="117">
        <v>0</v>
      </c>
      <c r="FH414" s="117">
        <v>0</v>
      </c>
      <c r="FI414" s="117">
        <v>0</v>
      </c>
      <c r="FJ414" s="117">
        <v>0</v>
      </c>
      <c r="FK414" s="95">
        <v>367</v>
      </c>
      <c r="FL414" s="117">
        <v>0</v>
      </c>
      <c r="FM414" s="117">
        <v>0</v>
      </c>
      <c r="FN414" s="117">
        <v>3446</v>
      </c>
      <c r="FO414" s="117">
        <v>0</v>
      </c>
      <c r="FP414" s="117">
        <v>0</v>
      </c>
      <c r="FQ414" s="117">
        <v>402</v>
      </c>
      <c r="FR414" s="117">
        <v>0</v>
      </c>
      <c r="FS414" s="117">
        <v>0</v>
      </c>
      <c r="FT414" s="117">
        <v>0</v>
      </c>
      <c r="FU414" s="117">
        <v>0</v>
      </c>
      <c r="FV414" s="117">
        <v>0</v>
      </c>
      <c r="FW414" s="118">
        <v>331</v>
      </c>
      <c r="FX414" s="95">
        <v>0</v>
      </c>
      <c r="FY414" s="95">
        <v>0</v>
      </c>
      <c r="FZ414" s="95">
        <v>3110</v>
      </c>
    </row>
    <row r="415" spans="1:182" s="22" customFormat="1" x14ac:dyDescent="0.2">
      <c r="A415" s="41">
        <v>44197</v>
      </c>
      <c r="B415" s="100">
        <f t="shared" si="35"/>
        <v>77466671.709999993</v>
      </c>
      <c r="C415" s="42">
        <v>40856.06</v>
      </c>
      <c r="D415" s="42">
        <v>192130.88</v>
      </c>
      <c r="E415" s="43">
        <f t="shared" si="29"/>
        <v>232986.94</v>
      </c>
      <c r="F415" s="42">
        <v>4979421.88</v>
      </c>
      <c r="G415" s="42">
        <v>3948643.4599999995</v>
      </c>
      <c r="H415" s="32">
        <f t="shared" si="28"/>
        <v>8928065.3399999999</v>
      </c>
      <c r="I415" s="42"/>
      <c r="J415" s="42"/>
      <c r="K415" s="98">
        <v>17739896.030000001</v>
      </c>
      <c r="L415" s="42"/>
      <c r="M415" s="42"/>
      <c r="N415" s="98">
        <v>20726306.739999998</v>
      </c>
      <c r="O415" s="42"/>
      <c r="P415" s="42"/>
      <c r="Q415" s="98">
        <v>29362840.68</v>
      </c>
      <c r="R415" s="42"/>
      <c r="S415" s="42"/>
      <c r="T415" s="42">
        <v>195886.98</v>
      </c>
      <c r="U415" s="42">
        <v>3041.54</v>
      </c>
      <c r="V415" s="42">
        <v>1721.83</v>
      </c>
      <c r="W415" s="42">
        <f t="shared" si="30"/>
        <v>4763.37</v>
      </c>
      <c r="X415" s="42">
        <v>4901.3899999999994</v>
      </c>
      <c r="Y415" s="42">
        <v>1362.19</v>
      </c>
      <c r="Z415" s="32">
        <f t="shared" si="31"/>
        <v>6263.58</v>
      </c>
      <c r="AA415" s="42">
        <v>35805.089999999997</v>
      </c>
      <c r="AB415" s="42">
        <v>48839.66</v>
      </c>
      <c r="AC415" s="32">
        <f t="shared" si="32"/>
        <v>84644.75</v>
      </c>
      <c r="AD415" s="42">
        <v>3834.66</v>
      </c>
      <c r="AE415" s="42">
        <v>9031.4600000000009</v>
      </c>
      <c r="AF415" s="32">
        <f t="shared" si="33"/>
        <v>12866.12</v>
      </c>
      <c r="AG415" s="32">
        <v>4135.72</v>
      </c>
      <c r="AH415" s="32">
        <v>77281.52</v>
      </c>
      <c r="AI415" s="32">
        <f t="shared" si="34"/>
        <v>81417.240000000005</v>
      </c>
      <c r="AJ415" s="42"/>
      <c r="AK415" s="42"/>
      <c r="AL415" s="42">
        <v>90733.94</v>
      </c>
      <c r="AM415" s="42"/>
      <c r="AN415" s="42"/>
      <c r="AO415" s="42"/>
      <c r="AP415" s="42"/>
      <c r="AQ415" s="42"/>
      <c r="AR415" s="42"/>
      <c r="AS415" s="42"/>
      <c r="AT415" s="42"/>
      <c r="AU415" s="42">
        <v>1272098.9700000002</v>
      </c>
      <c r="AV415" s="42"/>
      <c r="AW415" s="42"/>
      <c r="AX415" s="42">
        <v>30135</v>
      </c>
      <c r="AY415" s="42">
        <v>6195898.7999999998</v>
      </c>
      <c r="AZ415" s="42">
        <v>1105560</v>
      </c>
      <c r="BA415" s="43">
        <f t="shared" si="27"/>
        <v>7301458.7999999998</v>
      </c>
      <c r="BB415" s="42"/>
      <c r="BC415" s="42"/>
      <c r="BD415" s="42">
        <v>1063478.6222222222</v>
      </c>
      <c r="BE415" s="88">
        <v>0</v>
      </c>
      <c r="BF415" s="88">
        <v>0</v>
      </c>
      <c r="BG415" s="88">
        <v>85</v>
      </c>
      <c r="BH415" s="88">
        <v>0</v>
      </c>
      <c r="BI415" s="88">
        <v>0</v>
      </c>
      <c r="BJ415" s="88">
        <v>0</v>
      </c>
      <c r="BK415" s="88">
        <v>0</v>
      </c>
      <c r="BL415" s="88">
        <v>0</v>
      </c>
      <c r="BM415" s="88">
        <v>130</v>
      </c>
      <c r="BN415" s="88">
        <v>0</v>
      </c>
      <c r="BO415" s="88">
        <v>0</v>
      </c>
      <c r="BP415" s="88">
        <v>1</v>
      </c>
      <c r="BQ415" s="88">
        <v>0</v>
      </c>
      <c r="BR415" s="88">
        <v>0</v>
      </c>
      <c r="BS415" s="88">
        <v>321</v>
      </c>
      <c r="BT415" s="88">
        <v>0</v>
      </c>
      <c r="BU415" s="88">
        <v>0</v>
      </c>
      <c r="BV415" s="88">
        <v>0</v>
      </c>
      <c r="BW415" s="88"/>
      <c r="BX415" s="88"/>
      <c r="BY415" s="88"/>
      <c r="BZ415" s="88">
        <v>0</v>
      </c>
      <c r="CA415" s="88">
        <v>0</v>
      </c>
      <c r="CB415" s="88">
        <v>196</v>
      </c>
      <c r="CC415" s="88"/>
      <c r="CD415" s="88"/>
      <c r="CE415" s="88"/>
      <c r="CF415" s="88">
        <v>0</v>
      </c>
      <c r="CG415" s="88">
        <v>0</v>
      </c>
      <c r="CH415" s="88">
        <v>0</v>
      </c>
      <c r="CI415" s="88">
        <v>0</v>
      </c>
      <c r="CJ415" s="88">
        <v>0</v>
      </c>
      <c r="CK415" s="88">
        <v>29</v>
      </c>
      <c r="CL415" s="88">
        <v>0</v>
      </c>
      <c r="CM415" s="88">
        <v>0</v>
      </c>
      <c r="CN415" s="88">
        <v>0</v>
      </c>
      <c r="CO415" s="88">
        <v>0</v>
      </c>
      <c r="CP415" s="88">
        <v>0</v>
      </c>
      <c r="CQ415" s="88">
        <v>0</v>
      </c>
      <c r="CR415" s="88">
        <v>0</v>
      </c>
      <c r="CS415" s="88">
        <v>0</v>
      </c>
      <c r="CT415" s="88">
        <v>0</v>
      </c>
      <c r="CU415" s="88">
        <v>0</v>
      </c>
      <c r="CV415" s="88">
        <v>0</v>
      </c>
      <c r="CW415" s="88">
        <v>268</v>
      </c>
      <c r="CX415" s="88">
        <v>0</v>
      </c>
      <c r="CY415" s="88">
        <v>0</v>
      </c>
      <c r="CZ415" s="88">
        <v>0</v>
      </c>
      <c r="DA415" s="88">
        <v>0</v>
      </c>
      <c r="DB415" s="88">
        <v>0</v>
      </c>
      <c r="DC415" s="88">
        <v>0</v>
      </c>
      <c r="DD415" s="88">
        <v>0</v>
      </c>
      <c r="DE415" s="88">
        <v>0</v>
      </c>
      <c r="DF415" s="88">
        <v>0</v>
      </c>
      <c r="DG415" s="88">
        <v>0</v>
      </c>
      <c r="DH415" s="88">
        <v>0</v>
      </c>
      <c r="DI415" s="88">
        <v>4</v>
      </c>
      <c r="DJ415" s="88">
        <v>0</v>
      </c>
      <c r="DK415" s="88">
        <v>0</v>
      </c>
      <c r="DL415" s="88">
        <v>0</v>
      </c>
      <c r="DM415" s="88">
        <v>0</v>
      </c>
      <c r="DN415" s="88">
        <v>0</v>
      </c>
      <c r="DO415" s="88">
        <v>0</v>
      </c>
      <c r="DP415" s="88">
        <v>0</v>
      </c>
      <c r="DQ415" s="88">
        <v>0</v>
      </c>
      <c r="DR415" s="87">
        <v>10</v>
      </c>
      <c r="DS415" s="87">
        <v>0</v>
      </c>
      <c r="DT415" s="87">
        <v>0</v>
      </c>
      <c r="DU415" s="87">
        <v>64</v>
      </c>
      <c r="DV415" s="87">
        <v>0</v>
      </c>
      <c r="DW415" s="87">
        <v>0</v>
      </c>
      <c r="DX415" s="87">
        <v>0</v>
      </c>
      <c r="DY415" s="88">
        <v>0</v>
      </c>
      <c r="DZ415" s="88">
        <v>0</v>
      </c>
      <c r="EA415" s="88">
        <v>1228</v>
      </c>
      <c r="EB415" s="88">
        <v>0</v>
      </c>
      <c r="EC415" s="88">
        <v>0</v>
      </c>
      <c r="ED415" s="88">
        <v>0</v>
      </c>
      <c r="EE415" s="88">
        <v>0</v>
      </c>
      <c r="EF415" s="88">
        <v>0</v>
      </c>
      <c r="EG415" s="88">
        <v>663</v>
      </c>
      <c r="EH415" s="88">
        <v>0</v>
      </c>
      <c r="EI415" s="88">
        <v>0</v>
      </c>
      <c r="EJ415" s="88">
        <v>28</v>
      </c>
      <c r="EK415" s="88">
        <v>0</v>
      </c>
      <c r="EL415" s="88">
        <v>0</v>
      </c>
      <c r="EM415" s="88">
        <v>608</v>
      </c>
      <c r="EN415" s="88">
        <v>0</v>
      </c>
      <c r="EO415" s="88">
        <v>0</v>
      </c>
      <c r="EP415" s="88">
        <v>24</v>
      </c>
      <c r="EQ415" s="88">
        <v>0</v>
      </c>
      <c r="ER415" s="88">
        <v>0</v>
      </c>
      <c r="ES415" s="88">
        <v>32</v>
      </c>
      <c r="ET415" s="88">
        <v>0</v>
      </c>
      <c r="EU415" s="88">
        <v>0</v>
      </c>
      <c r="EV415" s="88">
        <v>20</v>
      </c>
      <c r="EW415" s="88">
        <v>0</v>
      </c>
      <c r="EX415" s="88">
        <v>0</v>
      </c>
      <c r="EY415" s="88">
        <v>5</v>
      </c>
      <c r="EZ415" s="88">
        <v>0</v>
      </c>
      <c r="FA415" s="88">
        <v>0</v>
      </c>
      <c r="FB415" s="88">
        <v>0</v>
      </c>
      <c r="FC415" s="88">
        <v>0</v>
      </c>
      <c r="FD415" s="88">
        <v>0</v>
      </c>
      <c r="FE415" s="88">
        <v>1</v>
      </c>
      <c r="FF415" s="88">
        <v>0</v>
      </c>
      <c r="FG415" s="88">
        <v>0</v>
      </c>
      <c r="FH415" s="88">
        <v>0</v>
      </c>
      <c r="FI415" s="88">
        <v>0</v>
      </c>
      <c r="FJ415" s="88">
        <v>0</v>
      </c>
      <c r="FK415" s="32">
        <v>261</v>
      </c>
      <c r="FL415" s="88">
        <v>0</v>
      </c>
      <c r="FM415" s="88">
        <v>0</v>
      </c>
      <c r="FN415" s="88">
        <v>3479</v>
      </c>
      <c r="FO415" s="88">
        <v>0</v>
      </c>
      <c r="FP415" s="88">
        <v>0</v>
      </c>
      <c r="FQ415" s="88">
        <v>370</v>
      </c>
      <c r="FR415" s="88">
        <v>0</v>
      </c>
      <c r="FS415" s="88">
        <v>0</v>
      </c>
      <c r="FT415" s="88">
        <v>0</v>
      </c>
      <c r="FU415" s="88">
        <v>0</v>
      </c>
      <c r="FV415" s="88">
        <v>0</v>
      </c>
      <c r="FW415" s="88">
        <v>160</v>
      </c>
      <c r="FX415" s="32">
        <v>0</v>
      </c>
      <c r="FY415" s="32">
        <v>0</v>
      </c>
      <c r="FZ415" s="32">
        <v>1790</v>
      </c>
    </row>
    <row r="416" spans="1:182" s="22" customFormat="1" x14ac:dyDescent="0.2">
      <c r="A416" s="41">
        <v>44228</v>
      </c>
      <c r="B416" s="100">
        <f t="shared" si="35"/>
        <v>80397751.600000009</v>
      </c>
      <c r="C416" s="42">
        <v>65681.61</v>
      </c>
      <c r="D416" s="42">
        <v>272350.76</v>
      </c>
      <c r="E416" s="43">
        <f t="shared" si="29"/>
        <v>338032.37</v>
      </c>
      <c r="F416" s="42">
        <v>5516852.5099999988</v>
      </c>
      <c r="G416" s="42">
        <v>2536401.7700000005</v>
      </c>
      <c r="H416" s="32">
        <f t="shared" si="28"/>
        <v>8053254.2799999993</v>
      </c>
      <c r="I416" s="42"/>
      <c r="J416" s="42"/>
      <c r="K416" s="98">
        <v>16590227.82</v>
      </c>
      <c r="L416" s="42"/>
      <c r="M416" s="42"/>
      <c r="N416" s="98">
        <v>22562140.099999998</v>
      </c>
      <c r="O416" s="42"/>
      <c r="P416" s="42"/>
      <c r="Q416" s="98">
        <v>32434024.48</v>
      </c>
      <c r="R416" s="42"/>
      <c r="S416" s="42"/>
      <c r="T416" s="42">
        <v>142995.72999999998</v>
      </c>
      <c r="U416" s="42">
        <v>2352.0299999999997</v>
      </c>
      <c r="V416" s="42">
        <v>1462.7</v>
      </c>
      <c r="W416" s="42">
        <f t="shared" si="30"/>
        <v>3814.7299999999996</v>
      </c>
      <c r="X416" s="42">
        <v>54184.69</v>
      </c>
      <c r="Y416" s="42">
        <v>1319.33</v>
      </c>
      <c r="Z416" s="32">
        <f t="shared" si="31"/>
        <v>55504.020000000004</v>
      </c>
      <c r="AA416" s="42">
        <v>61803.810000000005</v>
      </c>
      <c r="AB416" s="42">
        <v>27854.53</v>
      </c>
      <c r="AC416" s="32">
        <f t="shared" si="32"/>
        <v>89658.34</v>
      </c>
      <c r="AD416" s="42">
        <v>1541.81</v>
      </c>
      <c r="AE416" s="42">
        <v>4241.33</v>
      </c>
      <c r="AF416" s="32">
        <f t="shared" si="33"/>
        <v>5783.1399999999994</v>
      </c>
      <c r="AG416" s="32">
        <v>4084.17</v>
      </c>
      <c r="AH416" s="32">
        <v>49873.98</v>
      </c>
      <c r="AI416" s="32">
        <f t="shared" si="34"/>
        <v>53958.15</v>
      </c>
      <c r="AJ416" s="42"/>
      <c r="AK416" s="42"/>
      <c r="AL416" s="42">
        <v>68358.44</v>
      </c>
      <c r="AM416" s="42"/>
      <c r="AN416" s="42"/>
      <c r="AO416" s="42"/>
      <c r="AP416" s="42"/>
      <c r="AQ416" s="42"/>
      <c r="AR416" s="42"/>
      <c r="AS416" s="42"/>
      <c r="AT416" s="42"/>
      <c r="AU416" s="42">
        <v>1446274.13</v>
      </c>
      <c r="AV416" s="42"/>
      <c r="AW416" s="42"/>
      <c r="AX416" s="42">
        <v>44585.460000000006</v>
      </c>
      <c r="AY416" s="42">
        <v>3691505.5</v>
      </c>
      <c r="AZ416" s="42">
        <v>1167460</v>
      </c>
      <c r="BA416" s="43">
        <f t="shared" si="27"/>
        <v>4858965.5</v>
      </c>
      <c r="BB416" s="42"/>
      <c r="BC416" s="42"/>
      <c r="BD416" s="42">
        <v>910072.4444444445</v>
      </c>
      <c r="BE416" s="88">
        <v>0</v>
      </c>
      <c r="BF416" s="88">
        <v>0</v>
      </c>
      <c r="BG416" s="88">
        <v>59</v>
      </c>
      <c r="BH416" s="88">
        <v>0</v>
      </c>
      <c r="BI416" s="88">
        <v>0</v>
      </c>
      <c r="BJ416" s="88">
        <v>0</v>
      </c>
      <c r="BK416" s="88">
        <v>0</v>
      </c>
      <c r="BL416" s="88">
        <v>0</v>
      </c>
      <c r="BM416" s="88">
        <v>168</v>
      </c>
      <c r="BN416" s="88">
        <v>0</v>
      </c>
      <c r="BO416" s="88">
        <v>0</v>
      </c>
      <c r="BP416" s="88">
        <v>0</v>
      </c>
      <c r="BQ416" s="88">
        <v>0</v>
      </c>
      <c r="BR416" s="88">
        <v>0</v>
      </c>
      <c r="BS416" s="88">
        <v>517</v>
      </c>
      <c r="BT416" s="88">
        <v>0</v>
      </c>
      <c r="BU416" s="88">
        <v>0</v>
      </c>
      <c r="BV416" s="88">
        <v>0</v>
      </c>
      <c r="BW416" s="88"/>
      <c r="BX416" s="88"/>
      <c r="BY416" s="88"/>
      <c r="BZ416" s="88">
        <v>0</v>
      </c>
      <c r="CA416" s="88">
        <v>0</v>
      </c>
      <c r="CB416" s="88">
        <v>170</v>
      </c>
      <c r="CC416" s="88"/>
      <c r="CD416" s="88"/>
      <c r="CE416" s="88"/>
      <c r="CF416" s="88">
        <v>0</v>
      </c>
      <c r="CG416" s="88">
        <v>0</v>
      </c>
      <c r="CH416" s="88">
        <v>3</v>
      </c>
      <c r="CI416" s="88">
        <v>0</v>
      </c>
      <c r="CJ416" s="88">
        <v>0</v>
      </c>
      <c r="CK416" s="88">
        <v>11</v>
      </c>
      <c r="CL416" s="88">
        <v>0</v>
      </c>
      <c r="CM416" s="88">
        <v>0</v>
      </c>
      <c r="CN416" s="88">
        <v>1</v>
      </c>
      <c r="CO416" s="88">
        <v>0</v>
      </c>
      <c r="CP416" s="88">
        <v>0</v>
      </c>
      <c r="CQ416" s="88">
        <v>20</v>
      </c>
      <c r="CR416" s="88">
        <v>0</v>
      </c>
      <c r="CS416" s="88">
        <v>0</v>
      </c>
      <c r="CT416" s="88">
        <v>0</v>
      </c>
      <c r="CU416" s="88">
        <v>0</v>
      </c>
      <c r="CV416" s="88">
        <v>0</v>
      </c>
      <c r="CW416" s="88">
        <v>259</v>
      </c>
      <c r="CX416" s="88">
        <v>0</v>
      </c>
      <c r="CY416" s="88">
        <v>0</v>
      </c>
      <c r="CZ416" s="88">
        <v>0</v>
      </c>
      <c r="DA416" s="88">
        <v>0</v>
      </c>
      <c r="DB416" s="88">
        <v>0</v>
      </c>
      <c r="DC416" s="88">
        <v>0</v>
      </c>
      <c r="DD416" s="88">
        <v>0</v>
      </c>
      <c r="DE416" s="88">
        <v>0</v>
      </c>
      <c r="DF416" s="88">
        <v>0</v>
      </c>
      <c r="DG416" s="88">
        <v>0</v>
      </c>
      <c r="DH416" s="88">
        <v>0</v>
      </c>
      <c r="DI416" s="88">
        <v>4</v>
      </c>
      <c r="DJ416" s="88">
        <v>0</v>
      </c>
      <c r="DK416" s="88">
        <v>0</v>
      </c>
      <c r="DL416" s="88">
        <v>0</v>
      </c>
      <c r="DM416" s="88">
        <v>0</v>
      </c>
      <c r="DN416" s="88">
        <v>0</v>
      </c>
      <c r="DO416" s="88">
        <v>0</v>
      </c>
      <c r="DP416" s="88">
        <v>0</v>
      </c>
      <c r="DQ416" s="88">
        <v>0</v>
      </c>
      <c r="DR416" s="87">
        <v>19</v>
      </c>
      <c r="DS416" s="87">
        <v>0</v>
      </c>
      <c r="DT416" s="87">
        <v>0</v>
      </c>
      <c r="DU416" s="87">
        <v>23</v>
      </c>
      <c r="DV416" s="87">
        <v>0</v>
      </c>
      <c r="DW416" s="87">
        <v>0</v>
      </c>
      <c r="DX416" s="87">
        <v>0</v>
      </c>
      <c r="DY416" s="88">
        <v>0</v>
      </c>
      <c r="DZ416" s="88">
        <v>0</v>
      </c>
      <c r="EA416" s="88">
        <v>1002</v>
      </c>
      <c r="EB416" s="88">
        <v>0</v>
      </c>
      <c r="EC416" s="88">
        <v>0</v>
      </c>
      <c r="ED416" s="88">
        <v>0</v>
      </c>
      <c r="EE416" s="88">
        <v>0</v>
      </c>
      <c r="EF416" s="88">
        <v>0</v>
      </c>
      <c r="EG416" s="88">
        <v>627</v>
      </c>
      <c r="EH416" s="88">
        <v>0</v>
      </c>
      <c r="EI416" s="88">
        <v>0</v>
      </c>
      <c r="EJ416" s="88">
        <v>25</v>
      </c>
      <c r="EK416" s="88">
        <v>0</v>
      </c>
      <c r="EL416" s="88">
        <v>0</v>
      </c>
      <c r="EM416" s="88">
        <v>421</v>
      </c>
      <c r="EN416" s="88">
        <v>0</v>
      </c>
      <c r="EO416" s="88">
        <v>0</v>
      </c>
      <c r="EP416" s="88">
        <v>27</v>
      </c>
      <c r="EQ416" s="88">
        <v>0</v>
      </c>
      <c r="ER416" s="88">
        <v>0</v>
      </c>
      <c r="ES416" s="88">
        <v>26</v>
      </c>
      <c r="ET416" s="88">
        <v>0</v>
      </c>
      <c r="EU416" s="88">
        <v>0</v>
      </c>
      <c r="EV416" s="88">
        <v>10</v>
      </c>
      <c r="EW416" s="88">
        <v>0</v>
      </c>
      <c r="EX416" s="88">
        <v>0</v>
      </c>
      <c r="EY416" s="88">
        <v>4</v>
      </c>
      <c r="EZ416" s="88">
        <v>0</v>
      </c>
      <c r="FA416" s="88">
        <v>0</v>
      </c>
      <c r="FB416" s="88">
        <v>0</v>
      </c>
      <c r="FC416" s="88">
        <v>0</v>
      </c>
      <c r="FD416" s="88">
        <v>0</v>
      </c>
      <c r="FE416" s="88">
        <v>5</v>
      </c>
      <c r="FF416" s="88">
        <v>0</v>
      </c>
      <c r="FG416" s="88">
        <v>0</v>
      </c>
      <c r="FH416" s="88">
        <v>0</v>
      </c>
      <c r="FI416" s="88">
        <v>0</v>
      </c>
      <c r="FJ416" s="88">
        <v>0</v>
      </c>
      <c r="FK416" s="32">
        <v>222</v>
      </c>
      <c r="FL416" s="88">
        <v>0</v>
      </c>
      <c r="FM416" s="88">
        <v>0</v>
      </c>
      <c r="FN416" s="88">
        <v>2456</v>
      </c>
      <c r="FO416" s="88">
        <v>0</v>
      </c>
      <c r="FP416" s="88">
        <v>0</v>
      </c>
      <c r="FQ416" s="88">
        <v>198</v>
      </c>
      <c r="FR416" s="88">
        <v>0</v>
      </c>
      <c r="FS416" s="88">
        <v>0</v>
      </c>
      <c r="FT416" s="88">
        <v>0</v>
      </c>
      <c r="FU416" s="88">
        <v>0</v>
      </c>
      <c r="FV416" s="88">
        <v>0</v>
      </c>
      <c r="FW416" s="88">
        <v>141</v>
      </c>
      <c r="FX416" s="32">
        <v>0</v>
      </c>
      <c r="FY416" s="32">
        <v>0</v>
      </c>
      <c r="FZ416" s="32">
        <v>1042</v>
      </c>
    </row>
    <row r="417" spans="1:182" s="22" customFormat="1" x14ac:dyDescent="0.2">
      <c r="A417" s="41">
        <v>44256</v>
      </c>
      <c r="B417" s="100">
        <f t="shared" si="35"/>
        <v>84953019.400000006</v>
      </c>
      <c r="C417" s="42">
        <v>42007.360000000001</v>
      </c>
      <c r="D417" s="42">
        <v>280674.89</v>
      </c>
      <c r="E417" s="43">
        <f t="shared" si="29"/>
        <v>322682.25</v>
      </c>
      <c r="F417" s="42">
        <v>5411295.3599999994</v>
      </c>
      <c r="G417" s="42">
        <v>2723045.0600000005</v>
      </c>
      <c r="H417" s="32">
        <f t="shared" si="28"/>
        <v>8134340.4199999999</v>
      </c>
      <c r="I417" s="42"/>
      <c r="J417" s="42"/>
      <c r="K417" s="98">
        <v>18866439.989999998</v>
      </c>
      <c r="L417" s="42"/>
      <c r="M417" s="42"/>
      <c r="N417" s="98">
        <v>25078817.280000001</v>
      </c>
      <c r="O417" s="42"/>
      <c r="P417" s="42"/>
      <c r="Q417" s="98">
        <v>31926943.489999998</v>
      </c>
      <c r="R417" s="42"/>
      <c r="S417" s="42"/>
      <c r="T417" s="42">
        <v>176633.25</v>
      </c>
      <c r="U417" s="42">
        <v>1699.16</v>
      </c>
      <c r="V417" s="42">
        <v>820.09999999999991</v>
      </c>
      <c r="W417" s="42">
        <f t="shared" si="30"/>
        <v>2519.2600000000002</v>
      </c>
      <c r="X417" s="42">
        <v>99071.17</v>
      </c>
      <c r="Y417" s="42">
        <v>2269.2999999999997</v>
      </c>
      <c r="Z417" s="32">
        <f t="shared" si="31"/>
        <v>101340.47</v>
      </c>
      <c r="AA417" s="42">
        <v>128897.46</v>
      </c>
      <c r="AB417" s="42">
        <v>37441.35</v>
      </c>
      <c r="AC417" s="32">
        <f t="shared" si="32"/>
        <v>166338.81</v>
      </c>
      <c r="AD417" s="42">
        <v>1519.78</v>
      </c>
      <c r="AE417" s="42">
        <v>4652.0099999999993</v>
      </c>
      <c r="AF417" s="32">
        <f t="shared" si="33"/>
        <v>6171.7899999999991</v>
      </c>
      <c r="AG417" s="32">
        <v>27998.230000000003</v>
      </c>
      <c r="AH417" s="32">
        <v>49671.159999999996</v>
      </c>
      <c r="AI417" s="32">
        <f t="shared" si="34"/>
        <v>77669.39</v>
      </c>
      <c r="AJ417" s="42"/>
      <c r="AK417" s="42"/>
      <c r="AL417" s="42">
        <v>93123</v>
      </c>
      <c r="AM417" s="42"/>
      <c r="AN417" s="42"/>
      <c r="AO417" s="42"/>
      <c r="AP417" s="42"/>
      <c r="AQ417" s="42"/>
      <c r="AR417" s="42"/>
      <c r="AS417" s="42"/>
      <c r="AT417" s="42"/>
      <c r="AU417" s="42">
        <v>1550429.7700000003</v>
      </c>
      <c r="AV417" s="42"/>
      <c r="AW417" s="42"/>
      <c r="AX417" s="42">
        <v>51108.119999999995</v>
      </c>
      <c r="AY417" s="42">
        <v>6852366.5999999996</v>
      </c>
      <c r="AZ417" s="42">
        <v>1327420</v>
      </c>
      <c r="BA417" s="43">
        <f t="shared" si="27"/>
        <v>8179786.5999999996</v>
      </c>
      <c r="BB417" s="42"/>
      <c r="BC417" s="42"/>
      <c r="BD417" s="42">
        <v>1807560.2222222222</v>
      </c>
      <c r="BE417" s="88">
        <v>0</v>
      </c>
      <c r="BF417" s="88">
        <v>0</v>
      </c>
      <c r="BG417" s="88">
        <v>141</v>
      </c>
      <c r="BH417" s="88">
        <v>0</v>
      </c>
      <c r="BI417" s="88">
        <v>0</v>
      </c>
      <c r="BJ417" s="88">
        <v>0</v>
      </c>
      <c r="BK417" s="88">
        <v>0</v>
      </c>
      <c r="BL417" s="88">
        <v>0</v>
      </c>
      <c r="BM417" s="88">
        <v>127</v>
      </c>
      <c r="BN417" s="88">
        <v>0</v>
      </c>
      <c r="BO417" s="88">
        <v>0</v>
      </c>
      <c r="BP417" s="88">
        <v>2</v>
      </c>
      <c r="BQ417" s="88">
        <v>0</v>
      </c>
      <c r="BR417" s="88">
        <v>0</v>
      </c>
      <c r="BS417" s="88">
        <v>819</v>
      </c>
      <c r="BT417" s="88">
        <v>0</v>
      </c>
      <c r="BU417" s="88">
        <v>0</v>
      </c>
      <c r="BV417" s="88">
        <v>0</v>
      </c>
      <c r="BW417" s="88"/>
      <c r="BX417" s="88"/>
      <c r="BY417" s="88"/>
      <c r="BZ417" s="88">
        <v>0</v>
      </c>
      <c r="CA417" s="88">
        <v>0</v>
      </c>
      <c r="CB417" s="88">
        <v>414</v>
      </c>
      <c r="CC417" s="88"/>
      <c r="CD417" s="88"/>
      <c r="CE417" s="88"/>
      <c r="CF417" s="88">
        <v>0</v>
      </c>
      <c r="CG417" s="88">
        <v>0</v>
      </c>
      <c r="CH417" s="88">
        <v>4</v>
      </c>
      <c r="CI417" s="88">
        <v>0</v>
      </c>
      <c r="CJ417" s="88">
        <v>0</v>
      </c>
      <c r="CK417" s="88">
        <v>41</v>
      </c>
      <c r="CL417" s="88">
        <v>0</v>
      </c>
      <c r="CM417" s="88">
        <v>0</v>
      </c>
      <c r="CN417" s="88">
        <v>2</v>
      </c>
      <c r="CO417" s="88">
        <v>0</v>
      </c>
      <c r="CP417" s="88">
        <v>0</v>
      </c>
      <c r="CQ417" s="88">
        <v>13</v>
      </c>
      <c r="CR417" s="88">
        <v>0</v>
      </c>
      <c r="CS417" s="88">
        <v>0</v>
      </c>
      <c r="CT417" s="88">
        <v>0</v>
      </c>
      <c r="CU417" s="88">
        <v>0</v>
      </c>
      <c r="CV417" s="88">
        <v>0</v>
      </c>
      <c r="CW417" s="88">
        <v>488</v>
      </c>
      <c r="CX417" s="88">
        <v>0</v>
      </c>
      <c r="CY417" s="88">
        <v>0</v>
      </c>
      <c r="CZ417" s="88">
        <v>3</v>
      </c>
      <c r="DA417" s="88">
        <v>0</v>
      </c>
      <c r="DB417" s="88">
        <v>0</v>
      </c>
      <c r="DC417" s="88">
        <v>0</v>
      </c>
      <c r="DD417" s="88">
        <v>0</v>
      </c>
      <c r="DE417" s="88">
        <v>0</v>
      </c>
      <c r="DF417" s="88">
        <v>0</v>
      </c>
      <c r="DG417" s="88">
        <v>0</v>
      </c>
      <c r="DH417" s="88">
        <v>0</v>
      </c>
      <c r="DI417" s="88">
        <v>12</v>
      </c>
      <c r="DJ417" s="88">
        <v>0</v>
      </c>
      <c r="DK417" s="88">
        <v>0</v>
      </c>
      <c r="DL417" s="88">
        <v>0</v>
      </c>
      <c r="DM417" s="88">
        <v>0</v>
      </c>
      <c r="DN417" s="88">
        <v>0</v>
      </c>
      <c r="DO417" s="88">
        <v>0</v>
      </c>
      <c r="DP417" s="88">
        <v>0</v>
      </c>
      <c r="DQ417" s="88">
        <v>0</v>
      </c>
      <c r="DR417" s="87">
        <v>92</v>
      </c>
      <c r="DS417" s="87">
        <v>0</v>
      </c>
      <c r="DT417" s="87">
        <v>0</v>
      </c>
      <c r="DU417" s="87">
        <v>65</v>
      </c>
      <c r="DV417" s="87">
        <v>0</v>
      </c>
      <c r="DW417" s="87">
        <v>0</v>
      </c>
      <c r="DX417" s="87">
        <v>0</v>
      </c>
      <c r="DY417" s="88">
        <v>0</v>
      </c>
      <c r="DZ417" s="88">
        <v>0</v>
      </c>
      <c r="EA417" s="88">
        <v>1048</v>
      </c>
      <c r="EB417" s="88">
        <v>0</v>
      </c>
      <c r="EC417" s="88">
        <v>0</v>
      </c>
      <c r="ED417" s="88">
        <v>0</v>
      </c>
      <c r="EE417" s="88">
        <v>0</v>
      </c>
      <c r="EF417" s="88">
        <v>0</v>
      </c>
      <c r="EG417" s="88">
        <v>535</v>
      </c>
      <c r="EH417" s="88">
        <v>0</v>
      </c>
      <c r="EI417" s="88">
        <v>0</v>
      </c>
      <c r="EJ417" s="88">
        <v>31</v>
      </c>
      <c r="EK417" s="88">
        <v>0</v>
      </c>
      <c r="EL417" s="88">
        <v>0</v>
      </c>
      <c r="EM417" s="88">
        <v>914</v>
      </c>
      <c r="EN417" s="88">
        <v>0</v>
      </c>
      <c r="EO417" s="88">
        <v>0</v>
      </c>
      <c r="EP417" s="88">
        <v>23</v>
      </c>
      <c r="EQ417" s="88">
        <v>0</v>
      </c>
      <c r="ER417" s="88">
        <v>0</v>
      </c>
      <c r="ES417" s="88">
        <v>21</v>
      </c>
      <c r="ET417" s="88">
        <v>0</v>
      </c>
      <c r="EU417" s="88">
        <v>0</v>
      </c>
      <c r="EV417" s="88">
        <v>10</v>
      </c>
      <c r="EW417" s="88">
        <v>0</v>
      </c>
      <c r="EX417" s="88">
        <v>0</v>
      </c>
      <c r="EY417" s="88">
        <v>5</v>
      </c>
      <c r="EZ417" s="88">
        <v>0</v>
      </c>
      <c r="FA417" s="88">
        <v>0</v>
      </c>
      <c r="FB417" s="88">
        <v>0</v>
      </c>
      <c r="FC417" s="88">
        <v>0</v>
      </c>
      <c r="FD417" s="88">
        <v>0</v>
      </c>
      <c r="FE417" s="88">
        <v>5</v>
      </c>
      <c r="FF417" s="88">
        <v>0</v>
      </c>
      <c r="FG417" s="88">
        <v>0</v>
      </c>
      <c r="FH417" s="88">
        <v>0</v>
      </c>
      <c r="FI417" s="88">
        <v>0</v>
      </c>
      <c r="FJ417" s="88">
        <v>0</v>
      </c>
      <c r="FK417" s="32">
        <v>250</v>
      </c>
      <c r="FL417" s="88">
        <v>0</v>
      </c>
      <c r="FM417" s="88">
        <v>0</v>
      </c>
      <c r="FN417" s="88">
        <v>3495</v>
      </c>
      <c r="FO417" s="88">
        <v>0</v>
      </c>
      <c r="FP417" s="88">
        <v>0</v>
      </c>
      <c r="FQ417" s="88">
        <v>322</v>
      </c>
      <c r="FR417" s="88">
        <v>0</v>
      </c>
      <c r="FS417" s="88">
        <v>0</v>
      </c>
      <c r="FT417" s="88">
        <v>0</v>
      </c>
      <c r="FU417" s="88">
        <v>0</v>
      </c>
      <c r="FV417" s="88">
        <v>0</v>
      </c>
      <c r="FW417" s="88">
        <v>162</v>
      </c>
      <c r="FX417" s="32">
        <v>0</v>
      </c>
      <c r="FY417" s="32">
        <v>0</v>
      </c>
      <c r="FZ417" s="32">
        <v>1848</v>
      </c>
    </row>
    <row r="418" spans="1:182" s="22" customFormat="1" x14ac:dyDescent="0.2">
      <c r="A418" s="41">
        <v>44287</v>
      </c>
      <c r="B418" s="100">
        <f t="shared" si="35"/>
        <v>68712655.190000013</v>
      </c>
      <c r="C418" s="42">
        <v>52211.490000000005</v>
      </c>
      <c r="D418" s="42">
        <v>285244.27999999997</v>
      </c>
      <c r="E418" s="43">
        <f t="shared" si="29"/>
        <v>337455.76999999996</v>
      </c>
      <c r="F418" s="42">
        <v>3714642.2800000003</v>
      </c>
      <c r="G418" s="42">
        <v>1757082.9</v>
      </c>
      <c r="H418" s="32">
        <f t="shared" si="28"/>
        <v>5471725.1799999997</v>
      </c>
      <c r="I418" s="42"/>
      <c r="J418" s="42"/>
      <c r="K418" s="98">
        <v>15778745.039999999</v>
      </c>
      <c r="L418" s="42"/>
      <c r="M418" s="42"/>
      <c r="N418" s="98">
        <v>22476594.300000004</v>
      </c>
      <c r="O418" s="42"/>
      <c r="P418" s="42"/>
      <c r="Q418" s="98">
        <v>24051098.18</v>
      </c>
      <c r="R418" s="42"/>
      <c r="S418" s="42"/>
      <c r="T418" s="42">
        <v>196204.12</v>
      </c>
      <c r="U418" s="42">
        <v>1138.7</v>
      </c>
      <c r="V418" s="42">
        <v>1115.3400000000001</v>
      </c>
      <c r="W418" s="42">
        <f t="shared" si="30"/>
        <v>2254.04</v>
      </c>
      <c r="X418" s="42">
        <v>13001.54</v>
      </c>
      <c r="Y418" s="42">
        <v>3723.75</v>
      </c>
      <c r="Z418" s="32">
        <f t="shared" si="31"/>
        <v>16725.29</v>
      </c>
      <c r="AA418" s="42">
        <v>174743.08000000002</v>
      </c>
      <c r="AB418" s="42">
        <v>16745.07</v>
      </c>
      <c r="AC418" s="32">
        <f t="shared" si="32"/>
        <v>191488.15000000002</v>
      </c>
      <c r="AD418" s="42">
        <v>2953.25</v>
      </c>
      <c r="AE418" s="42">
        <v>4763.57</v>
      </c>
      <c r="AF418" s="32">
        <f t="shared" si="33"/>
        <v>7716.82</v>
      </c>
      <c r="AG418" s="32">
        <v>6054.43</v>
      </c>
      <c r="AH418" s="32">
        <v>46501.120000000003</v>
      </c>
      <c r="AI418" s="32">
        <f t="shared" si="34"/>
        <v>52555.55</v>
      </c>
      <c r="AJ418" s="42"/>
      <c r="AK418" s="42"/>
      <c r="AL418" s="42">
        <v>130092.75</v>
      </c>
      <c r="AM418" s="42"/>
      <c r="AN418" s="42"/>
      <c r="AO418" s="42"/>
      <c r="AP418" s="42"/>
      <c r="AQ418" s="42"/>
      <c r="AR418" s="42"/>
      <c r="AS418" s="42"/>
      <c r="AT418" s="42"/>
      <c r="AU418" s="42">
        <v>1469353.2299999997</v>
      </c>
      <c r="AV418" s="42"/>
      <c r="AW418" s="42"/>
      <c r="AX418" s="42">
        <v>47720.01</v>
      </c>
      <c r="AY418" s="42">
        <v>5543042.7999999998</v>
      </c>
      <c r="AZ418" s="42">
        <v>955230</v>
      </c>
      <c r="BA418" s="43">
        <f t="shared" si="27"/>
        <v>6498272.7999999998</v>
      </c>
      <c r="BB418" s="42"/>
      <c r="BC418" s="42"/>
      <c r="BD418" s="42">
        <v>1424027.888888889</v>
      </c>
      <c r="BE418" s="88">
        <v>0</v>
      </c>
      <c r="BF418" s="88">
        <v>0</v>
      </c>
      <c r="BG418" s="88">
        <v>55</v>
      </c>
      <c r="BH418" s="88">
        <v>0</v>
      </c>
      <c r="BI418" s="88">
        <v>0</v>
      </c>
      <c r="BJ418" s="88">
        <v>0</v>
      </c>
      <c r="BK418" s="88">
        <v>0</v>
      </c>
      <c r="BL418" s="88">
        <v>0</v>
      </c>
      <c r="BM418" s="88">
        <v>158</v>
      </c>
      <c r="BN418" s="88">
        <v>0</v>
      </c>
      <c r="BO418" s="88">
        <v>0</v>
      </c>
      <c r="BP418" s="88">
        <v>0</v>
      </c>
      <c r="BQ418" s="88">
        <v>0</v>
      </c>
      <c r="BR418" s="88">
        <v>0</v>
      </c>
      <c r="BS418" s="88">
        <v>96</v>
      </c>
      <c r="BT418" s="88">
        <v>0</v>
      </c>
      <c r="BU418" s="88">
        <v>0</v>
      </c>
      <c r="BV418" s="88">
        <v>0</v>
      </c>
      <c r="BW418" s="88"/>
      <c r="BX418" s="88"/>
      <c r="BY418" s="88"/>
      <c r="BZ418" s="88">
        <v>0</v>
      </c>
      <c r="CA418" s="88">
        <v>0</v>
      </c>
      <c r="CB418" s="88">
        <v>348</v>
      </c>
      <c r="CC418" s="88"/>
      <c r="CD418" s="88"/>
      <c r="CE418" s="88"/>
      <c r="CF418" s="88">
        <v>0</v>
      </c>
      <c r="CG418" s="88">
        <v>0</v>
      </c>
      <c r="CH418" s="88">
        <v>1</v>
      </c>
      <c r="CI418" s="88">
        <v>0</v>
      </c>
      <c r="CJ418" s="88">
        <v>0</v>
      </c>
      <c r="CK418" s="88">
        <v>27</v>
      </c>
      <c r="CL418" s="88">
        <v>0</v>
      </c>
      <c r="CM418" s="88">
        <v>0</v>
      </c>
      <c r="CN418" s="88">
        <v>6</v>
      </c>
      <c r="CO418" s="88">
        <v>0</v>
      </c>
      <c r="CP418" s="88">
        <v>0</v>
      </c>
      <c r="CQ418" s="88">
        <v>8</v>
      </c>
      <c r="CR418" s="88">
        <v>0</v>
      </c>
      <c r="CS418" s="88">
        <v>0</v>
      </c>
      <c r="CT418" s="88">
        <v>0</v>
      </c>
      <c r="CU418" s="88">
        <v>0</v>
      </c>
      <c r="CV418" s="88">
        <v>0</v>
      </c>
      <c r="CW418" s="88">
        <v>181</v>
      </c>
      <c r="CX418" s="88">
        <v>0</v>
      </c>
      <c r="CY418" s="88">
        <v>0</v>
      </c>
      <c r="CZ418" s="88">
        <v>0</v>
      </c>
      <c r="DA418" s="88">
        <v>0</v>
      </c>
      <c r="DB418" s="88">
        <v>0</v>
      </c>
      <c r="DC418" s="88">
        <v>1</v>
      </c>
      <c r="DD418" s="88">
        <v>0</v>
      </c>
      <c r="DE418" s="88">
        <v>0</v>
      </c>
      <c r="DF418" s="88">
        <v>0</v>
      </c>
      <c r="DG418" s="88">
        <v>0</v>
      </c>
      <c r="DH418" s="88">
        <v>0</v>
      </c>
      <c r="DI418" s="88">
        <v>2</v>
      </c>
      <c r="DJ418" s="88">
        <v>0</v>
      </c>
      <c r="DK418" s="88">
        <v>0</v>
      </c>
      <c r="DL418" s="88">
        <v>0</v>
      </c>
      <c r="DM418" s="88">
        <v>0</v>
      </c>
      <c r="DN418" s="88">
        <v>0</v>
      </c>
      <c r="DO418" s="88">
        <v>0</v>
      </c>
      <c r="DP418" s="88">
        <v>0</v>
      </c>
      <c r="DQ418" s="88">
        <v>0</v>
      </c>
      <c r="DR418" s="88">
        <v>0</v>
      </c>
      <c r="DS418" s="87">
        <v>0</v>
      </c>
      <c r="DT418" s="87">
        <v>0</v>
      </c>
      <c r="DU418" s="87">
        <v>49</v>
      </c>
      <c r="DV418" s="87">
        <v>0</v>
      </c>
      <c r="DW418" s="87">
        <v>0</v>
      </c>
      <c r="DX418" s="87">
        <v>0</v>
      </c>
      <c r="DY418" s="88">
        <v>0</v>
      </c>
      <c r="DZ418" s="88">
        <v>0</v>
      </c>
      <c r="EA418" s="88">
        <v>1488</v>
      </c>
      <c r="EB418" s="88">
        <v>0</v>
      </c>
      <c r="EC418" s="88">
        <v>0</v>
      </c>
      <c r="ED418" s="88">
        <v>0</v>
      </c>
      <c r="EE418" s="88">
        <v>0</v>
      </c>
      <c r="EF418" s="88">
        <v>0</v>
      </c>
      <c r="EG418" s="88">
        <v>795</v>
      </c>
      <c r="EH418" s="88">
        <v>0</v>
      </c>
      <c r="EI418" s="88">
        <v>0</v>
      </c>
      <c r="EJ418" s="88">
        <v>149</v>
      </c>
      <c r="EK418" s="88">
        <v>0</v>
      </c>
      <c r="EL418" s="88">
        <v>0</v>
      </c>
      <c r="EM418" s="88">
        <v>623</v>
      </c>
      <c r="EN418" s="88">
        <v>0</v>
      </c>
      <c r="EO418" s="88">
        <v>0</v>
      </c>
      <c r="EP418" s="88">
        <v>65</v>
      </c>
      <c r="EQ418" s="88">
        <v>0</v>
      </c>
      <c r="ER418" s="88">
        <v>0</v>
      </c>
      <c r="ES418" s="88">
        <v>28</v>
      </c>
      <c r="ET418" s="88">
        <v>0</v>
      </c>
      <c r="EU418" s="88">
        <v>0</v>
      </c>
      <c r="EV418" s="88">
        <v>21</v>
      </c>
      <c r="EW418" s="88">
        <v>0</v>
      </c>
      <c r="EX418" s="88">
        <v>0</v>
      </c>
      <c r="EY418" s="88">
        <v>9</v>
      </c>
      <c r="EZ418" s="88">
        <v>0</v>
      </c>
      <c r="FA418" s="88">
        <v>0</v>
      </c>
      <c r="FB418" s="88">
        <v>0</v>
      </c>
      <c r="FC418" s="88">
        <v>0</v>
      </c>
      <c r="FD418" s="88">
        <v>0</v>
      </c>
      <c r="FE418" s="88">
        <v>4</v>
      </c>
      <c r="FF418" s="88">
        <v>0</v>
      </c>
      <c r="FG418" s="88">
        <v>0</v>
      </c>
      <c r="FH418" s="88">
        <v>0</v>
      </c>
      <c r="FI418" s="88">
        <v>0</v>
      </c>
      <c r="FJ418" s="88">
        <v>0</v>
      </c>
      <c r="FK418" s="32">
        <v>196</v>
      </c>
      <c r="FL418" s="88">
        <v>0</v>
      </c>
      <c r="FM418" s="88">
        <v>0</v>
      </c>
      <c r="FN418" s="88">
        <v>2690</v>
      </c>
      <c r="FO418" s="88">
        <v>0</v>
      </c>
      <c r="FP418" s="88">
        <v>0</v>
      </c>
      <c r="FQ418" s="88">
        <v>402</v>
      </c>
      <c r="FR418" s="88">
        <v>0</v>
      </c>
      <c r="FS418" s="88">
        <v>0</v>
      </c>
      <c r="FT418" s="88">
        <v>0</v>
      </c>
      <c r="FU418" s="88">
        <v>0</v>
      </c>
      <c r="FV418" s="88">
        <v>0</v>
      </c>
      <c r="FW418" s="88">
        <v>137</v>
      </c>
      <c r="FX418" s="32">
        <v>0</v>
      </c>
      <c r="FY418" s="32">
        <v>0</v>
      </c>
      <c r="FZ418" s="32">
        <v>219</v>
      </c>
    </row>
    <row r="419" spans="1:182" s="22" customFormat="1" x14ac:dyDescent="0.2">
      <c r="A419" s="41">
        <v>44317</v>
      </c>
      <c r="B419" s="100">
        <f t="shared" si="35"/>
        <v>59354416.910000011</v>
      </c>
      <c r="C419" s="42">
        <v>46028.780000000006</v>
      </c>
      <c r="D419" s="42">
        <v>334489.02999999997</v>
      </c>
      <c r="E419" s="43">
        <f t="shared" si="29"/>
        <v>380517.81</v>
      </c>
      <c r="F419" s="42">
        <v>3285816.23</v>
      </c>
      <c r="G419" s="42">
        <v>1791975.2099999997</v>
      </c>
      <c r="H419" s="32">
        <f t="shared" si="28"/>
        <v>5077791.4399999995</v>
      </c>
      <c r="I419" s="42"/>
      <c r="J419" s="42"/>
      <c r="K419" s="98">
        <v>13010272.66</v>
      </c>
      <c r="L419" s="42"/>
      <c r="M419" s="42"/>
      <c r="N419" s="98">
        <v>19494436.289999999</v>
      </c>
      <c r="O419" s="42"/>
      <c r="P419" s="42"/>
      <c r="Q419" s="98">
        <v>20974756.650000002</v>
      </c>
      <c r="R419" s="42"/>
      <c r="S419" s="42"/>
      <c r="T419" s="42">
        <v>163024.10999999999</v>
      </c>
      <c r="U419" s="42">
        <v>1057.4099999999999</v>
      </c>
      <c r="V419" s="42">
        <v>1718.8600000000001</v>
      </c>
      <c r="W419" s="42">
        <f t="shared" si="30"/>
        <v>2776.27</v>
      </c>
      <c r="X419" s="42">
        <v>6636.68</v>
      </c>
      <c r="Y419" s="42">
        <v>3231.36</v>
      </c>
      <c r="Z419" s="32">
        <f t="shared" si="31"/>
        <v>9868.0400000000009</v>
      </c>
      <c r="AA419" s="42">
        <v>113159.91000000002</v>
      </c>
      <c r="AB419" s="42">
        <v>30218.229999999996</v>
      </c>
      <c r="AC419" s="32">
        <f t="shared" si="32"/>
        <v>143378.14000000001</v>
      </c>
      <c r="AD419" s="42">
        <v>1153.08</v>
      </c>
      <c r="AE419" s="42">
        <v>5669.3000000000011</v>
      </c>
      <c r="AF419" s="32">
        <f t="shared" si="33"/>
        <v>6822.380000000001</v>
      </c>
      <c r="AG419" s="32">
        <v>3779.8199999999997</v>
      </c>
      <c r="AH419" s="32">
        <v>48507.8</v>
      </c>
      <c r="AI419" s="32">
        <f t="shared" si="34"/>
        <v>52287.62</v>
      </c>
      <c r="AJ419" s="42"/>
      <c r="AK419" s="42"/>
      <c r="AL419" s="42">
        <v>38485.5</v>
      </c>
      <c r="AM419" s="42"/>
      <c r="AN419" s="42"/>
      <c r="AO419" s="42"/>
      <c r="AP419" s="42"/>
      <c r="AQ419" s="42"/>
      <c r="AR419" s="42"/>
      <c r="AS419" s="42"/>
      <c r="AT419" s="42"/>
      <c r="AU419" s="42">
        <v>1526258.7000000007</v>
      </c>
      <c r="AV419" s="42"/>
      <c r="AW419" s="42"/>
      <c r="AX419" s="42">
        <v>43281.880000000005</v>
      </c>
      <c r="AY419" s="42">
        <v>5404338.5</v>
      </c>
      <c r="AZ419" s="42">
        <v>952810</v>
      </c>
      <c r="BA419" s="43">
        <f t="shared" si="27"/>
        <v>6357148.5</v>
      </c>
      <c r="BB419" s="42"/>
      <c r="BC419" s="42"/>
      <c r="BD419" s="42">
        <v>1502155.9777777779</v>
      </c>
      <c r="BE419" s="88">
        <v>0</v>
      </c>
      <c r="BF419" s="88">
        <v>0</v>
      </c>
      <c r="BG419" s="88">
        <v>53</v>
      </c>
      <c r="BH419" s="88">
        <v>0</v>
      </c>
      <c r="BI419" s="88">
        <v>0</v>
      </c>
      <c r="BJ419" s="88">
        <v>0</v>
      </c>
      <c r="BK419" s="88">
        <v>0</v>
      </c>
      <c r="BL419" s="88">
        <v>0</v>
      </c>
      <c r="BM419" s="88">
        <v>220</v>
      </c>
      <c r="BN419" s="88">
        <v>0</v>
      </c>
      <c r="BO419" s="88">
        <v>0</v>
      </c>
      <c r="BP419" s="88">
        <v>2</v>
      </c>
      <c r="BQ419" s="88">
        <v>0</v>
      </c>
      <c r="BR419" s="88">
        <v>0</v>
      </c>
      <c r="BS419" s="88">
        <v>283</v>
      </c>
      <c r="BT419" s="88">
        <v>0</v>
      </c>
      <c r="BU419" s="88">
        <v>0</v>
      </c>
      <c r="BV419" s="88">
        <v>0</v>
      </c>
      <c r="BW419" s="88"/>
      <c r="BX419" s="88"/>
      <c r="BY419" s="88"/>
      <c r="BZ419" s="88">
        <v>0</v>
      </c>
      <c r="CA419" s="88">
        <v>0</v>
      </c>
      <c r="CB419" s="88">
        <v>374</v>
      </c>
      <c r="CC419" s="88"/>
      <c r="CD419" s="88"/>
      <c r="CE419" s="88"/>
      <c r="CF419" s="88">
        <v>0</v>
      </c>
      <c r="CG419" s="88">
        <v>0</v>
      </c>
      <c r="CH419" s="88">
        <v>4</v>
      </c>
      <c r="CI419" s="88">
        <v>0</v>
      </c>
      <c r="CJ419" s="88">
        <v>0</v>
      </c>
      <c r="CK419" s="88">
        <v>11</v>
      </c>
      <c r="CL419" s="88">
        <v>0</v>
      </c>
      <c r="CM419" s="88">
        <v>0</v>
      </c>
      <c r="CN419" s="88">
        <v>0</v>
      </c>
      <c r="CO419" s="88">
        <v>0</v>
      </c>
      <c r="CP419" s="88">
        <v>0</v>
      </c>
      <c r="CQ419" s="88">
        <v>11</v>
      </c>
      <c r="CR419" s="88">
        <v>0</v>
      </c>
      <c r="CS419" s="88">
        <v>0</v>
      </c>
      <c r="CT419" s="88">
        <v>0</v>
      </c>
      <c r="CU419" s="88">
        <v>0</v>
      </c>
      <c r="CV419" s="88">
        <v>0</v>
      </c>
      <c r="CW419" s="88">
        <v>124</v>
      </c>
      <c r="CX419" s="88">
        <v>0</v>
      </c>
      <c r="CY419" s="88">
        <v>0</v>
      </c>
      <c r="CZ419" s="88">
        <v>0</v>
      </c>
      <c r="DA419" s="88">
        <v>0</v>
      </c>
      <c r="DB419" s="88">
        <v>0</v>
      </c>
      <c r="DC419" s="88">
        <v>0</v>
      </c>
      <c r="DD419" s="88">
        <v>0</v>
      </c>
      <c r="DE419" s="88">
        <v>0</v>
      </c>
      <c r="DF419" s="88">
        <v>0</v>
      </c>
      <c r="DG419" s="88">
        <v>0</v>
      </c>
      <c r="DH419" s="88">
        <v>0</v>
      </c>
      <c r="DI419" s="88">
        <v>3</v>
      </c>
      <c r="DJ419" s="88">
        <v>0</v>
      </c>
      <c r="DK419" s="88">
        <v>0</v>
      </c>
      <c r="DL419" s="88">
        <v>0</v>
      </c>
      <c r="DM419" s="88">
        <v>0</v>
      </c>
      <c r="DN419" s="88">
        <v>0</v>
      </c>
      <c r="DO419" s="88">
        <v>0</v>
      </c>
      <c r="DP419" s="88">
        <v>0</v>
      </c>
      <c r="DQ419" s="88">
        <v>0</v>
      </c>
      <c r="DR419" s="87">
        <v>1</v>
      </c>
      <c r="DS419" s="87">
        <v>0</v>
      </c>
      <c r="DT419" s="87">
        <v>0</v>
      </c>
      <c r="DU419" s="87">
        <v>46</v>
      </c>
      <c r="DV419" s="87">
        <v>0</v>
      </c>
      <c r="DW419" s="87">
        <v>0</v>
      </c>
      <c r="DX419" s="87">
        <v>0</v>
      </c>
      <c r="DY419" s="88">
        <v>0</v>
      </c>
      <c r="DZ419" s="88">
        <v>0</v>
      </c>
      <c r="EA419" s="88">
        <v>1589</v>
      </c>
      <c r="EB419" s="88">
        <v>0</v>
      </c>
      <c r="EC419" s="88">
        <v>0</v>
      </c>
      <c r="ED419" s="88">
        <v>0</v>
      </c>
      <c r="EE419" s="88">
        <v>0</v>
      </c>
      <c r="EF419" s="88">
        <v>0</v>
      </c>
      <c r="EG419" s="88">
        <v>714</v>
      </c>
      <c r="EH419" s="88">
        <v>0</v>
      </c>
      <c r="EI419" s="88">
        <v>0</v>
      </c>
      <c r="EJ419" s="88">
        <v>89</v>
      </c>
      <c r="EK419" s="88">
        <v>0</v>
      </c>
      <c r="EL419" s="88">
        <v>0</v>
      </c>
      <c r="EM419" s="88">
        <v>861</v>
      </c>
      <c r="EN419" s="88">
        <v>0</v>
      </c>
      <c r="EO419" s="88">
        <v>0</v>
      </c>
      <c r="EP419" s="88">
        <v>54</v>
      </c>
      <c r="EQ419" s="88">
        <v>0</v>
      </c>
      <c r="ER419" s="88">
        <v>0</v>
      </c>
      <c r="ES419" s="88">
        <v>7</v>
      </c>
      <c r="ET419" s="88">
        <v>0</v>
      </c>
      <c r="EU419" s="88">
        <v>0</v>
      </c>
      <c r="EV419" s="88">
        <v>33</v>
      </c>
      <c r="EW419" s="88">
        <v>0</v>
      </c>
      <c r="EX419" s="88">
        <v>0</v>
      </c>
      <c r="EY419" s="88">
        <v>7</v>
      </c>
      <c r="EZ419" s="88">
        <v>0</v>
      </c>
      <c r="FA419" s="88">
        <v>0</v>
      </c>
      <c r="FB419" s="88">
        <v>0</v>
      </c>
      <c r="FC419" s="88">
        <v>0</v>
      </c>
      <c r="FD419" s="88">
        <v>0</v>
      </c>
      <c r="FE419" s="88">
        <v>1</v>
      </c>
      <c r="FF419" s="88">
        <v>0</v>
      </c>
      <c r="FG419" s="88">
        <v>0</v>
      </c>
      <c r="FH419" s="88">
        <v>0</v>
      </c>
      <c r="FI419" s="88">
        <v>0</v>
      </c>
      <c r="FJ419" s="88">
        <v>0</v>
      </c>
      <c r="FK419" s="32">
        <v>149</v>
      </c>
      <c r="FL419" s="88">
        <v>0</v>
      </c>
      <c r="FM419" s="88">
        <v>0</v>
      </c>
      <c r="FN419" s="88">
        <v>2499</v>
      </c>
      <c r="FO419" s="88">
        <v>0</v>
      </c>
      <c r="FP419" s="88">
        <v>0</v>
      </c>
      <c r="FQ419" s="88">
        <v>259</v>
      </c>
      <c r="FR419" s="88">
        <v>0</v>
      </c>
      <c r="FS419" s="88">
        <v>0</v>
      </c>
      <c r="FT419" s="88">
        <v>0</v>
      </c>
      <c r="FU419" s="88">
        <v>0</v>
      </c>
      <c r="FV419" s="88">
        <v>0</v>
      </c>
      <c r="FW419" s="88">
        <v>89</v>
      </c>
      <c r="FX419" s="32">
        <v>0</v>
      </c>
      <c r="FY419" s="32">
        <v>0</v>
      </c>
      <c r="FZ419" s="32">
        <v>1403</v>
      </c>
    </row>
    <row r="420" spans="1:182" s="22" customFormat="1" x14ac:dyDescent="0.2">
      <c r="A420" s="41">
        <v>44348</v>
      </c>
      <c r="B420" s="100">
        <f t="shared" si="35"/>
        <v>62312099.100000001</v>
      </c>
      <c r="C420" s="42">
        <v>50268.9</v>
      </c>
      <c r="D420" s="42">
        <v>340683.19</v>
      </c>
      <c r="E420" s="43">
        <f t="shared" si="29"/>
        <v>390952.09</v>
      </c>
      <c r="F420" s="42">
        <v>3414002.09</v>
      </c>
      <c r="G420" s="42">
        <v>1444585.85</v>
      </c>
      <c r="H420" s="32">
        <f t="shared" si="28"/>
        <v>4858587.9399999995</v>
      </c>
      <c r="I420" s="42"/>
      <c r="J420" s="42"/>
      <c r="K420" s="98">
        <v>12039898.020000001</v>
      </c>
      <c r="L420" s="42"/>
      <c r="M420" s="42"/>
      <c r="N420" s="98">
        <v>20833858.099999998</v>
      </c>
      <c r="O420" s="42"/>
      <c r="P420" s="42"/>
      <c r="Q420" s="98">
        <v>23674305.390000001</v>
      </c>
      <c r="R420" s="42"/>
      <c r="S420" s="42"/>
      <c r="T420" s="42">
        <v>172416.37999999998</v>
      </c>
      <c r="U420" s="42">
        <v>1594.12</v>
      </c>
      <c r="V420" s="42">
        <v>2114.35</v>
      </c>
      <c r="W420" s="42">
        <f t="shared" si="30"/>
        <v>3708.47</v>
      </c>
      <c r="X420" s="42">
        <v>5995.74</v>
      </c>
      <c r="Y420" s="42">
        <v>2485.4300000000003</v>
      </c>
      <c r="Z420" s="32">
        <f t="shared" si="31"/>
        <v>8481.17</v>
      </c>
      <c r="AA420" s="42">
        <v>162453.14000000001</v>
      </c>
      <c r="AB420" s="42">
        <v>45872.179999999993</v>
      </c>
      <c r="AC420" s="32">
        <f t="shared" si="32"/>
        <v>208325.32</v>
      </c>
      <c r="AD420" s="42">
        <v>2012.75</v>
      </c>
      <c r="AE420" s="42">
        <v>8813.5299999999988</v>
      </c>
      <c r="AF420" s="32">
        <f t="shared" si="33"/>
        <v>10826.279999999999</v>
      </c>
      <c r="AG420" s="32">
        <v>9868.1899999999987</v>
      </c>
      <c r="AH420" s="32">
        <v>48382.85</v>
      </c>
      <c r="AI420" s="32">
        <f t="shared" si="34"/>
        <v>58251.039999999994</v>
      </c>
      <c r="AJ420" s="42"/>
      <c r="AK420" s="42"/>
      <c r="AL420" s="42">
        <v>52488.9</v>
      </c>
      <c r="AM420" s="42"/>
      <c r="AN420" s="42"/>
      <c r="AO420" s="42"/>
      <c r="AP420" s="42"/>
      <c r="AQ420" s="42"/>
      <c r="AR420" s="42"/>
      <c r="AS420" s="42"/>
      <c r="AT420" s="42"/>
      <c r="AU420" s="42">
        <v>1718617.99</v>
      </c>
      <c r="AV420" s="42"/>
      <c r="AW420" s="42"/>
      <c r="AX420" s="42">
        <v>53554.93</v>
      </c>
      <c r="AY420" s="42">
        <v>5993890.7999999998</v>
      </c>
      <c r="AZ420" s="42">
        <v>1111260</v>
      </c>
      <c r="BA420" s="43">
        <f t="shared" si="27"/>
        <v>7105150.7999999998</v>
      </c>
      <c r="BB420" s="42"/>
      <c r="BC420" s="42"/>
      <c r="BD420" s="42">
        <v>1513065.5555555555</v>
      </c>
      <c r="BE420" s="88">
        <v>0</v>
      </c>
      <c r="BF420" s="88">
        <v>0</v>
      </c>
      <c r="BG420" s="88">
        <v>76</v>
      </c>
      <c r="BH420" s="88">
        <v>0</v>
      </c>
      <c r="BI420" s="88">
        <v>0</v>
      </c>
      <c r="BJ420" s="88">
        <v>0</v>
      </c>
      <c r="BK420" s="88">
        <v>0</v>
      </c>
      <c r="BL420" s="88">
        <v>0</v>
      </c>
      <c r="BM420" s="88">
        <v>318</v>
      </c>
      <c r="BN420" s="88">
        <v>0</v>
      </c>
      <c r="BO420" s="88">
        <v>0</v>
      </c>
      <c r="BP420" s="88">
        <v>1</v>
      </c>
      <c r="BQ420" s="88">
        <v>0</v>
      </c>
      <c r="BR420" s="88">
        <v>0</v>
      </c>
      <c r="BS420" s="88">
        <v>325</v>
      </c>
      <c r="BT420" s="88">
        <v>0</v>
      </c>
      <c r="BU420" s="88">
        <v>0</v>
      </c>
      <c r="BV420" s="88">
        <v>0</v>
      </c>
      <c r="BW420" s="88"/>
      <c r="BX420" s="88"/>
      <c r="BY420" s="88"/>
      <c r="BZ420" s="88">
        <v>0</v>
      </c>
      <c r="CA420" s="88">
        <v>0</v>
      </c>
      <c r="CB420" s="88">
        <v>274</v>
      </c>
      <c r="CC420" s="88"/>
      <c r="CD420" s="88"/>
      <c r="CE420" s="88"/>
      <c r="CF420" s="88">
        <v>0</v>
      </c>
      <c r="CG420" s="88">
        <v>0</v>
      </c>
      <c r="CH420" s="88">
        <v>5</v>
      </c>
      <c r="CI420" s="88">
        <v>0</v>
      </c>
      <c r="CJ420" s="88">
        <v>0</v>
      </c>
      <c r="CK420" s="88">
        <v>23</v>
      </c>
      <c r="CL420" s="88">
        <v>0</v>
      </c>
      <c r="CM420" s="88">
        <v>0</v>
      </c>
      <c r="CN420" s="88">
        <v>0</v>
      </c>
      <c r="CO420" s="88">
        <v>0</v>
      </c>
      <c r="CP420" s="88">
        <v>0</v>
      </c>
      <c r="CQ420" s="88">
        <v>4</v>
      </c>
      <c r="CR420" s="88">
        <v>0</v>
      </c>
      <c r="CS420" s="88">
        <v>0</v>
      </c>
      <c r="CT420" s="88">
        <v>0</v>
      </c>
      <c r="CU420" s="88">
        <v>0</v>
      </c>
      <c r="CV420" s="88">
        <v>0</v>
      </c>
      <c r="CW420" s="88">
        <v>237</v>
      </c>
      <c r="CX420" s="88">
        <v>0</v>
      </c>
      <c r="CY420" s="88">
        <v>0</v>
      </c>
      <c r="CZ420" s="88">
        <v>0</v>
      </c>
      <c r="DA420" s="88">
        <v>0</v>
      </c>
      <c r="DB420" s="88">
        <v>0</v>
      </c>
      <c r="DC420" s="88">
        <v>0</v>
      </c>
      <c r="DD420" s="88">
        <v>0</v>
      </c>
      <c r="DE420" s="88">
        <v>0</v>
      </c>
      <c r="DF420" s="88">
        <v>0</v>
      </c>
      <c r="DG420" s="88">
        <v>0</v>
      </c>
      <c r="DH420" s="88">
        <v>0</v>
      </c>
      <c r="DI420" s="88">
        <v>10</v>
      </c>
      <c r="DJ420" s="88">
        <v>0</v>
      </c>
      <c r="DK420" s="88">
        <v>0</v>
      </c>
      <c r="DL420" s="88">
        <v>0</v>
      </c>
      <c r="DM420" s="88">
        <v>0</v>
      </c>
      <c r="DN420" s="88">
        <v>0</v>
      </c>
      <c r="DO420" s="88">
        <v>0</v>
      </c>
      <c r="DP420" s="88">
        <v>0</v>
      </c>
      <c r="DQ420" s="88">
        <v>0</v>
      </c>
      <c r="DR420" s="87">
        <v>3</v>
      </c>
      <c r="DS420" s="87">
        <v>0</v>
      </c>
      <c r="DT420" s="87">
        <v>0</v>
      </c>
      <c r="DU420" s="87">
        <v>94</v>
      </c>
      <c r="DV420" s="87">
        <v>0</v>
      </c>
      <c r="DW420" s="87">
        <v>0</v>
      </c>
      <c r="DX420" s="87">
        <v>0</v>
      </c>
      <c r="DY420" s="88">
        <v>0</v>
      </c>
      <c r="DZ420" s="88">
        <v>0</v>
      </c>
      <c r="EA420" s="88">
        <v>1244</v>
      </c>
      <c r="EB420" s="88">
        <v>0</v>
      </c>
      <c r="EC420" s="88">
        <v>0</v>
      </c>
      <c r="ED420" s="88">
        <v>0</v>
      </c>
      <c r="EE420" s="88">
        <v>0</v>
      </c>
      <c r="EF420" s="88">
        <v>0</v>
      </c>
      <c r="EG420" s="88">
        <v>539</v>
      </c>
      <c r="EH420" s="88">
        <v>0</v>
      </c>
      <c r="EI420" s="88">
        <v>0</v>
      </c>
      <c r="EJ420" s="88">
        <v>48</v>
      </c>
      <c r="EK420" s="88">
        <v>0</v>
      </c>
      <c r="EL420" s="88">
        <v>0</v>
      </c>
      <c r="EM420" s="88">
        <v>798</v>
      </c>
      <c r="EN420" s="88">
        <v>0</v>
      </c>
      <c r="EO420" s="88">
        <v>0</v>
      </c>
      <c r="EP420" s="88">
        <v>59</v>
      </c>
      <c r="EQ420" s="88">
        <v>0</v>
      </c>
      <c r="ER420" s="88">
        <v>0</v>
      </c>
      <c r="ES420" s="88">
        <v>10</v>
      </c>
      <c r="ET420" s="88">
        <v>0</v>
      </c>
      <c r="EU420" s="88">
        <v>0</v>
      </c>
      <c r="EV420" s="88">
        <v>18</v>
      </c>
      <c r="EW420" s="88">
        <v>0</v>
      </c>
      <c r="EX420" s="88">
        <v>0</v>
      </c>
      <c r="EY420" s="88">
        <v>3</v>
      </c>
      <c r="EZ420" s="88">
        <v>0</v>
      </c>
      <c r="FA420" s="88">
        <v>0</v>
      </c>
      <c r="FB420" s="88">
        <v>0</v>
      </c>
      <c r="FC420" s="88">
        <v>0</v>
      </c>
      <c r="FD420" s="88">
        <v>0</v>
      </c>
      <c r="FE420" s="88">
        <v>2</v>
      </c>
      <c r="FF420" s="88">
        <v>0</v>
      </c>
      <c r="FG420" s="88">
        <v>0</v>
      </c>
      <c r="FH420" s="88">
        <v>0</v>
      </c>
      <c r="FI420" s="88">
        <v>0</v>
      </c>
      <c r="FJ420" s="88">
        <v>0</v>
      </c>
      <c r="FK420" s="32">
        <v>180</v>
      </c>
      <c r="FL420" s="88">
        <v>0</v>
      </c>
      <c r="FM420" s="88">
        <v>0</v>
      </c>
      <c r="FN420" s="88">
        <v>2720</v>
      </c>
      <c r="FO420" s="88">
        <v>0</v>
      </c>
      <c r="FP420" s="88">
        <v>0</v>
      </c>
      <c r="FQ420" s="88">
        <v>219</v>
      </c>
      <c r="FR420" s="88">
        <v>0</v>
      </c>
      <c r="FS420" s="88">
        <v>0</v>
      </c>
      <c r="FT420" s="88">
        <v>0</v>
      </c>
      <c r="FU420" s="88">
        <v>0</v>
      </c>
      <c r="FV420" s="88">
        <v>0</v>
      </c>
      <c r="FW420" s="88">
        <v>81</v>
      </c>
      <c r="FX420" s="32">
        <v>0</v>
      </c>
      <c r="FY420" s="32">
        <v>0</v>
      </c>
      <c r="FZ420" s="32">
        <v>2566</v>
      </c>
    </row>
    <row r="421" spans="1:182" s="22" customFormat="1" x14ac:dyDescent="0.2">
      <c r="A421" s="41">
        <v>44378</v>
      </c>
      <c r="B421" s="100">
        <f t="shared" si="35"/>
        <v>61718303.840000011</v>
      </c>
      <c r="C421" s="42">
        <v>20243.64</v>
      </c>
      <c r="D421" s="42">
        <v>429351.13000000006</v>
      </c>
      <c r="E421" s="43">
        <f t="shared" si="29"/>
        <v>449594.77000000008</v>
      </c>
      <c r="F421" s="42">
        <v>3909476.6</v>
      </c>
      <c r="G421" s="42">
        <v>1770459.1299999997</v>
      </c>
      <c r="H421" s="32">
        <f t="shared" si="28"/>
        <v>5679935.7299999995</v>
      </c>
      <c r="I421" s="42"/>
      <c r="J421" s="42"/>
      <c r="K421" s="98">
        <v>13929912.980000002</v>
      </c>
      <c r="L421" s="42"/>
      <c r="M421" s="42"/>
      <c r="N421" s="98">
        <v>21288289.079999998</v>
      </c>
      <c r="O421" s="42"/>
      <c r="P421" s="42"/>
      <c r="Q421" s="98">
        <v>19852148.559999999</v>
      </c>
      <c r="R421" s="42"/>
      <c r="S421" s="42"/>
      <c r="T421" s="42">
        <v>185586.64</v>
      </c>
      <c r="U421" s="42">
        <v>1353.71</v>
      </c>
      <c r="V421" s="42">
        <v>2168.6999999999998</v>
      </c>
      <c r="W421" s="42">
        <f t="shared" si="30"/>
        <v>3522.41</v>
      </c>
      <c r="X421" s="42">
        <v>6636.36</v>
      </c>
      <c r="Y421" s="42">
        <v>5000.4799999999996</v>
      </c>
      <c r="Z421" s="32">
        <f t="shared" si="31"/>
        <v>11636.84</v>
      </c>
      <c r="AA421" s="42">
        <v>120773.30000000002</v>
      </c>
      <c r="AB421" s="42">
        <v>66633.600000000006</v>
      </c>
      <c r="AC421" s="32">
        <f t="shared" si="32"/>
        <v>187406.90000000002</v>
      </c>
      <c r="AD421" s="42">
        <v>2732.99</v>
      </c>
      <c r="AE421" s="42">
        <v>6504.1</v>
      </c>
      <c r="AF421" s="32">
        <f t="shared" si="33"/>
        <v>9237.09</v>
      </c>
      <c r="AG421" s="32">
        <v>6051.1100000000006</v>
      </c>
      <c r="AH421" s="32">
        <v>62404.03</v>
      </c>
      <c r="AI421" s="32">
        <f t="shared" si="34"/>
        <v>68455.14</v>
      </c>
      <c r="AJ421" s="42"/>
      <c r="AK421" s="42"/>
      <c r="AL421" s="42">
        <v>52577.7</v>
      </c>
      <c r="AM421" s="42"/>
      <c r="AN421" s="42"/>
      <c r="AO421" s="42"/>
      <c r="AP421" s="42"/>
      <c r="AQ421" s="42"/>
      <c r="AR421" s="42"/>
      <c r="AS421" s="42"/>
      <c r="AT421" s="42"/>
      <c r="AU421" s="42">
        <v>1450444.1699999997</v>
      </c>
      <c r="AV421" s="42"/>
      <c r="AW421" s="42"/>
      <c r="AX421" s="42">
        <v>39185.61</v>
      </c>
      <c r="AY421" s="42">
        <v>5957815.5</v>
      </c>
      <c r="AZ421" s="42">
        <v>1010424.5</v>
      </c>
      <c r="BA421" s="43">
        <f t="shared" si="27"/>
        <v>6968240</v>
      </c>
      <c r="BB421" s="42"/>
      <c r="BC421" s="42"/>
      <c r="BD421" s="42">
        <v>1473032.5777777778</v>
      </c>
      <c r="BE421" s="88">
        <v>0</v>
      </c>
      <c r="BF421" s="88">
        <v>0</v>
      </c>
      <c r="BG421" s="88">
        <v>80</v>
      </c>
      <c r="BH421" s="88">
        <v>0</v>
      </c>
      <c r="BI421" s="88">
        <v>0</v>
      </c>
      <c r="BJ421" s="88">
        <v>0</v>
      </c>
      <c r="BK421" s="88">
        <v>0</v>
      </c>
      <c r="BL421" s="88">
        <v>0</v>
      </c>
      <c r="BM421" s="88">
        <v>209</v>
      </c>
      <c r="BN421" s="88">
        <v>0</v>
      </c>
      <c r="BO421" s="88">
        <v>0</v>
      </c>
      <c r="BP421" s="88">
        <v>2</v>
      </c>
      <c r="BQ421" s="88">
        <v>0</v>
      </c>
      <c r="BR421" s="88">
        <v>0</v>
      </c>
      <c r="BS421" s="88">
        <v>659</v>
      </c>
      <c r="BT421" s="88">
        <v>0</v>
      </c>
      <c r="BU421" s="88">
        <v>0</v>
      </c>
      <c r="BV421" s="88">
        <v>0</v>
      </c>
      <c r="BW421" s="88"/>
      <c r="BX421" s="88"/>
      <c r="BY421" s="88"/>
      <c r="BZ421" s="88">
        <v>0</v>
      </c>
      <c r="CA421" s="88">
        <v>0</v>
      </c>
      <c r="CB421" s="88">
        <v>255</v>
      </c>
      <c r="CC421" s="88"/>
      <c r="CD421" s="88"/>
      <c r="CE421" s="88"/>
      <c r="CF421" s="88">
        <v>0</v>
      </c>
      <c r="CG421" s="88">
        <v>0</v>
      </c>
      <c r="CH421" s="88">
        <v>4</v>
      </c>
      <c r="CI421" s="88">
        <v>0</v>
      </c>
      <c r="CJ421" s="88">
        <v>0</v>
      </c>
      <c r="CK421" s="88">
        <v>12</v>
      </c>
      <c r="CL421" s="88">
        <v>0</v>
      </c>
      <c r="CM421" s="88">
        <v>0</v>
      </c>
      <c r="CN421" s="88">
        <v>1</v>
      </c>
      <c r="CO421" s="88">
        <v>0</v>
      </c>
      <c r="CP421" s="88">
        <v>0</v>
      </c>
      <c r="CQ421" s="88">
        <v>17</v>
      </c>
      <c r="CR421" s="88">
        <v>0</v>
      </c>
      <c r="CS421" s="88">
        <v>0</v>
      </c>
      <c r="CT421" s="88">
        <v>0</v>
      </c>
      <c r="CU421" s="88">
        <v>0</v>
      </c>
      <c r="CV421" s="88">
        <v>0</v>
      </c>
      <c r="CW421" s="88">
        <v>292</v>
      </c>
      <c r="CX421" s="88">
        <v>0</v>
      </c>
      <c r="CY421" s="88">
        <v>0</v>
      </c>
      <c r="CZ421" s="88">
        <v>0</v>
      </c>
      <c r="DA421" s="88">
        <v>0</v>
      </c>
      <c r="DB421" s="88">
        <v>0</v>
      </c>
      <c r="DC421" s="88">
        <v>0</v>
      </c>
      <c r="DD421" s="88">
        <v>0</v>
      </c>
      <c r="DE421" s="88">
        <v>0</v>
      </c>
      <c r="DF421" s="88">
        <v>0</v>
      </c>
      <c r="DG421" s="88">
        <v>0</v>
      </c>
      <c r="DH421" s="88">
        <v>0</v>
      </c>
      <c r="DI421" s="88">
        <v>2</v>
      </c>
      <c r="DJ421" s="88">
        <v>0</v>
      </c>
      <c r="DK421" s="88">
        <v>0</v>
      </c>
      <c r="DL421" s="88">
        <v>0</v>
      </c>
      <c r="DM421" s="88">
        <v>0</v>
      </c>
      <c r="DN421" s="88">
        <v>0</v>
      </c>
      <c r="DO421" s="88">
        <v>0</v>
      </c>
      <c r="DP421" s="88">
        <v>0</v>
      </c>
      <c r="DQ421" s="88">
        <v>0</v>
      </c>
      <c r="DR421" s="87">
        <v>1</v>
      </c>
      <c r="DS421" s="87">
        <v>0</v>
      </c>
      <c r="DT421" s="87">
        <v>0</v>
      </c>
      <c r="DU421" s="87">
        <v>706</v>
      </c>
      <c r="DV421" s="87">
        <v>0</v>
      </c>
      <c r="DW421" s="87">
        <v>0</v>
      </c>
      <c r="DX421" s="87">
        <v>0</v>
      </c>
      <c r="DY421" s="88">
        <v>0</v>
      </c>
      <c r="DZ421" s="88">
        <v>0</v>
      </c>
      <c r="EA421" s="88">
        <v>758</v>
      </c>
      <c r="EB421" s="88">
        <v>0</v>
      </c>
      <c r="EC421" s="88">
        <v>0</v>
      </c>
      <c r="ED421" s="88">
        <v>0</v>
      </c>
      <c r="EE421" s="88">
        <v>0</v>
      </c>
      <c r="EF421" s="88">
        <v>0</v>
      </c>
      <c r="EG421" s="88">
        <v>344</v>
      </c>
      <c r="EH421" s="88">
        <v>0</v>
      </c>
      <c r="EI421" s="88">
        <v>0</v>
      </c>
      <c r="EJ421" s="88">
        <v>240</v>
      </c>
      <c r="EK421" s="88">
        <v>0</v>
      </c>
      <c r="EL421" s="88">
        <v>0</v>
      </c>
      <c r="EM421" s="88">
        <v>741</v>
      </c>
      <c r="EN421" s="88">
        <v>0</v>
      </c>
      <c r="EO421" s="88">
        <v>0</v>
      </c>
      <c r="EP421" s="88">
        <v>47</v>
      </c>
      <c r="EQ421" s="88">
        <v>0</v>
      </c>
      <c r="ER421" s="88">
        <v>0</v>
      </c>
      <c r="ES421" s="88">
        <v>0</v>
      </c>
      <c r="ET421" s="88">
        <v>0</v>
      </c>
      <c r="EU421" s="88">
        <v>0</v>
      </c>
      <c r="EV421" s="88">
        <v>17</v>
      </c>
      <c r="EW421" s="88">
        <v>0</v>
      </c>
      <c r="EX421" s="88">
        <v>0</v>
      </c>
      <c r="EY421" s="88">
        <v>9</v>
      </c>
      <c r="EZ421" s="88">
        <v>0</v>
      </c>
      <c r="FA421" s="88">
        <v>0</v>
      </c>
      <c r="FB421" s="88">
        <v>1</v>
      </c>
      <c r="FC421" s="88">
        <v>0</v>
      </c>
      <c r="FD421" s="88">
        <v>0</v>
      </c>
      <c r="FE421" s="88">
        <v>5</v>
      </c>
      <c r="FF421" s="88">
        <v>0</v>
      </c>
      <c r="FG421" s="88">
        <v>0</v>
      </c>
      <c r="FH421" s="88">
        <v>0</v>
      </c>
      <c r="FI421" s="88">
        <v>0</v>
      </c>
      <c r="FJ421" s="88">
        <v>0</v>
      </c>
      <c r="FK421" s="32">
        <v>115</v>
      </c>
      <c r="FL421" s="88">
        <v>0</v>
      </c>
      <c r="FM421" s="88">
        <v>0</v>
      </c>
      <c r="FN421" s="88">
        <v>2780</v>
      </c>
      <c r="FO421" s="88">
        <v>0</v>
      </c>
      <c r="FP421" s="88">
        <v>0</v>
      </c>
      <c r="FQ421" s="88">
        <v>258</v>
      </c>
      <c r="FR421" s="88">
        <v>0</v>
      </c>
      <c r="FS421" s="88">
        <v>0</v>
      </c>
      <c r="FT421" s="88">
        <v>0</v>
      </c>
      <c r="FU421" s="88">
        <v>0</v>
      </c>
      <c r="FV421" s="88">
        <v>0</v>
      </c>
      <c r="FW421" s="88">
        <v>94</v>
      </c>
      <c r="FX421" s="32">
        <v>0</v>
      </c>
      <c r="FY421" s="32">
        <v>0</v>
      </c>
      <c r="FZ421" s="32">
        <v>2428</v>
      </c>
    </row>
    <row r="422" spans="1:182" s="22" customFormat="1" x14ac:dyDescent="0.2">
      <c r="A422" s="41">
        <v>44409</v>
      </c>
      <c r="B422" s="100">
        <f t="shared" si="35"/>
        <v>65901571.260000005</v>
      </c>
      <c r="C422" s="42">
        <v>31386.07</v>
      </c>
      <c r="D422" s="42">
        <v>381413.01</v>
      </c>
      <c r="E422" s="43">
        <f t="shared" si="29"/>
        <v>412799.08</v>
      </c>
      <c r="F422" s="42">
        <v>4843751.05</v>
      </c>
      <c r="G422" s="42">
        <v>2179905.6799999997</v>
      </c>
      <c r="H422" s="32">
        <f t="shared" si="28"/>
        <v>7023656.7299999995</v>
      </c>
      <c r="I422" s="42"/>
      <c r="J422" s="42"/>
      <c r="K422" s="98">
        <v>14762085.529999997</v>
      </c>
      <c r="L422" s="42"/>
      <c r="M422" s="42"/>
      <c r="N422" s="98">
        <v>22154974.390000001</v>
      </c>
      <c r="O422" s="42"/>
      <c r="P422" s="42"/>
      <c r="Q422" s="98">
        <v>21020572.050000001</v>
      </c>
      <c r="R422" s="42"/>
      <c r="S422" s="42"/>
      <c r="T422" s="42">
        <v>132801</v>
      </c>
      <c r="U422" s="42">
        <v>2898.86</v>
      </c>
      <c r="V422" s="42">
        <v>2395.4899999999998</v>
      </c>
      <c r="W422" s="42">
        <f t="shared" si="30"/>
        <v>5294.35</v>
      </c>
      <c r="X422" s="42">
        <v>16630.68</v>
      </c>
      <c r="Y422" s="42">
        <v>3388.68</v>
      </c>
      <c r="Z422" s="32">
        <f t="shared" si="31"/>
        <v>20019.36</v>
      </c>
      <c r="AA422" s="42">
        <v>90171.49</v>
      </c>
      <c r="AB422" s="42">
        <v>113983.98999999999</v>
      </c>
      <c r="AC422" s="32">
        <f t="shared" si="32"/>
        <v>204155.47999999998</v>
      </c>
      <c r="AD422" s="42">
        <v>3923.9100000000003</v>
      </c>
      <c r="AE422" s="42">
        <v>8074.93</v>
      </c>
      <c r="AF422" s="32">
        <f t="shared" si="33"/>
        <v>11998.84</v>
      </c>
      <c r="AG422" s="32">
        <v>8319.4599999999991</v>
      </c>
      <c r="AH422" s="32">
        <v>80859.400000000009</v>
      </c>
      <c r="AI422" s="32">
        <f t="shared" si="34"/>
        <v>89178.860000000015</v>
      </c>
      <c r="AJ422" s="42"/>
      <c r="AK422" s="42"/>
      <c r="AL422" s="42">
        <v>64035.59</v>
      </c>
      <c r="AM422" s="42"/>
      <c r="AN422" s="42"/>
      <c r="AO422" s="42"/>
      <c r="AP422" s="42"/>
      <c r="AQ422" s="42"/>
      <c r="AR422" s="42"/>
      <c r="AS422" s="42"/>
      <c r="AT422" s="42"/>
      <c r="AU422" s="42">
        <v>1427267.0099999993</v>
      </c>
      <c r="AV422" s="42"/>
      <c r="AW422" s="42"/>
      <c r="AX422" s="42">
        <v>40882.020000000004</v>
      </c>
      <c r="AY422" s="42">
        <v>6235730</v>
      </c>
      <c r="AZ422" s="42">
        <v>1083795.5</v>
      </c>
      <c r="BA422" s="43">
        <f t="shared" si="27"/>
        <v>7319525.5</v>
      </c>
      <c r="BB422" s="42"/>
      <c r="BC422" s="42"/>
      <c r="BD422" s="42">
        <v>1522537.2222222222</v>
      </c>
      <c r="BE422" s="88">
        <v>0</v>
      </c>
      <c r="BF422" s="88">
        <v>0</v>
      </c>
      <c r="BG422" s="88">
        <v>93</v>
      </c>
      <c r="BH422" s="88">
        <v>0</v>
      </c>
      <c r="BI422" s="88">
        <v>0</v>
      </c>
      <c r="BJ422" s="88">
        <v>0</v>
      </c>
      <c r="BK422" s="88">
        <v>0</v>
      </c>
      <c r="BL422" s="88">
        <v>0</v>
      </c>
      <c r="BM422" s="88">
        <v>209</v>
      </c>
      <c r="BN422" s="88">
        <v>0</v>
      </c>
      <c r="BO422" s="88">
        <v>0</v>
      </c>
      <c r="BP422" s="88">
        <v>0</v>
      </c>
      <c r="BQ422" s="88">
        <v>0</v>
      </c>
      <c r="BR422" s="88">
        <v>0</v>
      </c>
      <c r="BS422" s="88">
        <v>386</v>
      </c>
      <c r="BT422" s="88">
        <v>0</v>
      </c>
      <c r="BU422" s="88">
        <v>0</v>
      </c>
      <c r="BV422" s="88">
        <v>0</v>
      </c>
      <c r="BW422" s="88"/>
      <c r="BX422" s="88"/>
      <c r="BY422" s="88"/>
      <c r="BZ422" s="88">
        <v>0</v>
      </c>
      <c r="CA422" s="88">
        <v>0</v>
      </c>
      <c r="CB422" s="88">
        <v>279</v>
      </c>
      <c r="CC422" s="88"/>
      <c r="CD422" s="88"/>
      <c r="CE422" s="88"/>
      <c r="CF422" s="88">
        <v>0</v>
      </c>
      <c r="CG422" s="88">
        <v>0</v>
      </c>
      <c r="CH422" s="88">
        <v>2</v>
      </c>
      <c r="CI422" s="88">
        <v>0</v>
      </c>
      <c r="CJ422" s="88">
        <v>0</v>
      </c>
      <c r="CK422" s="88">
        <v>6</v>
      </c>
      <c r="CL422" s="88">
        <v>0</v>
      </c>
      <c r="CM422" s="88">
        <v>0</v>
      </c>
      <c r="CN422" s="88">
        <v>0</v>
      </c>
      <c r="CO422" s="88">
        <v>0</v>
      </c>
      <c r="CP422" s="88">
        <v>0</v>
      </c>
      <c r="CQ422" s="88">
        <v>10</v>
      </c>
      <c r="CR422" s="88">
        <v>0</v>
      </c>
      <c r="CS422" s="88">
        <v>0</v>
      </c>
      <c r="CT422" s="88">
        <v>0</v>
      </c>
      <c r="CU422" s="88">
        <v>0</v>
      </c>
      <c r="CV422" s="88">
        <v>0</v>
      </c>
      <c r="CW422" s="88">
        <v>327</v>
      </c>
      <c r="CX422" s="88">
        <v>0</v>
      </c>
      <c r="CY422" s="88">
        <v>0</v>
      </c>
      <c r="CZ422" s="88">
        <v>0</v>
      </c>
      <c r="DA422" s="88">
        <v>0</v>
      </c>
      <c r="DB422" s="88">
        <v>0</v>
      </c>
      <c r="DC422" s="88">
        <v>0</v>
      </c>
      <c r="DD422" s="88">
        <v>0</v>
      </c>
      <c r="DE422" s="88">
        <v>0</v>
      </c>
      <c r="DF422" s="88">
        <v>0</v>
      </c>
      <c r="DG422" s="88">
        <v>0</v>
      </c>
      <c r="DH422" s="88">
        <v>0</v>
      </c>
      <c r="DI422" s="88">
        <v>2</v>
      </c>
      <c r="DJ422" s="88">
        <v>0</v>
      </c>
      <c r="DK422" s="88">
        <v>0</v>
      </c>
      <c r="DL422" s="88">
        <v>0</v>
      </c>
      <c r="DM422" s="88">
        <v>0</v>
      </c>
      <c r="DN422" s="88">
        <v>0</v>
      </c>
      <c r="DO422" s="88">
        <v>0</v>
      </c>
      <c r="DP422" s="88">
        <v>0</v>
      </c>
      <c r="DQ422" s="88">
        <v>0</v>
      </c>
      <c r="DR422" s="87">
        <v>1</v>
      </c>
      <c r="DS422" s="87">
        <v>0</v>
      </c>
      <c r="DT422" s="87">
        <v>0</v>
      </c>
      <c r="DU422" s="87">
        <v>195</v>
      </c>
      <c r="DV422" s="87">
        <v>0</v>
      </c>
      <c r="DW422" s="87">
        <v>0</v>
      </c>
      <c r="DX422" s="87">
        <v>0</v>
      </c>
      <c r="DY422" s="88">
        <v>0</v>
      </c>
      <c r="DZ422" s="88">
        <v>0</v>
      </c>
      <c r="EA422" s="88">
        <v>943</v>
      </c>
      <c r="EB422" s="88">
        <v>0</v>
      </c>
      <c r="EC422" s="88">
        <v>0</v>
      </c>
      <c r="ED422" s="88">
        <v>0</v>
      </c>
      <c r="EE422" s="88">
        <v>0</v>
      </c>
      <c r="EF422" s="88">
        <v>0</v>
      </c>
      <c r="EG422" s="88">
        <v>593</v>
      </c>
      <c r="EH422" s="88">
        <v>0</v>
      </c>
      <c r="EI422" s="88">
        <v>0</v>
      </c>
      <c r="EJ422" s="88">
        <v>134</v>
      </c>
      <c r="EK422" s="88">
        <v>0</v>
      </c>
      <c r="EL422" s="88">
        <v>0</v>
      </c>
      <c r="EM422" s="88">
        <v>645</v>
      </c>
      <c r="EN422" s="88">
        <v>0</v>
      </c>
      <c r="EO422" s="88">
        <v>0</v>
      </c>
      <c r="EP422" s="88">
        <v>57</v>
      </c>
      <c r="EQ422" s="88">
        <v>0</v>
      </c>
      <c r="ER422" s="88">
        <v>0</v>
      </c>
      <c r="ES422" s="88">
        <v>8</v>
      </c>
      <c r="ET422" s="88">
        <v>0</v>
      </c>
      <c r="EU422" s="88">
        <v>0</v>
      </c>
      <c r="EV422" s="88">
        <v>18</v>
      </c>
      <c r="EW422" s="88">
        <v>0</v>
      </c>
      <c r="EX422" s="88">
        <v>0</v>
      </c>
      <c r="EY422" s="88">
        <v>15</v>
      </c>
      <c r="EZ422" s="88">
        <v>0</v>
      </c>
      <c r="FA422" s="88">
        <v>0</v>
      </c>
      <c r="FB422" s="88">
        <v>0</v>
      </c>
      <c r="FC422" s="88">
        <v>0</v>
      </c>
      <c r="FD422" s="88">
        <v>0</v>
      </c>
      <c r="FE422" s="88">
        <v>3</v>
      </c>
      <c r="FF422" s="88">
        <v>0</v>
      </c>
      <c r="FG422" s="88">
        <v>0</v>
      </c>
      <c r="FH422" s="88">
        <v>0</v>
      </c>
      <c r="FI422" s="88">
        <v>0</v>
      </c>
      <c r="FJ422" s="88">
        <v>0</v>
      </c>
      <c r="FK422" s="32">
        <v>167</v>
      </c>
      <c r="FL422" s="88">
        <v>0</v>
      </c>
      <c r="FM422" s="88">
        <v>0</v>
      </c>
      <c r="FN422" s="88">
        <v>3013</v>
      </c>
      <c r="FO422" s="88">
        <v>0</v>
      </c>
      <c r="FP422" s="88">
        <v>0</v>
      </c>
      <c r="FQ422" s="88">
        <v>253</v>
      </c>
      <c r="FR422" s="88">
        <v>0</v>
      </c>
      <c r="FS422" s="88">
        <v>0</v>
      </c>
      <c r="FT422" s="88">
        <v>0</v>
      </c>
      <c r="FU422" s="88">
        <v>0</v>
      </c>
      <c r="FV422" s="88">
        <v>0</v>
      </c>
      <c r="FW422" s="88">
        <v>127</v>
      </c>
      <c r="FX422" s="32">
        <v>0</v>
      </c>
      <c r="FY422" s="32">
        <v>0</v>
      </c>
      <c r="FZ422" s="32">
        <v>1894</v>
      </c>
    </row>
    <row r="423" spans="1:182" s="22" customFormat="1" x14ac:dyDescent="0.2">
      <c r="A423" s="41">
        <v>44440</v>
      </c>
      <c r="B423" s="100">
        <f t="shared" si="35"/>
        <v>80351369.939999998</v>
      </c>
      <c r="C423" s="42">
        <v>21582.32</v>
      </c>
      <c r="D423" s="42">
        <v>365428.18</v>
      </c>
      <c r="E423" s="43">
        <f t="shared" si="29"/>
        <v>387010.5</v>
      </c>
      <c r="F423" s="42">
        <v>4704499.95</v>
      </c>
      <c r="G423" s="42">
        <v>2729036.4</v>
      </c>
      <c r="H423" s="32">
        <f t="shared" si="28"/>
        <v>7433536.3499999996</v>
      </c>
      <c r="I423" s="42"/>
      <c r="J423" s="42"/>
      <c r="K423" s="98">
        <v>23044490.050000001</v>
      </c>
      <c r="L423" s="42"/>
      <c r="M423" s="42"/>
      <c r="N423" s="98">
        <v>23035288.289999999</v>
      </c>
      <c r="O423" s="42"/>
      <c r="P423" s="42"/>
      <c r="Q423" s="98">
        <v>25929875.650000002</v>
      </c>
      <c r="R423" s="42"/>
      <c r="S423" s="42"/>
      <c r="T423" s="42">
        <v>172839.75</v>
      </c>
      <c r="U423" s="42">
        <v>2778.75</v>
      </c>
      <c r="V423" s="42">
        <v>3421.1099999999997</v>
      </c>
      <c r="W423" s="42">
        <f t="shared" si="30"/>
        <v>6199.86</v>
      </c>
      <c r="X423" s="42">
        <v>59963.87</v>
      </c>
      <c r="Y423" s="42">
        <v>3325.01</v>
      </c>
      <c r="Z423" s="32">
        <f t="shared" si="31"/>
        <v>63288.880000000005</v>
      </c>
      <c r="AA423" s="42">
        <v>34163.120000000003</v>
      </c>
      <c r="AB423" s="42">
        <v>38402.75</v>
      </c>
      <c r="AC423" s="32">
        <f t="shared" si="32"/>
        <v>72565.87</v>
      </c>
      <c r="AD423" s="42">
        <v>5376.52</v>
      </c>
      <c r="AE423" s="42">
        <v>13823.98</v>
      </c>
      <c r="AF423" s="32">
        <f t="shared" si="33"/>
        <v>19200.5</v>
      </c>
      <c r="AG423" s="32">
        <v>6648.51</v>
      </c>
      <c r="AH423" s="32">
        <v>91758.13</v>
      </c>
      <c r="AI423" s="32">
        <f t="shared" si="34"/>
        <v>98406.64</v>
      </c>
      <c r="AJ423" s="42"/>
      <c r="AK423" s="42"/>
      <c r="AL423" s="42">
        <v>88667.6</v>
      </c>
      <c r="AM423" s="42"/>
      <c r="AN423" s="42"/>
      <c r="AO423" s="42"/>
      <c r="AP423" s="42"/>
      <c r="AQ423" s="42"/>
      <c r="AR423" s="42"/>
      <c r="AS423" s="42"/>
      <c r="AT423" s="42"/>
      <c r="AU423" s="42">
        <v>1505238.4300000002</v>
      </c>
      <c r="AV423" s="42"/>
      <c r="AW423" s="42"/>
      <c r="AX423" s="42">
        <v>34650.840000000004</v>
      </c>
      <c r="AY423" s="42">
        <v>6040530.5</v>
      </c>
      <c r="AZ423" s="42">
        <v>1005900</v>
      </c>
      <c r="BA423" s="43">
        <f t="shared" si="27"/>
        <v>7046430.5</v>
      </c>
      <c r="BB423" s="42"/>
      <c r="BC423" s="42"/>
      <c r="BD423" s="42">
        <v>1506993.7777777778</v>
      </c>
      <c r="BE423" s="88">
        <v>0</v>
      </c>
      <c r="BF423" s="88">
        <v>0</v>
      </c>
      <c r="BG423" s="88">
        <v>118</v>
      </c>
      <c r="BH423" s="88">
        <v>0</v>
      </c>
      <c r="BI423" s="88">
        <v>0</v>
      </c>
      <c r="BJ423" s="88">
        <v>0</v>
      </c>
      <c r="BK423" s="88">
        <v>0</v>
      </c>
      <c r="BL423" s="88">
        <v>0</v>
      </c>
      <c r="BM423" s="88">
        <v>204</v>
      </c>
      <c r="BN423" s="88">
        <v>0</v>
      </c>
      <c r="BO423" s="88">
        <v>0</v>
      </c>
      <c r="BP423" s="88">
        <v>7</v>
      </c>
      <c r="BQ423" s="88">
        <v>0</v>
      </c>
      <c r="BR423" s="88">
        <v>0</v>
      </c>
      <c r="BS423" s="88">
        <v>201</v>
      </c>
      <c r="BT423" s="88">
        <v>0</v>
      </c>
      <c r="BU423" s="88">
        <v>0</v>
      </c>
      <c r="BV423" s="88">
        <v>0</v>
      </c>
      <c r="BW423" s="88"/>
      <c r="BX423" s="88"/>
      <c r="BY423" s="88"/>
      <c r="BZ423" s="88">
        <v>0</v>
      </c>
      <c r="CA423" s="88">
        <v>0</v>
      </c>
      <c r="CB423" s="88">
        <v>285</v>
      </c>
      <c r="CC423" s="88"/>
      <c r="CD423" s="88"/>
      <c r="CE423" s="88"/>
      <c r="CF423" s="88">
        <v>0</v>
      </c>
      <c r="CG423" s="88">
        <v>0</v>
      </c>
      <c r="CH423" s="88">
        <v>3</v>
      </c>
      <c r="CI423" s="88">
        <v>0</v>
      </c>
      <c r="CJ423" s="88">
        <v>0</v>
      </c>
      <c r="CK423" s="88">
        <v>7</v>
      </c>
      <c r="CL423" s="88">
        <v>0</v>
      </c>
      <c r="CM423" s="88">
        <v>0</v>
      </c>
      <c r="CN423" s="88">
        <v>0</v>
      </c>
      <c r="CO423" s="88">
        <v>0</v>
      </c>
      <c r="CP423" s="88">
        <v>0</v>
      </c>
      <c r="CQ423" s="88">
        <v>22</v>
      </c>
      <c r="CR423" s="88">
        <v>0</v>
      </c>
      <c r="CS423" s="88">
        <v>0</v>
      </c>
      <c r="CT423" s="88">
        <v>0</v>
      </c>
      <c r="CU423" s="88">
        <v>0</v>
      </c>
      <c r="CV423" s="88">
        <v>0</v>
      </c>
      <c r="CW423" s="88">
        <v>385</v>
      </c>
      <c r="CX423" s="88">
        <v>0</v>
      </c>
      <c r="CY423" s="88">
        <v>0</v>
      </c>
      <c r="CZ423" s="88">
        <v>4</v>
      </c>
      <c r="DA423" s="88">
        <v>0</v>
      </c>
      <c r="DB423" s="88">
        <v>0</v>
      </c>
      <c r="DC423" s="88">
        <v>0</v>
      </c>
      <c r="DD423" s="88">
        <v>0</v>
      </c>
      <c r="DE423" s="88">
        <v>0</v>
      </c>
      <c r="DF423" s="88">
        <v>0</v>
      </c>
      <c r="DG423" s="88">
        <v>0</v>
      </c>
      <c r="DH423" s="88">
        <v>0</v>
      </c>
      <c r="DI423" s="88">
        <v>16</v>
      </c>
      <c r="DJ423" s="88">
        <v>0</v>
      </c>
      <c r="DK423" s="88">
        <v>0</v>
      </c>
      <c r="DL423" s="88">
        <v>0</v>
      </c>
      <c r="DM423" s="88">
        <v>0</v>
      </c>
      <c r="DN423" s="88">
        <v>0</v>
      </c>
      <c r="DO423" s="88">
        <v>0</v>
      </c>
      <c r="DP423" s="88">
        <v>0</v>
      </c>
      <c r="DQ423" s="88">
        <v>0</v>
      </c>
      <c r="DR423" s="87">
        <v>70</v>
      </c>
      <c r="DS423" s="87">
        <v>0</v>
      </c>
      <c r="DT423" s="87">
        <v>0</v>
      </c>
      <c r="DU423" s="87">
        <v>80</v>
      </c>
      <c r="DV423" s="87">
        <v>0</v>
      </c>
      <c r="DW423" s="87">
        <v>0</v>
      </c>
      <c r="DX423" s="87">
        <v>0</v>
      </c>
      <c r="DY423" s="88">
        <v>0</v>
      </c>
      <c r="DZ423" s="88">
        <v>0</v>
      </c>
      <c r="EA423" s="88">
        <v>1071</v>
      </c>
      <c r="EB423" s="88">
        <v>0</v>
      </c>
      <c r="EC423" s="88">
        <v>0</v>
      </c>
      <c r="ED423" s="88">
        <v>0</v>
      </c>
      <c r="EE423" s="88">
        <v>0</v>
      </c>
      <c r="EF423" s="88">
        <v>0</v>
      </c>
      <c r="EG423" s="88">
        <v>626</v>
      </c>
      <c r="EH423" s="88">
        <v>0</v>
      </c>
      <c r="EI423" s="88">
        <v>0</v>
      </c>
      <c r="EJ423" s="88">
        <v>163</v>
      </c>
      <c r="EK423" s="88">
        <v>0</v>
      </c>
      <c r="EL423" s="88">
        <v>0</v>
      </c>
      <c r="EM423" s="88">
        <v>785</v>
      </c>
      <c r="EN423" s="88">
        <v>0</v>
      </c>
      <c r="EO423" s="88">
        <v>0</v>
      </c>
      <c r="EP423" s="88">
        <v>66</v>
      </c>
      <c r="EQ423" s="88">
        <v>0</v>
      </c>
      <c r="ER423" s="88">
        <v>0</v>
      </c>
      <c r="ES423" s="88">
        <v>6</v>
      </c>
      <c r="ET423" s="88">
        <v>0</v>
      </c>
      <c r="EU423" s="88">
        <v>0</v>
      </c>
      <c r="EV423" s="88">
        <v>20</v>
      </c>
      <c r="EW423" s="88">
        <v>0</v>
      </c>
      <c r="EX423" s="88">
        <v>0</v>
      </c>
      <c r="EY423" s="88">
        <v>12</v>
      </c>
      <c r="EZ423" s="88">
        <v>0</v>
      </c>
      <c r="FA423" s="88">
        <v>0</v>
      </c>
      <c r="FB423" s="88">
        <v>0</v>
      </c>
      <c r="FC423" s="88">
        <v>0</v>
      </c>
      <c r="FD423" s="88">
        <v>0</v>
      </c>
      <c r="FE423" s="88">
        <v>5</v>
      </c>
      <c r="FF423" s="88">
        <v>0</v>
      </c>
      <c r="FG423" s="88">
        <v>0</v>
      </c>
      <c r="FH423" s="88">
        <v>0</v>
      </c>
      <c r="FI423" s="88">
        <v>0</v>
      </c>
      <c r="FJ423" s="88">
        <v>0</v>
      </c>
      <c r="FK423" s="32">
        <v>187</v>
      </c>
      <c r="FL423" s="88">
        <v>0</v>
      </c>
      <c r="FM423" s="88">
        <v>0</v>
      </c>
      <c r="FN423" s="88">
        <v>3103</v>
      </c>
      <c r="FO423" s="88">
        <v>0</v>
      </c>
      <c r="FP423" s="88">
        <v>0</v>
      </c>
      <c r="FQ423" s="88">
        <v>243</v>
      </c>
      <c r="FR423" s="88">
        <v>0</v>
      </c>
      <c r="FS423" s="88">
        <v>0</v>
      </c>
      <c r="FT423" s="88">
        <v>0</v>
      </c>
      <c r="FU423" s="88">
        <v>0</v>
      </c>
      <c r="FV423" s="88">
        <v>0</v>
      </c>
      <c r="FW423" s="88">
        <v>194</v>
      </c>
      <c r="FX423" s="32">
        <v>0</v>
      </c>
      <c r="FY423" s="32">
        <v>0</v>
      </c>
      <c r="FZ423" s="32">
        <v>1535</v>
      </c>
    </row>
    <row r="424" spans="1:182" s="22" customFormat="1" x14ac:dyDescent="0.2">
      <c r="A424" s="41">
        <v>44470</v>
      </c>
      <c r="B424" s="100">
        <f t="shared" si="35"/>
        <v>87031081.219999984</v>
      </c>
      <c r="C424" s="42">
        <v>31253.119999999999</v>
      </c>
      <c r="D424" s="42">
        <v>381947.22000000003</v>
      </c>
      <c r="E424" s="43">
        <f t="shared" si="29"/>
        <v>413200.34</v>
      </c>
      <c r="F424" s="42">
        <v>6769192.7000000002</v>
      </c>
      <c r="G424" s="42">
        <v>3254647.6099999994</v>
      </c>
      <c r="H424" s="32">
        <f t="shared" si="28"/>
        <v>10023840.309999999</v>
      </c>
      <c r="I424" s="42"/>
      <c r="J424" s="42"/>
      <c r="K424" s="98">
        <v>19571018.41</v>
      </c>
      <c r="L424" s="42"/>
      <c r="M424" s="42"/>
      <c r="N424" s="98">
        <v>25989782.230000004</v>
      </c>
      <c r="O424" s="42"/>
      <c r="P424" s="42"/>
      <c r="Q424" s="98">
        <v>30434173.34</v>
      </c>
      <c r="R424" s="42"/>
      <c r="S424" s="42"/>
      <c r="T424" s="42">
        <v>159923.76999999999</v>
      </c>
      <c r="U424" s="42">
        <v>4508.83</v>
      </c>
      <c r="V424" s="42">
        <v>7407.16</v>
      </c>
      <c r="W424" s="42">
        <f t="shared" si="30"/>
        <v>11915.99</v>
      </c>
      <c r="X424" s="42">
        <v>62371</v>
      </c>
      <c r="Y424" s="42">
        <v>6376.25</v>
      </c>
      <c r="Z424" s="32">
        <f t="shared" si="31"/>
        <v>68747.25</v>
      </c>
      <c r="AA424" s="42">
        <v>33497.789999999994</v>
      </c>
      <c r="AB424" s="42">
        <v>119062.81000000001</v>
      </c>
      <c r="AC424" s="32">
        <f t="shared" si="32"/>
        <v>152560.6</v>
      </c>
      <c r="AD424" s="42">
        <v>6312.08</v>
      </c>
      <c r="AE424" s="42">
        <v>30327.98</v>
      </c>
      <c r="AF424" s="32">
        <f t="shared" si="33"/>
        <v>36640.06</v>
      </c>
      <c r="AG424" s="32">
        <v>6083.33</v>
      </c>
      <c r="AH424" s="32">
        <v>85710.99</v>
      </c>
      <c r="AI424" s="32">
        <f t="shared" si="34"/>
        <v>91794.32</v>
      </c>
      <c r="AJ424" s="42"/>
      <c r="AK424" s="42"/>
      <c r="AL424" s="42">
        <v>77484.600000000006</v>
      </c>
      <c r="AM424" s="42"/>
      <c r="AN424" s="42"/>
      <c r="AO424" s="42"/>
      <c r="AP424" s="42"/>
      <c r="AQ424" s="42"/>
      <c r="AR424" s="42"/>
      <c r="AS424" s="42"/>
      <c r="AT424" s="42"/>
      <c r="AU424" s="42">
        <v>1440962.0100000002</v>
      </c>
      <c r="AV424" s="42"/>
      <c r="AW424" s="42"/>
      <c r="AX424" s="42">
        <v>45084.259999999987</v>
      </c>
      <c r="AY424" s="42">
        <v>5984217.7000000002</v>
      </c>
      <c r="AZ424" s="42">
        <v>1120920</v>
      </c>
      <c r="BA424" s="43">
        <f t="shared" si="27"/>
        <v>7105137.7000000002</v>
      </c>
      <c r="BB424" s="42"/>
      <c r="BC424" s="42"/>
      <c r="BD424" s="42">
        <v>1513708.5555555557</v>
      </c>
      <c r="BE424" s="88">
        <v>0</v>
      </c>
      <c r="BF424" s="88">
        <v>0</v>
      </c>
      <c r="BG424" s="88">
        <v>79</v>
      </c>
      <c r="BH424" s="88">
        <v>0</v>
      </c>
      <c r="BI424" s="88">
        <v>0</v>
      </c>
      <c r="BJ424" s="88">
        <v>0</v>
      </c>
      <c r="BK424" s="88">
        <v>0</v>
      </c>
      <c r="BL424" s="88">
        <v>0</v>
      </c>
      <c r="BM424" s="88">
        <v>210</v>
      </c>
      <c r="BN424" s="88">
        <v>0</v>
      </c>
      <c r="BO424" s="88">
        <v>0</v>
      </c>
      <c r="BP424" s="88">
        <v>3</v>
      </c>
      <c r="BQ424" s="88">
        <v>0</v>
      </c>
      <c r="BR424" s="88">
        <v>0</v>
      </c>
      <c r="BS424" s="88">
        <v>28</v>
      </c>
      <c r="BT424" s="88">
        <v>0</v>
      </c>
      <c r="BU424" s="88">
        <v>0</v>
      </c>
      <c r="BV424" s="88">
        <v>0</v>
      </c>
      <c r="BW424" s="88"/>
      <c r="BX424" s="88"/>
      <c r="BY424" s="88"/>
      <c r="BZ424" s="88">
        <v>0</v>
      </c>
      <c r="CA424" s="88">
        <v>0</v>
      </c>
      <c r="CB424" s="88">
        <v>246</v>
      </c>
      <c r="CC424" s="88"/>
      <c r="CD424" s="88"/>
      <c r="CE424" s="88"/>
      <c r="CF424" s="88">
        <v>0</v>
      </c>
      <c r="CG424" s="88">
        <v>0</v>
      </c>
      <c r="CH424" s="88">
        <v>2</v>
      </c>
      <c r="CI424" s="88">
        <v>0</v>
      </c>
      <c r="CJ424" s="88">
        <v>0</v>
      </c>
      <c r="CK424" s="88">
        <v>106</v>
      </c>
      <c r="CL424" s="88">
        <v>0</v>
      </c>
      <c r="CM424" s="88">
        <v>0</v>
      </c>
      <c r="CN424" s="88">
        <v>2</v>
      </c>
      <c r="CO424" s="88">
        <v>0</v>
      </c>
      <c r="CP424" s="88">
        <v>0</v>
      </c>
      <c r="CQ424" s="88">
        <v>10</v>
      </c>
      <c r="CR424" s="88">
        <v>0</v>
      </c>
      <c r="CS424" s="88">
        <v>0</v>
      </c>
      <c r="CT424" s="88">
        <v>0</v>
      </c>
      <c r="CU424" s="88">
        <v>0</v>
      </c>
      <c r="CV424" s="88">
        <v>0</v>
      </c>
      <c r="CW424" s="88">
        <v>306</v>
      </c>
      <c r="CX424" s="88">
        <v>0</v>
      </c>
      <c r="CY424" s="88">
        <v>0</v>
      </c>
      <c r="CZ424" s="88">
        <v>0</v>
      </c>
      <c r="DA424" s="88">
        <v>0</v>
      </c>
      <c r="DB424" s="88">
        <v>0</v>
      </c>
      <c r="DC424" s="88">
        <v>1</v>
      </c>
      <c r="DD424" s="88">
        <v>0</v>
      </c>
      <c r="DE424" s="88">
        <v>0</v>
      </c>
      <c r="DF424" s="88">
        <v>0</v>
      </c>
      <c r="DG424" s="88">
        <v>0</v>
      </c>
      <c r="DH424" s="88">
        <v>0</v>
      </c>
      <c r="DI424" s="88">
        <v>2</v>
      </c>
      <c r="DJ424" s="88">
        <v>0</v>
      </c>
      <c r="DK424" s="88">
        <v>0</v>
      </c>
      <c r="DL424" s="88">
        <v>0</v>
      </c>
      <c r="DM424" s="88">
        <v>0</v>
      </c>
      <c r="DN424" s="88">
        <v>0</v>
      </c>
      <c r="DO424" s="88">
        <v>0</v>
      </c>
      <c r="DP424" s="88">
        <v>0</v>
      </c>
      <c r="DQ424" s="88">
        <v>0</v>
      </c>
      <c r="DR424" s="87">
        <v>3</v>
      </c>
      <c r="DS424" s="87">
        <v>0</v>
      </c>
      <c r="DT424" s="87">
        <v>0</v>
      </c>
      <c r="DU424" s="87">
        <v>164</v>
      </c>
      <c r="DV424" s="87">
        <v>0</v>
      </c>
      <c r="DW424" s="87">
        <v>0</v>
      </c>
      <c r="DX424" s="87">
        <v>0</v>
      </c>
      <c r="DY424" s="88">
        <v>0</v>
      </c>
      <c r="DZ424" s="88">
        <v>0</v>
      </c>
      <c r="EA424" s="88">
        <v>948</v>
      </c>
      <c r="EB424" s="88">
        <v>0</v>
      </c>
      <c r="EC424" s="88">
        <v>0</v>
      </c>
      <c r="ED424" s="88">
        <v>0</v>
      </c>
      <c r="EE424" s="88">
        <v>0</v>
      </c>
      <c r="EF424" s="88">
        <v>0</v>
      </c>
      <c r="EG424" s="88">
        <v>1013</v>
      </c>
      <c r="EH424" s="88">
        <v>0</v>
      </c>
      <c r="EI424" s="88">
        <v>0</v>
      </c>
      <c r="EJ424" s="88">
        <v>98</v>
      </c>
      <c r="EK424" s="88">
        <v>0</v>
      </c>
      <c r="EL424" s="88">
        <v>0</v>
      </c>
      <c r="EM424" s="115">
        <v>825</v>
      </c>
      <c r="EN424" s="88">
        <v>0</v>
      </c>
      <c r="EO424" s="88">
        <v>0</v>
      </c>
      <c r="EP424" s="88">
        <v>44</v>
      </c>
      <c r="EQ424" s="88">
        <v>0</v>
      </c>
      <c r="ER424" s="88">
        <v>0</v>
      </c>
      <c r="ES424" s="88">
        <v>3</v>
      </c>
      <c r="ET424" s="88">
        <v>0</v>
      </c>
      <c r="EU424" s="88">
        <v>0</v>
      </c>
      <c r="EV424" s="88">
        <v>29</v>
      </c>
      <c r="EW424" s="88">
        <v>0</v>
      </c>
      <c r="EX424" s="88">
        <v>0</v>
      </c>
      <c r="EY424" s="88">
        <v>10</v>
      </c>
      <c r="EZ424" s="88">
        <v>0</v>
      </c>
      <c r="FA424" s="88">
        <v>0</v>
      </c>
      <c r="FB424" s="88">
        <v>0</v>
      </c>
      <c r="FC424" s="88">
        <v>0</v>
      </c>
      <c r="FD424" s="88">
        <v>0</v>
      </c>
      <c r="FE424" s="88">
        <v>3</v>
      </c>
      <c r="FF424" s="88">
        <v>0</v>
      </c>
      <c r="FG424" s="88">
        <v>0</v>
      </c>
      <c r="FH424" s="88">
        <v>0</v>
      </c>
      <c r="FI424" s="88">
        <v>0</v>
      </c>
      <c r="FJ424" s="88">
        <v>0</v>
      </c>
      <c r="FK424" s="32">
        <v>154</v>
      </c>
      <c r="FL424" s="88">
        <v>0</v>
      </c>
      <c r="FM424" s="88">
        <v>0</v>
      </c>
      <c r="FN424" s="88">
        <v>3494</v>
      </c>
      <c r="FO424" s="88">
        <v>0</v>
      </c>
      <c r="FP424" s="88">
        <v>0</v>
      </c>
      <c r="FQ424" s="88">
        <v>545</v>
      </c>
      <c r="FR424" s="88">
        <v>0</v>
      </c>
      <c r="FS424" s="88">
        <v>0</v>
      </c>
      <c r="FT424" s="88">
        <v>0</v>
      </c>
      <c r="FU424" s="88">
        <v>0</v>
      </c>
      <c r="FV424" s="88">
        <v>0</v>
      </c>
      <c r="FW424" s="88">
        <v>313</v>
      </c>
      <c r="FX424" s="32">
        <v>0</v>
      </c>
      <c r="FY424" s="32">
        <v>0</v>
      </c>
      <c r="FZ424" s="32">
        <v>1892</v>
      </c>
    </row>
    <row r="425" spans="1:182" s="22" customFormat="1" x14ac:dyDescent="0.2">
      <c r="A425" s="41">
        <v>44501</v>
      </c>
      <c r="B425" s="100">
        <f t="shared" si="35"/>
        <v>99516133.480000004</v>
      </c>
      <c r="C425" s="42">
        <v>32325.39</v>
      </c>
      <c r="D425" s="42">
        <v>445508.5</v>
      </c>
      <c r="E425" s="43">
        <f t="shared" si="29"/>
        <v>477833.89</v>
      </c>
      <c r="F425" s="42">
        <v>10114411.699999999</v>
      </c>
      <c r="G425" s="42">
        <v>5000840.2699999996</v>
      </c>
      <c r="H425" s="32">
        <f t="shared" si="28"/>
        <v>15115251.969999999</v>
      </c>
      <c r="I425" s="42"/>
      <c r="J425" s="42"/>
      <c r="K425" s="98">
        <v>20590851.649999999</v>
      </c>
      <c r="L425" s="42"/>
      <c r="M425" s="42"/>
      <c r="N425" s="98">
        <v>29089606.049999997</v>
      </c>
      <c r="O425" s="42"/>
      <c r="P425" s="42"/>
      <c r="Q425" s="98">
        <v>33503204.149999999</v>
      </c>
      <c r="R425" s="42"/>
      <c r="S425" s="42"/>
      <c r="T425" s="42">
        <v>207348.46</v>
      </c>
      <c r="U425" s="42">
        <v>16170.339999999998</v>
      </c>
      <c r="V425" s="42">
        <v>18319.97</v>
      </c>
      <c r="W425" s="42">
        <f t="shared" si="30"/>
        <v>34490.31</v>
      </c>
      <c r="X425" s="42">
        <v>61818.82</v>
      </c>
      <c r="Y425" s="42">
        <v>8904.27</v>
      </c>
      <c r="Z425" s="32">
        <f t="shared" si="31"/>
        <v>70723.09</v>
      </c>
      <c r="AA425" s="42">
        <v>20303.080000000002</v>
      </c>
      <c r="AB425" s="42">
        <v>103576.43000000001</v>
      </c>
      <c r="AC425" s="32">
        <f t="shared" si="32"/>
        <v>123879.51000000001</v>
      </c>
      <c r="AD425" s="42">
        <v>11246.050000000001</v>
      </c>
      <c r="AE425" s="42">
        <v>57561.38</v>
      </c>
      <c r="AF425" s="32">
        <f t="shared" si="33"/>
        <v>68807.429999999993</v>
      </c>
      <c r="AG425" s="32">
        <v>11892.99</v>
      </c>
      <c r="AH425" s="32">
        <v>115068.23</v>
      </c>
      <c r="AI425" s="32">
        <f t="shared" si="34"/>
        <v>126961.22</v>
      </c>
      <c r="AJ425" s="42"/>
      <c r="AK425" s="42"/>
      <c r="AL425" s="42">
        <v>107175.75</v>
      </c>
      <c r="AM425" s="42"/>
      <c r="AN425" s="42"/>
      <c r="AO425" s="42"/>
      <c r="AP425" s="42"/>
      <c r="AQ425" s="42"/>
      <c r="AR425" s="42"/>
      <c r="AS425" s="42"/>
      <c r="AT425" s="42"/>
      <c r="AU425" s="42">
        <v>1704356.09</v>
      </c>
      <c r="AV425" s="42"/>
      <c r="AW425" s="42"/>
      <c r="AX425" s="42">
        <v>40573.859999999993</v>
      </c>
      <c r="AY425" s="42">
        <v>7507188.0999999996</v>
      </c>
      <c r="AZ425" s="42">
        <v>1822160</v>
      </c>
      <c r="BA425" s="43">
        <f t="shared" si="27"/>
        <v>9329348.0999999996</v>
      </c>
      <c r="BB425" s="42"/>
      <c r="BC425" s="42"/>
      <c r="BD425" s="42">
        <v>1917253.3333333333</v>
      </c>
      <c r="BE425" s="88">
        <v>0</v>
      </c>
      <c r="BF425" s="88">
        <v>0</v>
      </c>
      <c r="BG425" s="88">
        <v>110</v>
      </c>
      <c r="BH425" s="88">
        <v>0</v>
      </c>
      <c r="BI425" s="88">
        <v>0</v>
      </c>
      <c r="BJ425" s="88">
        <v>5</v>
      </c>
      <c r="BK425" s="88">
        <v>0</v>
      </c>
      <c r="BL425" s="88">
        <v>0</v>
      </c>
      <c r="BM425" s="88">
        <v>339</v>
      </c>
      <c r="BN425" s="88">
        <v>0</v>
      </c>
      <c r="BO425" s="88">
        <v>0</v>
      </c>
      <c r="BP425" s="88">
        <v>0</v>
      </c>
      <c r="BQ425" s="88">
        <v>0</v>
      </c>
      <c r="BR425" s="88">
        <v>0</v>
      </c>
      <c r="BS425" s="88">
        <v>159</v>
      </c>
      <c r="BT425" s="88">
        <v>0</v>
      </c>
      <c r="BU425" s="88">
        <v>0</v>
      </c>
      <c r="BV425" s="88">
        <v>0</v>
      </c>
      <c r="BW425" s="88"/>
      <c r="BX425" s="88"/>
      <c r="BY425" s="88"/>
      <c r="BZ425" s="88">
        <v>0</v>
      </c>
      <c r="CA425" s="88">
        <v>0</v>
      </c>
      <c r="CB425" s="88">
        <v>232</v>
      </c>
      <c r="CC425" s="88"/>
      <c r="CD425" s="88"/>
      <c r="CE425" s="88"/>
      <c r="CF425" s="88">
        <v>0</v>
      </c>
      <c r="CG425" s="88">
        <v>0</v>
      </c>
      <c r="CH425" s="88">
        <v>2</v>
      </c>
      <c r="CI425" s="88">
        <v>0</v>
      </c>
      <c r="CJ425" s="88">
        <v>0</v>
      </c>
      <c r="CK425" s="88">
        <v>26</v>
      </c>
      <c r="CL425" s="88">
        <v>0</v>
      </c>
      <c r="CM425" s="88">
        <v>0</v>
      </c>
      <c r="CN425" s="88">
        <v>1</v>
      </c>
      <c r="CO425" s="88">
        <v>0</v>
      </c>
      <c r="CP425" s="88">
        <v>0</v>
      </c>
      <c r="CQ425" s="88">
        <v>10</v>
      </c>
      <c r="CR425" s="88">
        <v>0</v>
      </c>
      <c r="CS425" s="88">
        <v>0</v>
      </c>
      <c r="CT425" s="88">
        <v>0</v>
      </c>
      <c r="CU425" s="88">
        <v>0</v>
      </c>
      <c r="CV425" s="88">
        <v>0</v>
      </c>
      <c r="CW425" s="88">
        <v>307</v>
      </c>
      <c r="CX425" s="88">
        <v>0</v>
      </c>
      <c r="CY425" s="88">
        <v>0</v>
      </c>
      <c r="CZ425" s="88">
        <v>0</v>
      </c>
      <c r="DA425" s="88">
        <v>0</v>
      </c>
      <c r="DB425" s="88">
        <v>0</v>
      </c>
      <c r="DC425" s="88">
        <v>0</v>
      </c>
      <c r="DD425" s="88">
        <v>0</v>
      </c>
      <c r="DE425" s="88">
        <v>0</v>
      </c>
      <c r="DF425" s="88">
        <v>0</v>
      </c>
      <c r="DG425" s="88">
        <v>0</v>
      </c>
      <c r="DH425" s="88">
        <v>0</v>
      </c>
      <c r="DI425" s="88">
        <v>7</v>
      </c>
      <c r="DJ425" s="88">
        <v>0</v>
      </c>
      <c r="DK425" s="88">
        <v>0</v>
      </c>
      <c r="DL425" s="88">
        <v>0</v>
      </c>
      <c r="DM425" s="88">
        <v>0</v>
      </c>
      <c r="DN425" s="88">
        <v>0</v>
      </c>
      <c r="DO425" s="88">
        <v>0</v>
      </c>
      <c r="DP425" s="88">
        <v>0</v>
      </c>
      <c r="DQ425" s="88">
        <v>0</v>
      </c>
      <c r="DR425" s="87">
        <v>4</v>
      </c>
      <c r="DS425" s="87">
        <v>0</v>
      </c>
      <c r="DT425" s="87">
        <v>0</v>
      </c>
      <c r="DU425" s="87">
        <v>256</v>
      </c>
      <c r="DV425" s="87">
        <v>0</v>
      </c>
      <c r="DW425" s="87">
        <v>0</v>
      </c>
      <c r="DX425" s="87">
        <v>0</v>
      </c>
      <c r="DY425" s="88">
        <v>0</v>
      </c>
      <c r="DZ425" s="88">
        <v>0</v>
      </c>
      <c r="EA425" s="88">
        <v>990</v>
      </c>
      <c r="EB425" s="88">
        <v>0</v>
      </c>
      <c r="EC425" s="88">
        <v>0</v>
      </c>
      <c r="ED425" s="88">
        <v>0</v>
      </c>
      <c r="EE425" s="88">
        <v>0</v>
      </c>
      <c r="EF425" s="88">
        <v>0</v>
      </c>
      <c r="EG425" s="88">
        <v>1101</v>
      </c>
      <c r="EH425" s="88">
        <v>0</v>
      </c>
      <c r="EI425" s="88">
        <v>0</v>
      </c>
      <c r="EJ425" s="88">
        <v>17</v>
      </c>
      <c r="EK425" s="88">
        <v>0</v>
      </c>
      <c r="EL425" s="88">
        <v>0</v>
      </c>
      <c r="EM425" s="88">
        <v>696</v>
      </c>
      <c r="EN425" s="88">
        <v>0</v>
      </c>
      <c r="EO425" s="88">
        <v>0</v>
      </c>
      <c r="EP425" s="88">
        <v>87</v>
      </c>
      <c r="EQ425" s="88">
        <v>0</v>
      </c>
      <c r="ER425" s="88">
        <v>0</v>
      </c>
      <c r="ES425" s="88">
        <v>3</v>
      </c>
      <c r="ET425" s="88">
        <v>0</v>
      </c>
      <c r="EU425" s="88">
        <v>0</v>
      </c>
      <c r="EV425" s="88">
        <v>12</v>
      </c>
      <c r="EW425" s="88">
        <v>0</v>
      </c>
      <c r="EX425" s="88">
        <v>0</v>
      </c>
      <c r="EY425" s="88">
        <v>14</v>
      </c>
      <c r="EZ425" s="88">
        <v>0</v>
      </c>
      <c r="FA425" s="88">
        <v>0</v>
      </c>
      <c r="FB425" s="88">
        <v>0</v>
      </c>
      <c r="FC425" s="88">
        <v>0</v>
      </c>
      <c r="FD425" s="88">
        <v>0</v>
      </c>
      <c r="FE425" s="88">
        <v>4</v>
      </c>
      <c r="FF425" s="88">
        <v>0</v>
      </c>
      <c r="FG425" s="88">
        <v>0</v>
      </c>
      <c r="FH425" s="88">
        <v>0</v>
      </c>
      <c r="FI425" s="88">
        <v>0</v>
      </c>
      <c r="FJ425" s="88">
        <v>0</v>
      </c>
      <c r="FK425" s="32">
        <v>295</v>
      </c>
      <c r="FL425" s="88">
        <v>0</v>
      </c>
      <c r="FM425" s="88">
        <v>0</v>
      </c>
      <c r="FN425" s="88">
        <v>3128</v>
      </c>
      <c r="FO425" s="88">
        <v>0</v>
      </c>
      <c r="FP425" s="88">
        <v>0</v>
      </c>
      <c r="FQ425" s="88">
        <v>361</v>
      </c>
      <c r="FR425" s="88">
        <v>0</v>
      </c>
      <c r="FS425" s="88">
        <v>0</v>
      </c>
      <c r="FT425" s="88">
        <v>0</v>
      </c>
      <c r="FU425" s="88">
        <v>0</v>
      </c>
      <c r="FV425" s="88">
        <v>0</v>
      </c>
      <c r="FW425" s="88">
        <v>184</v>
      </c>
      <c r="FX425" s="32">
        <v>0</v>
      </c>
      <c r="FY425" s="32">
        <v>0</v>
      </c>
      <c r="FZ425" s="32">
        <v>2170</v>
      </c>
    </row>
    <row r="426" spans="1:182" s="97" customFormat="1" x14ac:dyDescent="0.2">
      <c r="A426" s="92">
        <v>44531</v>
      </c>
      <c r="B426" s="93">
        <f t="shared" si="35"/>
        <v>117029693.98999998</v>
      </c>
      <c r="C426" s="94">
        <v>22475.760000000002</v>
      </c>
      <c r="D426" s="94">
        <v>557326.65</v>
      </c>
      <c r="E426" s="93">
        <f t="shared" si="29"/>
        <v>579802.41</v>
      </c>
      <c r="F426" s="94">
        <v>10294886.280000001</v>
      </c>
      <c r="G426" s="94">
        <v>6393552.3300000001</v>
      </c>
      <c r="H426" s="95">
        <f t="shared" si="28"/>
        <v>16688438.610000001</v>
      </c>
      <c r="I426" s="94"/>
      <c r="J426" s="94"/>
      <c r="K426" s="99">
        <v>24628957.309999995</v>
      </c>
      <c r="L426" s="94"/>
      <c r="M426" s="94"/>
      <c r="N426" s="99">
        <v>38576928.989999995</v>
      </c>
      <c r="O426" s="94"/>
      <c r="P426" s="94"/>
      <c r="Q426" s="99">
        <v>35584157.119999997</v>
      </c>
      <c r="R426" s="94"/>
      <c r="S426" s="94"/>
      <c r="T426" s="94">
        <v>129677.79</v>
      </c>
      <c r="U426" s="94">
        <v>11912.28</v>
      </c>
      <c r="V426" s="94">
        <v>35910.660000000003</v>
      </c>
      <c r="W426" s="94">
        <f t="shared" si="30"/>
        <v>47822.94</v>
      </c>
      <c r="X426" s="94">
        <v>128063.72</v>
      </c>
      <c r="Y426" s="94">
        <v>13547.91</v>
      </c>
      <c r="Z426" s="95">
        <f t="shared" si="31"/>
        <v>141611.63</v>
      </c>
      <c r="AA426" s="94">
        <v>39148.350000000006</v>
      </c>
      <c r="AB426" s="94">
        <v>194338.67</v>
      </c>
      <c r="AC426" s="95">
        <f t="shared" si="32"/>
        <v>233487.02000000002</v>
      </c>
      <c r="AD426" s="94">
        <v>3756.23</v>
      </c>
      <c r="AE426" s="94">
        <v>86138.98000000001</v>
      </c>
      <c r="AF426" s="95">
        <f t="shared" si="33"/>
        <v>89895.21</v>
      </c>
      <c r="AG426" s="95">
        <v>19423.760000000002</v>
      </c>
      <c r="AH426" s="95">
        <v>196434.1</v>
      </c>
      <c r="AI426" s="95">
        <f t="shared" si="34"/>
        <v>215857.86000000002</v>
      </c>
      <c r="AJ426" s="94"/>
      <c r="AK426" s="94"/>
      <c r="AL426" s="94">
        <v>113057.1</v>
      </c>
      <c r="AM426" s="94"/>
      <c r="AN426" s="94"/>
      <c r="AO426" s="94"/>
      <c r="AP426" s="94"/>
      <c r="AQ426" s="94"/>
      <c r="AR426" s="94"/>
      <c r="AS426" s="94"/>
      <c r="AT426" s="94"/>
      <c r="AU426" s="94">
        <v>1656221.13</v>
      </c>
      <c r="AV426" s="94"/>
      <c r="AW426" s="94"/>
      <c r="AX426" s="94">
        <v>36120.410000000003</v>
      </c>
      <c r="AY426" s="94">
        <v>11805522.6</v>
      </c>
      <c r="AZ426" s="94">
        <v>1379010</v>
      </c>
      <c r="BA426" s="93">
        <f t="shared" si="27"/>
        <v>13184532.6</v>
      </c>
      <c r="BB426" s="94"/>
      <c r="BC426" s="94"/>
      <c r="BD426" s="94">
        <v>2850785.5555555555</v>
      </c>
      <c r="BE426" s="117">
        <v>0</v>
      </c>
      <c r="BF426" s="117">
        <v>0</v>
      </c>
      <c r="BG426" s="117">
        <v>89</v>
      </c>
      <c r="BH426" s="117">
        <v>0</v>
      </c>
      <c r="BI426" s="117">
        <v>0</v>
      </c>
      <c r="BJ426" s="117">
        <v>0</v>
      </c>
      <c r="BK426" s="117">
        <v>0</v>
      </c>
      <c r="BL426" s="117">
        <v>0</v>
      </c>
      <c r="BM426" s="117">
        <v>553</v>
      </c>
      <c r="BN426" s="117">
        <v>0</v>
      </c>
      <c r="BO426" s="117">
        <v>0</v>
      </c>
      <c r="BP426" s="117">
        <v>2</v>
      </c>
      <c r="BQ426" s="117">
        <v>0</v>
      </c>
      <c r="BR426" s="117">
        <v>0</v>
      </c>
      <c r="BS426" s="117">
        <v>483</v>
      </c>
      <c r="BT426" s="117">
        <v>0</v>
      </c>
      <c r="BU426" s="117">
        <v>0</v>
      </c>
      <c r="BV426" s="117">
        <v>0</v>
      </c>
      <c r="BW426" s="117"/>
      <c r="BX426" s="117"/>
      <c r="BY426" s="117"/>
      <c r="BZ426" s="117">
        <v>0</v>
      </c>
      <c r="CA426" s="117">
        <v>0</v>
      </c>
      <c r="CB426" s="117">
        <v>284</v>
      </c>
      <c r="CC426" s="117"/>
      <c r="CD426" s="117"/>
      <c r="CE426" s="117"/>
      <c r="CF426" s="117">
        <v>0</v>
      </c>
      <c r="CG426" s="117">
        <v>0</v>
      </c>
      <c r="CH426" s="117">
        <v>0</v>
      </c>
      <c r="CI426" s="117">
        <v>0</v>
      </c>
      <c r="CJ426" s="117">
        <v>0</v>
      </c>
      <c r="CK426" s="117">
        <v>32</v>
      </c>
      <c r="CL426" s="117">
        <v>0</v>
      </c>
      <c r="CM426" s="117">
        <v>0</v>
      </c>
      <c r="CN426" s="117">
        <v>0</v>
      </c>
      <c r="CO426" s="117">
        <v>0</v>
      </c>
      <c r="CP426" s="117">
        <v>0</v>
      </c>
      <c r="CQ426" s="117">
        <v>21</v>
      </c>
      <c r="CR426" s="117">
        <v>0</v>
      </c>
      <c r="CS426" s="117">
        <v>0</v>
      </c>
      <c r="CT426" s="117">
        <v>0</v>
      </c>
      <c r="CU426" s="117">
        <v>0</v>
      </c>
      <c r="CV426" s="117">
        <v>0</v>
      </c>
      <c r="CW426" s="117">
        <v>79</v>
      </c>
      <c r="CX426" s="117">
        <v>0</v>
      </c>
      <c r="CY426" s="117">
        <v>0</v>
      </c>
      <c r="CZ426" s="117">
        <v>0</v>
      </c>
      <c r="DA426" s="117">
        <v>0</v>
      </c>
      <c r="DB426" s="117">
        <v>0</v>
      </c>
      <c r="DC426" s="117">
        <v>0</v>
      </c>
      <c r="DD426" s="117">
        <v>0</v>
      </c>
      <c r="DE426" s="117">
        <v>0</v>
      </c>
      <c r="DF426" s="117">
        <v>0</v>
      </c>
      <c r="DG426" s="117">
        <v>0</v>
      </c>
      <c r="DH426" s="117">
        <v>0</v>
      </c>
      <c r="DI426" s="117">
        <v>3</v>
      </c>
      <c r="DJ426" s="117">
        <v>0</v>
      </c>
      <c r="DK426" s="117">
        <v>0</v>
      </c>
      <c r="DL426" s="117">
        <v>0</v>
      </c>
      <c r="DM426" s="117">
        <v>0</v>
      </c>
      <c r="DN426" s="117">
        <v>0</v>
      </c>
      <c r="DO426" s="117">
        <v>0</v>
      </c>
      <c r="DP426" s="117">
        <v>0</v>
      </c>
      <c r="DQ426" s="117">
        <v>0</v>
      </c>
      <c r="DR426" s="95">
        <v>7</v>
      </c>
      <c r="DS426" s="95">
        <v>0</v>
      </c>
      <c r="DT426" s="95">
        <v>0</v>
      </c>
      <c r="DU426" s="95">
        <v>17</v>
      </c>
      <c r="DV426" s="95">
        <v>0</v>
      </c>
      <c r="DW426" s="95">
        <v>0</v>
      </c>
      <c r="DX426" s="95">
        <v>0</v>
      </c>
      <c r="DY426" s="117">
        <v>0</v>
      </c>
      <c r="DZ426" s="117">
        <v>0</v>
      </c>
      <c r="EA426" s="117">
        <v>1254</v>
      </c>
      <c r="EB426" s="117">
        <v>0</v>
      </c>
      <c r="EC426" s="117">
        <v>0</v>
      </c>
      <c r="ED426" s="117">
        <v>0</v>
      </c>
      <c r="EE426" s="117">
        <v>0</v>
      </c>
      <c r="EF426" s="117">
        <v>0</v>
      </c>
      <c r="EG426" s="117">
        <v>865</v>
      </c>
      <c r="EH426" s="117">
        <v>0</v>
      </c>
      <c r="EI426" s="117">
        <v>0</v>
      </c>
      <c r="EJ426" s="117">
        <v>17</v>
      </c>
      <c r="EK426" s="117">
        <v>0</v>
      </c>
      <c r="EL426" s="117">
        <v>0</v>
      </c>
      <c r="EM426" s="117">
        <v>995</v>
      </c>
      <c r="EN426" s="117">
        <v>0</v>
      </c>
      <c r="EO426" s="117">
        <v>0</v>
      </c>
      <c r="EP426" s="117">
        <v>149</v>
      </c>
      <c r="EQ426" s="117">
        <v>0</v>
      </c>
      <c r="ER426" s="117">
        <v>0</v>
      </c>
      <c r="ES426" s="117">
        <v>10</v>
      </c>
      <c r="ET426" s="117">
        <v>0</v>
      </c>
      <c r="EU426" s="117">
        <v>0</v>
      </c>
      <c r="EV426" s="117">
        <v>2</v>
      </c>
      <c r="EW426" s="117">
        <v>0</v>
      </c>
      <c r="EX426" s="117">
        <v>0</v>
      </c>
      <c r="EY426" s="117">
        <v>15</v>
      </c>
      <c r="EZ426" s="117">
        <v>0</v>
      </c>
      <c r="FA426" s="117">
        <v>0</v>
      </c>
      <c r="FB426" s="117">
        <v>0</v>
      </c>
      <c r="FC426" s="117">
        <v>0</v>
      </c>
      <c r="FD426" s="117">
        <v>0</v>
      </c>
      <c r="FE426" s="117">
        <v>7</v>
      </c>
      <c r="FF426" s="117">
        <v>0</v>
      </c>
      <c r="FG426" s="117">
        <v>0</v>
      </c>
      <c r="FH426" s="117">
        <v>0</v>
      </c>
      <c r="FI426" s="117">
        <v>0</v>
      </c>
      <c r="FJ426" s="117">
        <v>0</v>
      </c>
      <c r="FK426" s="95">
        <v>345</v>
      </c>
      <c r="FL426" s="117">
        <v>0</v>
      </c>
      <c r="FM426" s="117">
        <v>0</v>
      </c>
      <c r="FN426" s="117">
        <v>3371</v>
      </c>
      <c r="FO426" s="117">
        <v>0</v>
      </c>
      <c r="FP426" s="117">
        <v>0</v>
      </c>
      <c r="FQ426" s="117">
        <v>562</v>
      </c>
      <c r="FR426" s="117">
        <v>0</v>
      </c>
      <c r="FS426" s="117">
        <v>0</v>
      </c>
      <c r="FT426" s="117">
        <v>0</v>
      </c>
      <c r="FU426" s="117">
        <v>0</v>
      </c>
      <c r="FV426" s="117">
        <v>0</v>
      </c>
      <c r="FW426" s="117">
        <v>327</v>
      </c>
      <c r="FX426" s="95">
        <v>0</v>
      </c>
      <c r="FY426" s="95">
        <v>0</v>
      </c>
      <c r="FZ426" s="95">
        <v>3806</v>
      </c>
    </row>
    <row r="427" spans="1:182" s="22" customFormat="1" x14ac:dyDescent="0.2">
      <c r="A427" s="41">
        <v>44562</v>
      </c>
      <c r="B427" s="100">
        <f t="shared" si="35"/>
        <v>85820025.110000029</v>
      </c>
      <c r="C427" s="42">
        <v>4936.29</v>
      </c>
      <c r="D427" s="42">
        <v>171023.18</v>
      </c>
      <c r="E427" s="43">
        <f t="shared" si="29"/>
        <v>175959.47</v>
      </c>
      <c r="F427" s="42">
        <v>5454793.3600000013</v>
      </c>
      <c r="G427" s="42">
        <v>3701776.3799999994</v>
      </c>
      <c r="H427" s="32">
        <f t="shared" si="28"/>
        <v>9156569.7400000002</v>
      </c>
      <c r="I427" s="42"/>
      <c r="J427" s="42"/>
      <c r="K427" s="98">
        <v>19748565.920000002</v>
      </c>
      <c r="L427" s="42"/>
      <c r="M427" s="42"/>
      <c r="N427" s="98">
        <v>22211262.77</v>
      </c>
      <c r="O427" s="42"/>
      <c r="P427" s="42"/>
      <c r="Q427" s="98">
        <v>33626762.170000002</v>
      </c>
      <c r="R427" s="42"/>
      <c r="S427" s="42"/>
      <c r="T427" s="42">
        <v>192858.18000000002</v>
      </c>
      <c r="U427" s="42">
        <v>4563.3999999999996</v>
      </c>
      <c r="V427" s="42">
        <v>4743.8599999999997</v>
      </c>
      <c r="W427" s="42">
        <f t="shared" si="30"/>
        <v>9307.2599999999984</v>
      </c>
      <c r="X427" s="42">
        <v>17039.64</v>
      </c>
      <c r="Y427" s="42">
        <v>7165.4999999999991</v>
      </c>
      <c r="Z427" s="32">
        <f t="shared" si="31"/>
        <v>24205.14</v>
      </c>
      <c r="AA427" s="42">
        <v>103219.02999999998</v>
      </c>
      <c r="AB427" s="42">
        <v>98018.48</v>
      </c>
      <c r="AC427" s="32">
        <f t="shared" si="32"/>
        <v>201237.50999999998</v>
      </c>
      <c r="AD427" s="42">
        <v>1776.51</v>
      </c>
      <c r="AE427" s="42">
        <v>11997.300000000001</v>
      </c>
      <c r="AF427" s="32">
        <f t="shared" si="33"/>
        <v>13773.810000000001</v>
      </c>
      <c r="AG427" s="32">
        <v>9757.130000000001</v>
      </c>
      <c r="AH427" s="32">
        <v>98535.609999999986</v>
      </c>
      <c r="AI427" s="32">
        <f t="shared" si="34"/>
        <v>108292.73999999999</v>
      </c>
      <c r="AJ427" s="42"/>
      <c r="AK427" s="42"/>
      <c r="AL427" s="42">
        <v>42076.800000000003</v>
      </c>
      <c r="AM427" s="42"/>
      <c r="AN427" s="42">
        <v>614.79</v>
      </c>
      <c r="AO427" s="42">
        <f>+AM427+AN427</f>
        <v>614.79</v>
      </c>
      <c r="AP427" s="42"/>
      <c r="AQ427" s="42"/>
      <c r="AR427" s="42">
        <v>308538.81</v>
      </c>
      <c r="AS427" s="42"/>
      <c r="AT427" s="42"/>
      <c r="AU427" s="42">
        <v>1139984.57</v>
      </c>
      <c r="AV427" s="42"/>
      <c r="AW427" s="42"/>
      <c r="AX427" s="42">
        <v>37263.480000000003</v>
      </c>
      <c r="AY427" s="42">
        <v>6104897.0999999996</v>
      </c>
      <c r="AZ427" s="42">
        <v>786130</v>
      </c>
      <c r="BA427" s="43">
        <f t="shared" si="27"/>
        <v>6891027.0999999996</v>
      </c>
      <c r="BB427" s="42"/>
      <c r="BC427" s="42"/>
      <c r="BD427" s="42">
        <v>1014373.4444444444</v>
      </c>
      <c r="BE427" s="88">
        <v>0</v>
      </c>
      <c r="BF427" s="88">
        <v>0</v>
      </c>
      <c r="BG427" s="88">
        <v>72</v>
      </c>
      <c r="BH427" s="88">
        <v>0</v>
      </c>
      <c r="BI427" s="88">
        <v>0</v>
      </c>
      <c r="BJ427" s="88">
        <v>0</v>
      </c>
      <c r="BK427" s="88">
        <v>0</v>
      </c>
      <c r="BL427" s="88">
        <v>0</v>
      </c>
      <c r="BM427" s="88">
        <v>150</v>
      </c>
      <c r="BN427" s="88">
        <v>0</v>
      </c>
      <c r="BO427" s="88">
        <v>0</v>
      </c>
      <c r="BP427" s="88">
        <v>0</v>
      </c>
      <c r="BQ427" s="88">
        <v>0</v>
      </c>
      <c r="BR427" s="88">
        <v>0</v>
      </c>
      <c r="BS427" s="88">
        <v>153</v>
      </c>
      <c r="BT427" s="88">
        <v>0</v>
      </c>
      <c r="BU427" s="88">
        <v>0</v>
      </c>
      <c r="BV427" s="88">
        <v>0</v>
      </c>
      <c r="BW427" s="88"/>
      <c r="BX427" s="88"/>
      <c r="BY427" s="88"/>
      <c r="BZ427" s="88">
        <v>0</v>
      </c>
      <c r="CA427" s="88">
        <v>0</v>
      </c>
      <c r="CB427" s="88">
        <v>152</v>
      </c>
      <c r="CC427" s="88"/>
      <c r="CD427" s="88"/>
      <c r="CE427" s="88"/>
      <c r="CF427" s="88">
        <v>0</v>
      </c>
      <c r="CG427" s="88">
        <v>0</v>
      </c>
      <c r="CH427" s="88">
        <v>0</v>
      </c>
      <c r="CI427" s="88">
        <v>0</v>
      </c>
      <c r="CJ427" s="88">
        <v>0</v>
      </c>
      <c r="CK427" s="88">
        <v>21</v>
      </c>
      <c r="CL427" s="88">
        <v>0</v>
      </c>
      <c r="CM427" s="88">
        <v>0</v>
      </c>
      <c r="CN427" s="88">
        <v>0</v>
      </c>
      <c r="CO427" s="88">
        <v>0</v>
      </c>
      <c r="CP427" s="88">
        <v>0</v>
      </c>
      <c r="CQ427" s="88">
        <v>0</v>
      </c>
      <c r="CR427" s="88">
        <v>0</v>
      </c>
      <c r="CS427" s="88">
        <v>0</v>
      </c>
      <c r="CT427" s="88">
        <v>0</v>
      </c>
      <c r="CU427" s="88">
        <v>0</v>
      </c>
      <c r="CV427" s="88">
        <v>0</v>
      </c>
      <c r="CW427" s="88">
        <v>129</v>
      </c>
      <c r="CX427" s="88">
        <v>0</v>
      </c>
      <c r="CY427" s="88">
        <v>0</v>
      </c>
      <c r="CZ427" s="88">
        <v>0</v>
      </c>
      <c r="DA427" s="88">
        <v>0</v>
      </c>
      <c r="DB427" s="88">
        <v>0</v>
      </c>
      <c r="DC427" s="88">
        <v>0</v>
      </c>
      <c r="DD427" s="88">
        <v>0</v>
      </c>
      <c r="DE427" s="88">
        <v>0</v>
      </c>
      <c r="DF427" s="88">
        <v>0</v>
      </c>
      <c r="DG427" s="88">
        <v>0</v>
      </c>
      <c r="DH427" s="88">
        <v>0</v>
      </c>
      <c r="DI427" s="88">
        <v>6</v>
      </c>
      <c r="DJ427" s="88">
        <v>0</v>
      </c>
      <c r="DK427" s="88">
        <v>0</v>
      </c>
      <c r="DL427" s="88">
        <v>0</v>
      </c>
      <c r="DM427" s="88">
        <v>0</v>
      </c>
      <c r="DN427" s="88">
        <v>0</v>
      </c>
      <c r="DO427" s="88">
        <v>0</v>
      </c>
      <c r="DP427" s="88">
        <v>0</v>
      </c>
      <c r="DQ427" s="88">
        <v>0</v>
      </c>
      <c r="DR427" s="87">
        <v>2</v>
      </c>
      <c r="DS427" s="87">
        <v>0</v>
      </c>
      <c r="DT427" s="87">
        <v>0</v>
      </c>
      <c r="DU427" s="87">
        <v>-25</v>
      </c>
      <c r="DV427" s="87">
        <v>0</v>
      </c>
      <c r="DW427" s="87">
        <v>0</v>
      </c>
      <c r="DX427" s="87">
        <v>0</v>
      </c>
      <c r="DY427" s="88">
        <v>0</v>
      </c>
      <c r="DZ427" s="88">
        <v>0</v>
      </c>
      <c r="EA427" s="88">
        <v>987</v>
      </c>
      <c r="EB427" s="88">
        <v>0</v>
      </c>
      <c r="EC427" s="88">
        <v>0</v>
      </c>
      <c r="ED427" s="88">
        <v>0</v>
      </c>
      <c r="EE427" s="88">
        <v>0</v>
      </c>
      <c r="EF427" s="88">
        <v>0</v>
      </c>
      <c r="EG427" s="88">
        <v>811</v>
      </c>
      <c r="EH427" s="88">
        <v>0</v>
      </c>
      <c r="EI427" s="88">
        <v>0</v>
      </c>
      <c r="EJ427" s="88">
        <v>28</v>
      </c>
      <c r="EK427" s="88">
        <v>0</v>
      </c>
      <c r="EL427" s="88">
        <v>0</v>
      </c>
      <c r="EM427" s="88">
        <v>528</v>
      </c>
      <c r="EN427" s="88">
        <v>0</v>
      </c>
      <c r="EO427" s="88">
        <v>0</v>
      </c>
      <c r="EP427" s="88">
        <v>105</v>
      </c>
      <c r="EQ427" s="88">
        <v>0</v>
      </c>
      <c r="ER427" s="88">
        <v>0</v>
      </c>
      <c r="ES427" s="88">
        <v>11</v>
      </c>
      <c r="ET427" s="88">
        <v>0</v>
      </c>
      <c r="EU427" s="88">
        <v>0</v>
      </c>
      <c r="EV427" s="88">
        <v>5</v>
      </c>
      <c r="EW427" s="88">
        <v>0</v>
      </c>
      <c r="EX427" s="88">
        <v>0</v>
      </c>
      <c r="EY427" s="88">
        <v>10</v>
      </c>
      <c r="EZ427" s="88">
        <v>0</v>
      </c>
      <c r="FA427" s="88">
        <v>0</v>
      </c>
      <c r="FB427" s="88">
        <v>0</v>
      </c>
      <c r="FC427" s="88">
        <v>0</v>
      </c>
      <c r="FD427" s="88">
        <v>0</v>
      </c>
      <c r="FE427" s="88">
        <v>5</v>
      </c>
      <c r="FF427" s="88">
        <v>0</v>
      </c>
      <c r="FG427" s="88">
        <v>0</v>
      </c>
      <c r="FH427" s="88">
        <v>0</v>
      </c>
      <c r="FI427" s="88">
        <v>0</v>
      </c>
      <c r="FJ427" s="88">
        <v>0</v>
      </c>
      <c r="FK427" s="32">
        <v>69</v>
      </c>
      <c r="FL427" s="88">
        <v>0</v>
      </c>
      <c r="FM427" s="88">
        <v>0</v>
      </c>
      <c r="FN427" s="88">
        <v>3053</v>
      </c>
      <c r="FO427" s="88">
        <v>0</v>
      </c>
      <c r="FP427" s="88">
        <v>0</v>
      </c>
      <c r="FQ427" s="88">
        <v>348</v>
      </c>
      <c r="FR427" s="88">
        <v>0</v>
      </c>
      <c r="FS427" s="88">
        <v>0</v>
      </c>
      <c r="FT427" s="88">
        <v>0</v>
      </c>
      <c r="FU427" s="88">
        <v>0</v>
      </c>
      <c r="FV427" s="88">
        <v>0</v>
      </c>
      <c r="FW427" s="88">
        <v>159</v>
      </c>
      <c r="FX427" s="32">
        <v>0</v>
      </c>
      <c r="FY427" s="32">
        <v>0</v>
      </c>
      <c r="FZ427" s="32">
        <v>968</v>
      </c>
    </row>
    <row r="428" spans="1:182" s="22" customFormat="1" x14ac:dyDescent="0.2">
      <c r="A428" s="41">
        <v>44593</v>
      </c>
      <c r="B428" s="100">
        <f t="shared" si="35"/>
        <v>84399725.020000026</v>
      </c>
      <c r="C428" s="42">
        <v>10904.09</v>
      </c>
      <c r="D428" s="42">
        <v>264626.13</v>
      </c>
      <c r="E428" s="43">
        <f t="shared" si="29"/>
        <v>275530.22000000003</v>
      </c>
      <c r="F428" s="42">
        <v>5799577.9399999995</v>
      </c>
      <c r="G428" s="42">
        <v>3119775.9200000009</v>
      </c>
      <c r="H428" s="32">
        <f t="shared" si="28"/>
        <v>8919353.8599999994</v>
      </c>
      <c r="I428" s="42"/>
      <c r="J428" s="42"/>
      <c r="K428" s="98">
        <v>18344855.960000001</v>
      </c>
      <c r="L428" s="42"/>
      <c r="M428" s="42"/>
      <c r="N428" s="98">
        <v>23374000.740000002</v>
      </c>
      <c r="O428" s="42"/>
      <c r="P428" s="42"/>
      <c r="Q428" s="98">
        <v>32922879.340000004</v>
      </c>
      <c r="R428" s="42"/>
      <c r="S428" s="42"/>
      <c r="T428" s="42">
        <v>203488.74</v>
      </c>
      <c r="U428" s="42">
        <v>3714.42</v>
      </c>
      <c r="V428" s="42">
        <v>2751.75</v>
      </c>
      <c r="W428" s="42">
        <f t="shared" si="30"/>
        <v>6466.17</v>
      </c>
      <c r="X428" s="42">
        <v>23020.38</v>
      </c>
      <c r="Y428" s="42">
        <v>5488.8</v>
      </c>
      <c r="Z428" s="32">
        <f t="shared" si="31"/>
        <v>28509.18</v>
      </c>
      <c r="AA428" s="42">
        <v>65750.42</v>
      </c>
      <c r="AB428" s="42">
        <v>90939.73</v>
      </c>
      <c r="AC428" s="32">
        <f t="shared" si="32"/>
        <v>156690.15</v>
      </c>
      <c r="AD428" s="42">
        <v>1564.01</v>
      </c>
      <c r="AE428" s="42">
        <v>12714.28</v>
      </c>
      <c r="AF428" s="32">
        <f t="shared" si="33"/>
        <v>14278.29</v>
      </c>
      <c r="AG428" s="32">
        <v>7985.5199999999995</v>
      </c>
      <c r="AH428" s="32">
        <v>93665.770000000019</v>
      </c>
      <c r="AI428" s="32">
        <f t="shared" si="34"/>
        <v>101651.29000000002</v>
      </c>
      <c r="AJ428" s="42"/>
      <c r="AK428" s="42"/>
      <c r="AL428" s="42">
        <v>33402.589999999997</v>
      </c>
      <c r="AM428" s="42"/>
      <c r="AN428" s="42">
        <v>1448.6100000000001</v>
      </c>
      <c r="AO428" s="42">
        <f t="shared" ref="AO428:AO450" si="36">+AM428+AN428</f>
        <v>1448.6100000000001</v>
      </c>
      <c r="AP428" s="42"/>
      <c r="AQ428" s="42"/>
      <c r="AR428" s="42">
        <v>17169.88</v>
      </c>
      <c r="AS428" s="42"/>
      <c r="AT428" s="42"/>
      <c r="AU428" s="42">
        <v>1275230.0599999998</v>
      </c>
      <c r="AV428" s="42"/>
      <c r="AW428" s="42"/>
      <c r="AX428" s="42">
        <v>44485.670000000006</v>
      </c>
      <c r="AY428" s="42">
        <v>3118772.5</v>
      </c>
      <c r="AZ428" s="42">
        <v>1075450</v>
      </c>
      <c r="BA428" s="43">
        <f t="shared" si="27"/>
        <v>4194222.5</v>
      </c>
      <c r="BB428" s="42"/>
      <c r="BC428" s="42"/>
      <c r="BD428" s="42">
        <v>1011681.7777777778</v>
      </c>
      <c r="BE428" s="88">
        <v>0</v>
      </c>
      <c r="BF428" s="88">
        <v>0</v>
      </c>
      <c r="BG428" s="88">
        <v>78</v>
      </c>
      <c r="BH428" s="88">
        <v>0</v>
      </c>
      <c r="BI428" s="88">
        <v>0</v>
      </c>
      <c r="BJ428" s="88">
        <v>0</v>
      </c>
      <c r="BK428" s="88">
        <v>0</v>
      </c>
      <c r="BL428" s="88">
        <v>0</v>
      </c>
      <c r="BM428" s="88">
        <v>219</v>
      </c>
      <c r="BN428" s="88">
        <v>0</v>
      </c>
      <c r="BO428" s="88">
        <v>0</v>
      </c>
      <c r="BP428" s="88">
        <v>0</v>
      </c>
      <c r="BQ428" s="88">
        <v>0</v>
      </c>
      <c r="BR428" s="88">
        <v>0</v>
      </c>
      <c r="BS428" s="88">
        <v>60</v>
      </c>
      <c r="BT428" s="88">
        <v>0</v>
      </c>
      <c r="BU428" s="88">
        <v>0</v>
      </c>
      <c r="BV428" s="88">
        <v>0</v>
      </c>
      <c r="BW428" s="88"/>
      <c r="BX428" s="88"/>
      <c r="BY428" s="88"/>
      <c r="BZ428" s="88">
        <v>0</v>
      </c>
      <c r="CA428" s="88">
        <v>0</v>
      </c>
      <c r="CB428" s="88">
        <v>309</v>
      </c>
      <c r="CC428" s="88"/>
      <c r="CD428" s="88"/>
      <c r="CE428" s="88"/>
      <c r="CF428" s="88">
        <v>0</v>
      </c>
      <c r="CG428" s="88">
        <v>0</v>
      </c>
      <c r="CH428" s="88">
        <v>1</v>
      </c>
      <c r="CI428" s="88">
        <v>0</v>
      </c>
      <c r="CJ428" s="88">
        <v>0</v>
      </c>
      <c r="CK428" s="88">
        <v>14</v>
      </c>
      <c r="CL428" s="88">
        <v>0</v>
      </c>
      <c r="CM428" s="88">
        <v>0</v>
      </c>
      <c r="CN428" s="88">
        <v>2</v>
      </c>
      <c r="CO428" s="88">
        <v>0</v>
      </c>
      <c r="CP428" s="88">
        <v>0</v>
      </c>
      <c r="CQ428" s="88">
        <v>7</v>
      </c>
      <c r="CR428" s="88">
        <v>0</v>
      </c>
      <c r="CS428" s="88">
        <v>0</v>
      </c>
      <c r="CT428" s="88">
        <v>0</v>
      </c>
      <c r="CU428" s="88">
        <v>0</v>
      </c>
      <c r="CV428" s="88">
        <v>0</v>
      </c>
      <c r="CW428" s="88">
        <v>97</v>
      </c>
      <c r="CX428" s="88">
        <v>0</v>
      </c>
      <c r="CY428" s="88">
        <v>0</v>
      </c>
      <c r="CZ428" s="88">
        <v>0</v>
      </c>
      <c r="DA428" s="88">
        <v>0</v>
      </c>
      <c r="DB428" s="88">
        <v>0</v>
      </c>
      <c r="DC428" s="88">
        <v>0</v>
      </c>
      <c r="DD428" s="88">
        <v>0</v>
      </c>
      <c r="DE428" s="88">
        <v>0</v>
      </c>
      <c r="DF428" s="88">
        <v>0</v>
      </c>
      <c r="DG428" s="88">
        <v>0</v>
      </c>
      <c r="DH428" s="88">
        <v>0</v>
      </c>
      <c r="DI428" s="88">
        <v>1</v>
      </c>
      <c r="DJ428" s="88">
        <v>0</v>
      </c>
      <c r="DK428" s="88">
        <v>0</v>
      </c>
      <c r="DL428" s="88">
        <v>0</v>
      </c>
      <c r="DM428" s="88">
        <v>0</v>
      </c>
      <c r="DN428" s="88">
        <v>0</v>
      </c>
      <c r="DO428" s="88">
        <v>0</v>
      </c>
      <c r="DP428" s="88">
        <v>0</v>
      </c>
      <c r="DQ428" s="88">
        <v>0</v>
      </c>
      <c r="DR428" s="87">
        <v>8</v>
      </c>
      <c r="DS428" s="87">
        <v>0</v>
      </c>
      <c r="DT428" s="87">
        <v>0</v>
      </c>
      <c r="DU428" s="87">
        <v>-5</v>
      </c>
      <c r="DV428" s="87">
        <v>0</v>
      </c>
      <c r="DW428" s="87">
        <v>0</v>
      </c>
      <c r="DX428" s="87">
        <v>0</v>
      </c>
      <c r="DY428" s="88">
        <v>0</v>
      </c>
      <c r="DZ428" s="88">
        <v>0</v>
      </c>
      <c r="EA428" s="88">
        <v>852</v>
      </c>
      <c r="EB428" s="88">
        <v>0</v>
      </c>
      <c r="EC428" s="88">
        <v>0</v>
      </c>
      <c r="ED428" s="88">
        <v>0</v>
      </c>
      <c r="EE428" s="88">
        <v>0</v>
      </c>
      <c r="EF428" s="88">
        <v>0</v>
      </c>
      <c r="EG428" s="88">
        <v>859</v>
      </c>
      <c r="EH428" s="88">
        <v>0</v>
      </c>
      <c r="EI428" s="88">
        <v>0</v>
      </c>
      <c r="EJ428" s="88">
        <v>51</v>
      </c>
      <c r="EK428" s="88">
        <v>0</v>
      </c>
      <c r="EL428" s="88">
        <v>0</v>
      </c>
      <c r="EM428" s="88">
        <v>571</v>
      </c>
      <c r="EN428" s="88">
        <v>0</v>
      </c>
      <c r="EO428" s="88">
        <v>0</v>
      </c>
      <c r="EP428" s="88">
        <v>76</v>
      </c>
      <c r="EQ428" s="88">
        <v>0</v>
      </c>
      <c r="ER428" s="88">
        <v>0</v>
      </c>
      <c r="ES428" s="88">
        <v>11</v>
      </c>
      <c r="ET428" s="88">
        <v>0</v>
      </c>
      <c r="EU428" s="88">
        <v>0</v>
      </c>
      <c r="EV428" s="88">
        <v>10</v>
      </c>
      <c r="EW428" s="88">
        <v>0</v>
      </c>
      <c r="EX428" s="88">
        <v>0</v>
      </c>
      <c r="EY428" s="88">
        <v>4</v>
      </c>
      <c r="EZ428" s="88">
        <v>0</v>
      </c>
      <c r="FA428" s="88">
        <v>0</v>
      </c>
      <c r="FB428" s="88">
        <v>0</v>
      </c>
      <c r="FC428" s="88">
        <v>0</v>
      </c>
      <c r="FD428" s="88">
        <v>0</v>
      </c>
      <c r="FE428" s="88">
        <v>0</v>
      </c>
      <c r="FF428" s="88">
        <v>0</v>
      </c>
      <c r="FG428" s="88">
        <v>0</v>
      </c>
      <c r="FH428" s="88">
        <v>0</v>
      </c>
      <c r="FI428" s="88">
        <v>0</v>
      </c>
      <c r="FJ428" s="88">
        <v>0</v>
      </c>
      <c r="FK428" s="32">
        <v>35</v>
      </c>
      <c r="FL428" s="88">
        <v>0</v>
      </c>
      <c r="FM428" s="88">
        <v>0</v>
      </c>
      <c r="FN428" s="88">
        <v>2505</v>
      </c>
      <c r="FO428" s="88">
        <v>0</v>
      </c>
      <c r="FP428" s="88">
        <v>0</v>
      </c>
      <c r="FQ428" s="88">
        <v>469</v>
      </c>
      <c r="FR428" s="88">
        <v>0</v>
      </c>
      <c r="FS428" s="88">
        <v>0</v>
      </c>
      <c r="FT428" s="88">
        <v>0</v>
      </c>
      <c r="FU428" s="88">
        <v>0</v>
      </c>
      <c r="FV428" s="88">
        <v>0</v>
      </c>
      <c r="FW428" s="88">
        <v>175</v>
      </c>
      <c r="FX428" s="32">
        <v>0</v>
      </c>
      <c r="FY428" s="32">
        <v>0</v>
      </c>
      <c r="FZ428" s="32">
        <v>968</v>
      </c>
    </row>
    <row r="429" spans="1:182" s="22" customFormat="1" x14ac:dyDescent="0.2">
      <c r="A429" s="41">
        <v>44621</v>
      </c>
      <c r="B429" s="100">
        <f t="shared" si="35"/>
        <v>80458697.450000003</v>
      </c>
      <c r="C429" s="42">
        <v>50785.64</v>
      </c>
      <c r="D429" s="42">
        <v>350852.12</v>
      </c>
      <c r="E429" s="43">
        <f t="shared" si="29"/>
        <v>401637.76</v>
      </c>
      <c r="F429" s="42">
        <v>5770340.419999999</v>
      </c>
      <c r="G429" s="42">
        <v>3004395.47</v>
      </c>
      <c r="H429" s="32">
        <f t="shared" si="28"/>
        <v>8774735.8899999987</v>
      </c>
      <c r="I429" s="42"/>
      <c r="J429" s="42"/>
      <c r="K429" s="98">
        <v>14682087.890000001</v>
      </c>
      <c r="L429" s="42"/>
      <c r="M429" s="42"/>
      <c r="N429" s="98">
        <v>27025364.750000007</v>
      </c>
      <c r="O429" s="42"/>
      <c r="P429" s="42"/>
      <c r="Q429" s="98">
        <v>28839360.470000003</v>
      </c>
      <c r="R429" s="42"/>
      <c r="S429" s="42"/>
      <c r="T429" s="42">
        <v>273081.68</v>
      </c>
      <c r="U429" s="42">
        <v>3442.47</v>
      </c>
      <c r="V429" s="42">
        <v>4312.26</v>
      </c>
      <c r="W429" s="42">
        <f t="shared" si="30"/>
        <v>7754.73</v>
      </c>
      <c r="X429" s="42">
        <v>37401.78</v>
      </c>
      <c r="Y429" s="42">
        <v>6110.74</v>
      </c>
      <c r="Z429" s="32">
        <f t="shared" si="31"/>
        <v>43512.52</v>
      </c>
      <c r="AA429" s="42">
        <v>41064.840000000004</v>
      </c>
      <c r="AB429" s="42">
        <v>111113</v>
      </c>
      <c r="AC429" s="32">
        <f t="shared" si="32"/>
        <v>152177.84</v>
      </c>
      <c r="AD429" s="42">
        <v>1504.23</v>
      </c>
      <c r="AE429" s="42">
        <v>9574.8700000000008</v>
      </c>
      <c r="AF429" s="32">
        <f t="shared" si="33"/>
        <v>11079.1</v>
      </c>
      <c r="AG429" s="32">
        <v>10586.460000000001</v>
      </c>
      <c r="AH429" s="32">
        <v>92435.999999999985</v>
      </c>
      <c r="AI429" s="32">
        <f t="shared" si="34"/>
        <v>103022.45999999999</v>
      </c>
      <c r="AJ429" s="42"/>
      <c r="AK429" s="42"/>
      <c r="AL429" s="42">
        <v>36378.15</v>
      </c>
      <c r="AM429" s="42"/>
      <c r="AN429" s="42">
        <v>11653.85</v>
      </c>
      <c r="AO429" s="42">
        <f t="shared" si="36"/>
        <v>11653.85</v>
      </c>
      <c r="AP429" s="42"/>
      <c r="AQ429" s="42"/>
      <c r="AR429" s="42">
        <v>96850.36</v>
      </c>
      <c r="AS429" s="42"/>
      <c r="AT429" s="42"/>
      <c r="AU429" s="42">
        <v>1940718.9699999993</v>
      </c>
      <c r="AV429" s="42"/>
      <c r="AW429" s="42"/>
      <c r="AX429" s="42">
        <v>61509.259999999995</v>
      </c>
      <c r="AY429" s="42">
        <v>4796817.5999999996</v>
      </c>
      <c r="AZ429" s="42">
        <v>955350</v>
      </c>
      <c r="BA429" s="43">
        <f t="shared" si="27"/>
        <v>5752167.5999999996</v>
      </c>
      <c r="BB429" s="42"/>
      <c r="BC429" s="42"/>
      <c r="BD429" s="42">
        <v>1371162.5555555555</v>
      </c>
      <c r="BE429" s="88">
        <v>0</v>
      </c>
      <c r="BF429" s="88">
        <v>0</v>
      </c>
      <c r="BG429" s="88">
        <v>76</v>
      </c>
      <c r="BH429" s="88">
        <v>0</v>
      </c>
      <c r="BI429" s="88">
        <v>0</v>
      </c>
      <c r="BJ429" s="88">
        <v>0</v>
      </c>
      <c r="BK429" s="88">
        <v>0</v>
      </c>
      <c r="BL429" s="88">
        <v>0</v>
      </c>
      <c r="BM429" s="88">
        <v>361</v>
      </c>
      <c r="BN429" s="88">
        <v>0</v>
      </c>
      <c r="BO429" s="88">
        <v>0</v>
      </c>
      <c r="BP429" s="88">
        <v>0</v>
      </c>
      <c r="BQ429" s="88">
        <v>0</v>
      </c>
      <c r="BR429" s="88">
        <v>0</v>
      </c>
      <c r="BS429" s="88">
        <v>1481</v>
      </c>
      <c r="BT429" s="88">
        <v>0</v>
      </c>
      <c r="BU429" s="88">
        <v>0</v>
      </c>
      <c r="BV429" s="88">
        <v>0</v>
      </c>
      <c r="BW429" s="88"/>
      <c r="BX429" s="88"/>
      <c r="BY429" s="88"/>
      <c r="BZ429" s="88">
        <v>0</v>
      </c>
      <c r="CA429" s="88">
        <v>0</v>
      </c>
      <c r="CB429" s="88">
        <v>242</v>
      </c>
      <c r="CC429" s="88"/>
      <c r="CD429" s="88"/>
      <c r="CE429" s="88"/>
      <c r="CF429" s="88">
        <v>0</v>
      </c>
      <c r="CG429" s="88">
        <v>0</v>
      </c>
      <c r="CH429" s="88">
        <v>5</v>
      </c>
      <c r="CI429" s="88">
        <v>0</v>
      </c>
      <c r="CJ429" s="88">
        <v>0</v>
      </c>
      <c r="CK429" s="88">
        <v>13</v>
      </c>
      <c r="CL429" s="88">
        <v>0</v>
      </c>
      <c r="CM429" s="88">
        <v>0</v>
      </c>
      <c r="CN429" s="88">
        <v>0</v>
      </c>
      <c r="CO429" s="88">
        <v>0</v>
      </c>
      <c r="CP429" s="88">
        <v>0</v>
      </c>
      <c r="CQ429" s="88">
        <v>34</v>
      </c>
      <c r="CR429" s="88">
        <v>0</v>
      </c>
      <c r="CS429" s="88">
        <v>0</v>
      </c>
      <c r="CT429" s="88">
        <v>0</v>
      </c>
      <c r="CU429" s="88">
        <v>0</v>
      </c>
      <c r="CV429" s="88">
        <v>0</v>
      </c>
      <c r="CW429" s="88">
        <v>136</v>
      </c>
      <c r="CX429" s="88">
        <v>0</v>
      </c>
      <c r="CY429" s="88">
        <v>0</v>
      </c>
      <c r="CZ429" s="88">
        <v>0</v>
      </c>
      <c r="DA429" s="88">
        <v>0</v>
      </c>
      <c r="DB429" s="88">
        <v>0</v>
      </c>
      <c r="DC429" s="88">
        <v>0</v>
      </c>
      <c r="DD429" s="88">
        <v>0</v>
      </c>
      <c r="DE429" s="88">
        <v>0</v>
      </c>
      <c r="DF429" s="88">
        <v>0</v>
      </c>
      <c r="DG429" s="88">
        <v>0</v>
      </c>
      <c r="DH429" s="88">
        <v>0</v>
      </c>
      <c r="DI429" s="88">
        <v>6</v>
      </c>
      <c r="DJ429" s="88">
        <v>0</v>
      </c>
      <c r="DK429" s="88">
        <v>0</v>
      </c>
      <c r="DL429" s="88">
        <v>0</v>
      </c>
      <c r="DM429" s="88">
        <v>0</v>
      </c>
      <c r="DN429" s="88">
        <v>0</v>
      </c>
      <c r="DO429" s="88">
        <v>0</v>
      </c>
      <c r="DP429" s="88">
        <v>0</v>
      </c>
      <c r="DQ429" s="88">
        <v>0</v>
      </c>
      <c r="DR429" s="87">
        <v>6</v>
      </c>
      <c r="DS429" s="87">
        <v>0</v>
      </c>
      <c r="DT429" s="87">
        <v>0</v>
      </c>
      <c r="DU429" s="87">
        <v>-30</v>
      </c>
      <c r="DV429" s="87">
        <v>0</v>
      </c>
      <c r="DW429" s="87">
        <v>0</v>
      </c>
      <c r="DX429" s="87">
        <v>0</v>
      </c>
      <c r="DY429" s="88">
        <v>0</v>
      </c>
      <c r="DZ429" s="88">
        <v>0</v>
      </c>
      <c r="EA429" s="88">
        <v>1684</v>
      </c>
      <c r="EB429" s="88">
        <v>0</v>
      </c>
      <c r="EC429" s="88">
        <v>0</v>
      </c>
      <c r="ED429" s="88">
        <v>0</v>
      </c>
      <c r="EE429" s="88">
        <v>0</v>
      </c>
      <c r="EF429" s="88">
        <v>0</v>
      </c>
      <c r="EG429" s="88">
        <v>671</v>
      </c>
      <c r="EH429" s="88">
        <v>0</v>
      </c>
      <c r="EI429" s="88">
        <v>0</v>
      </c>
      <c r="EJ429" s="88">
        <v>54</v>
      </c>
      <c r="EK429" s="88">
        <v>0</v>
      </c>
      <c r="EL429" s="88">
        <v>0</v>
      </c>
      <c r="EM429" s="88">
        <v>528</v>
      </c>
      <c r="EN429" s="88">
        <v>0</v>
      </c>
      <c r="EO429" s="88">
        <v>0</v>
      </c>
      <c r="EP429" s="88">
        <v>128</v>
      </c>
      <c r="EQ429" s="88">
        <v>0</v>
      </c>
      <c r="ER429" s="88">
        <v>0</v>
      </c>
      <c r="ES429" s="88">
        <v>6</v>
      </c>
      <c r="ET429" s="88">
        <v>0</v>
      </c>
      <c r="EU429" s="88">
        <v>0</v>
      </c>
      <c r="EV429" s="88">
        <v>13</v>
      </c>
      <c r="EW429" s="88">
        <v>0</v>
      </c>
      <c r="EX429" s="88">
        <v>0</v>
      </c>
      <c r="EY429" s="88">
        <v>9</v>
      </c>
      <c r="EZ429" s="88">
        <v>0</v>
      </c>
      <c r="FA429" s="88">
        <v>0</v>
      </c>
      <c r="FB429" s="88">
        <v>0</v>
      </c>
      <c r="FC429" s="88">
        <v>0</v>
      </c>
      <c r="FD429" s="88">
        <v>0</v>
      </c>
      <c r="FE429" s="88">
        <v>5</v>
      </c>
      <c r="FF429" s="88">
        <v>0</v>
      </c>
      <c r="FG429" s="88">
        <v>0</v>
      </c>
      <c r="FH429" s="88">
        <v>0</v>
      </c>
      <c r="FI429" s="88">
        <v>0</v>
      </c>
      <c r="FJ429" s="88">
        <v>0</v>
      </c>
      <c r="FK429" s="32">
        <v>39</v>
      </c>
      <c r="FL429" s="88">
        <v>0</v>
      </c>
      <c r="FM429" s="88">
        <v>0</v>
      </c>
      <c r="FN429" s="88">
        <v>3672</v>
      </c>
      <c r="FO429" s="88">
        <v>0</v>
      </c>
      <c r="FP429" s="88">
        <v>0</v>
      </c>
      <c r="FQ429" s="88">
        <v>503</v>
      </c>
      <c r="FR429" s="88">
        <v>0</v>
      </c>
      <c r="FS429" s="88">
        <v>0</v>
      </c>
      <c r="FT429" s="88">
        <v>0</v>
      </c>
      <c r="FU429" s="88">
        <v>0</v>
      </c>
      <c r="FV429" s="88">
        <v>0</v>
      </c>
      <c r="FW429" s="88">
        <v>118</v>
      </c>
      <c r="FX429" s="32">
        <v>0</v>
      </c>
      <c r="FY429" s="32">
        <v>0</v>
      </c>
      <c r="FZ429" s="32">
        <v>1126</v>
      </c>
    </row>
    <row r="430" spans="1:182" s="22" customFormat="1" x14ac:dyDescent="0.2">
      <c r="A430" s="41">
        <v>44652</v>
      </c>
      <c r="B430" s="100">
        <f t="shared" si="35"/>
        <v>67856085.939999998</v>
      </c>
      <c r="C430" s="42">
        <v>31071.460000000003</v>
      </c>
      <c r="D430" s="42">
        <v>270058.39</v>
      </c>
      <c r="E430" s="43">
        <f t="shared" si="29"/>
        <v>301129.85000000003</v>
      </c>
      <c r="F430" s="42">
        <v>3412734.65</v>
      </c>
      <c r="G430" s="42">
        <v>2038479.4299999997</v>
      </c>
      <c r="H430" s="32">
        <f t="shared" si="28"/>
        <v>5451214.0800000001</v>
      </c>
      <c r="I430" s="42"/>
      <c r="J430" s="42"/>
      <c r="K430" s="98">
        <v>15121716.67</v>
      </c>
      <c r="L430" s="42"/>
      <c r="M430" s="42"/>
      <c r="N430" s="98">
        <v>23254872.150000006</v>
      </c>
      <c r="O430" s="42"/>
      <c r="P430" s="42"/>
      <c r="Q430" s="98">
        <v>22854466.219999999</v>
      </c>
      <c r="R430" s="42"/>
      <c r="S430" s="42"/>
      <c r="T430" s="42">
        <v>120242.37999999999</v>
      </c>
      <c r="U430" s="42">
        <v>1950.46</v>
      </c>
      <c r="V430" s="42">
        <v>2886.13</v>
      </c>
      <c r="W430" s="42">
        <f t="shared" si="30"/>
        <v>4836.59</v>
      </c>
      <c r="X430" s="42">
        <v>20581.469999999998</v>
      </c>
      <c r="Y430" s="42">
        <v>4265.22</v>
      </c>
      <c r="Z430" s="32">
        <f t="shared" si="31"/>
        <v>24846.69</v>
      </c>
      <c r="AA430" s="42">
        <v>95065.450000000012</v>
      </c>
      <c r="AB430" s="42">
        <v>92417.25</v>
      </c>
      <c r="AC430" s="32">
        <f t="shared" si="32"/>
        <v>187482.7</v>
      </c>
      <c r="AD430" s="42">
        <v>2484.1200000000003</v>
      </c>
      <c r="AE430" s="42">
        <v>6862.7900000000009</v>
      </c>
      <c r="AF430" s="32">
        <f t="shared" si="33"/>
        <v>9346.9100000000017</v>
      </c>
      <c r="AG430" s="32">
        <v>9164.69</v>
      </c>
      <c r="AH430" s="32">
        <v>68790.78</v>
      </c>
      <c r="AI430" s="32">
        <f t="shared" si="34"/>
        <v>77955.47</v>
      </c>
      <c r="AJ430" s="42"/>
      <c r="AK430" s="42"/>
      <c r="AL430" s="42">
        <v>30226.6</v>
      </c>
      <c r="AM430" s="42">
        <v>12822.72</v>
      </c>
      <c r="AN430" s="42">
        <v>6597.2199999999993</v>
      </c>
      <c r="AO430" s="42">
        <f t="shared" si="36"/>
        <v>19419.939999999999</v>
      </c>
      <c r="AP430" s="42"/>
      <c r="AQ430" s="42"/>
      <c r="AR430" s="42">
        <v>398329.69</v>
      </c>
      <c r="AS430" s="42"/>
      <c r="AT430" s="42"/>
      <c r="AU430" s="42">
        <v>1466047.04</v>
      </c>
      <c r="AV430" s="42"/>
      <c r="AW430" s="42"/>
      <c r="AX430" s="42">
        <v>44831.880000000012</v>
      </c>
      <c r="AY430" s="42">
        <v>5826625.7999999998</v>
      </c>
      <c r="AZ430" s="42">
        <v>950870</v>
      </c>
      <c r="BA430" s="43">
        <f t="shared" si="27"/>
        <v>6777495.7999999998</v>
      </c>
      <c r="BB430" s="42"/>
      <c r="BC430" s="42"/>
      <c r="BD430" s="42">
        <v>1436337.2222222222</v>
      </c>
      <c r="BE430" s="88">
        <v>0</v>
      </c>
      <c r="BF430" s="88">
        <v>0</v>
      </c>
      <c r="BG430" s="88">
        <v>104</v>
      </c>
      <c r="BH430" s="88">
        <v>0</v>
      </c>
      <c r="BI430" s="88">
        <v>0</v>
      </c>
      <c r="BJ430" s="88">
        <v>0</v>
      </c>
      <c r="BK430" s="88">
        <v>0</v>
      </c>
      <c r="BL430" s="88">
        <v>0</v>
      </c>
      <c r="BM430" s="88">
        <v>270</v>
      </c>
      <c r="BN430" s="88">
        <v>0</v>
      </c>
      <c r="BO430" s="88">
        <v>0</v>
      </c>
      <c r="BP430" s="88">
        <v>1</v>
      </c>
      <c r="BQ430" s="88">
        <v>0</v>
      </c>
      <c r="BR430" s="88">
        <v>0</v>
      </c>
      <c r="BS430" s="88">
        <v>394</v>
      </c>
      <c r="BT430" s="88">
        <v>0</v>
      </c>
      <c r="BU430" s="88">
        <v>0</v>
      </c>
      <c r="BV430" s="88">
        <v>0</v>
      </c>
      <c r="BW430" s="88"/>
      <c r="BX430" s="88"/>
      <c r="BY430" s="88"/>
      <c r="BZ430" s="88">
        <v>0</v>
      </c>
      <c r="CA430" s="88">
        <v>0</v>
      </c>
      <c r="CB430" s="88">
        <v>221</v>
      </c>
      <c r="CC430" s="88"/>
      <c r="CD430" s="88"/>
      <c r="CE430" s="88"/>
      <c r="CF430" s="88">
        <v>0</v>
      </c>
      <c r="CG430" s="88">
        <v>0</v>
      </c>
      <c r="CH430" s="88">
        <v>1</v>
      </c>
      <c r="CI430" s="88">
        <v>0</v>
      </c>
      <c r="CJ430" s="88">
        <v>0</v>
      </c>
      <c r="CK430" s="88">
        <v>17</v>
      </c>
      <c r="CL430" s="88">
        <v>0</v>
      </c>
      <c r="CM430" s="88">
        <v>0</v>
      </c>
      <c r="CN430" s="88">
        <v>1</v>
      </c>
      <c r="CO430" s="88">
        <v>0</v>
      </c>
      <c r="CP430" s="88">
        <v>0</v>
      </c>
      <c r="CQ430" s="88">
        <v>33</v>
      </c>
      <c r="CR430" s="88">
        <v>0</v>
      </c>
      <c r="CS430" s="88">
        <v>0</v>
      </c>
      <c r="CT430" s="88">
        <v>0</v>
      </c>
      <c r="CU430" s="88">
        <v>0</v>
      </c>
      <c r="CV430" s="88">
        <v>0</v>
      </c>
      <c r="CW430" s="88">
        <v>84</v>
      </c>
      <c r="CX430" s="88">
        <v>0</v>
      </c>
      <c r="CY430" s="88">
        <v>0</v>
      </c>
      <c r="CZ430" s="88">
        <v>9</v>
      </c>
      <c r="DA430" s="88">
        <v>0</v>
      </c>
      <c r="DB430" s="88">
        <v>0</v>
      </c>
      <c r="DC430" s="88">
        <v>0</v>
      </c>
      <c r="DD430" s="88">
        <v>0</v>
      </c>
      <c r="DE430" s="88">
        <v>0</v>
      </c>
      <c r="DF430" s="88">
        <v>0</v>
      </c>
      <c r="DG430" s="88">
        <v>0</v>
      </c>
      <c r="DH430" s="88">
        <v>0</v>
      </c>
      <c r="DI430" s="88">
        <v>2</v>
      </c>
      <c r="DJ430" s="88">
        <v>0</v>
      </c>
      <c r="DK430" s="88">
        <v>0</v>
      </c>
      <c r="DL430" s="88">
        <v>0</v>
      </c>
      <c r="DM430" s="88">
        <v>0</v>
      </c>
      <c r="DN430" s="88">
        <v>0</v>
      </c>
      <c r="DO430" s="88">
        <v>0</v>
      </c>
      <c r="DP430" s="88">
        <v>0</v>
      </c>
      <c r="DQ430" s="88">
        <v>0</v>
      </c>
      <c r="DR430" s="87">
        <v>1</v>
      </c>
      <c r="DS430" s="87">
        <v>0</v>
      </c>
      <c r="DT430" s="87">
        <v>0</v>
      </c>
      <c r="DU430" s="87">
        <v>22</v>
      </c>
      <c r="DV430" s="87">
        <v>0</v>
      </c>
      <c r="DW430" s="87">
        <v>0</v>
      </c>
      <c r="DX430" s="87">
        <v>0</v>
      </c>
      <c r="DY430" s="88">
        <v>0</v>
      </c>
      <c r="DZ430" s="88">
        <v>0</v>
      </c>
      <c r="EA430" s="88">
        <v>1594</v>
      </c>
      <c r="EB430" s="88">
        <v>0</v>
      </c>
      <c r="EC430" s="88">
        <v>0</v>
      </c>
      <c r="ED430" s="88">
        <v>0</v>
      </c>
      <c r="EE430" s="88">
        <v>0</v>
      </c>
      <c r="EF430" s="88">
        <v>0</v>
      </c>
      <c r="EG430" s="88">
        <v>666</v>
      </c>
      <c r="EH430" s="88">
        <v>0</v>
      </c>
      <c r="EI430" s="88">
        <v>0</v>
      </c>
      <c r="EJ430" s="88">
        <v>84</v>
      </c>
      <c r="EK430" s="88">
        <v>0</v>
      </c>
      <c r="EL430" s="88">
        <v>0</v>
      </c>
      <c r="EM430" s="88">
        <v>516</v>
      </c>
      <c r="EN430" s="88">
        <v>0</v>
      </c>
      <c r="EO430" s="88">
        <v>0</v>
      </c>
      <c r="EP430" s="88">
        <v>105</v>
      </c>
      <c r="EQ430" s="88">
        <v>0</v>
      </c>
      <c r="ER430" s="88">
        <v>0</v>
      </c>
      <c r="ES430" s="88">
        <v>1</v>
      </c>
      <c r="ET430" s="88">
        <v>0</v>
      </c>
      <c r="EU430" s="88">
        <v>0</v>
      </c>
      <c r="EV430" s="88">
        <v>47</v>
      </c>
      <c r="EW430" s="88">
        <v>0</v>
      </c>
      <c r="EX430" s="88">
        <v>0</v>
      </c>
      <c r="EY430" s="88">
        <v>8</v>
      </c>
      <c r="EZ430" s="88">
        <v>0</v>
      </c>
      <c r="FA430" s="88">
        <v>0</v>
      </c>
      <c r="FB430" s="88">
        <v>0</v>
      </c>
      <c r="FC430" s="88">
        <v>0</v>
      </c>
      <c r="FD430" s="88">
        <v>0</v>
      </c>
      <c r="FE430" s="88">
        <v>0</v>
      </c>
      <c r="FF430" s="88">
        <v>0</v>
      </c>
      <c r="FG430" s="88">
        <v>0</v>
      </c>
      <c r="FH430" s="88">
        <v>0</v>
      </c>
      <c r="FI430" s="88">
        <v>0</v>
      </c>
      <c r="FJ430" s="88">
        <v>0</v>
      </c>
      <c r="FK430" s="32">
        <v>43</v>
      </c>
      <c r="FL430" s="88">
        <v>0</v>
      </c>
      <c r="FM430" s="88">
        <v>0</v>
      </c>
      <c r="FN430" s="88">
        <v>2579</v>
      </c>
      <c r="FO430" s="88">
        <v>0</v>
      </c>
      <c r="FP430" s="88">
        <v>0</v>
      </c>
      <c r="FQ430" s="88">
        <v>432</v>
      </c>
      <c r="FR430" s="88">
        <v>0</v>
      </c>
      <c r="FS430" s="88">
        <v>0</v>
      </c>
      <c r="FT430" s="88">
        <v>0</v>
      </c>
      <c r="FU430" s="88">
        <v>0</v>
      </c>
      <c r="FV430" s="88">
        <v>0</v>
      </c>
      <c r="FW430" s="88">
        <v>128</v>
      </c>
      <c r="FX430" s="32">
        <v>0</v>
      </c>
      <c r="FY430" s="32">
        <v>0</v>
      </c>
      <c r="FZ430" s="112">
        <v>5</v>
      </c>
    </row>
    <row r="431" spans="1:182" s="22" customFormat="1" x14ac:dyDescent="0.2">
      <c r="A431" s="41">
        <v>44682</v>
      </c>
      <c r="B431" s="100">
        <f t="shared" si="35"/>
        <v>63022744.500000007</v>
      </c>
      <c r="C431" s="42">
        <v>24221.559999999998</v>
      </c>
      <c r="D431" s="42">
        <v>304667.43</v>
      </c>
      <c r="E431" s="43">
        <f t="shared" si="29"/>
        <v>328888.99</v>
      </c>
      <c r="F431" s="42">
        <v>3353884.89</v>
      </c>
      <c r="G431" s="42">
        <v>1616667.62</v>
      </c>
      <c r="H431" s="32">
        <f t="shared" si="28"/>
        <v>4970552.51</v>
      </c>
      <c r="I431" s="42"/>
      <c r="J431" s="42"/>
      <c r="K431" s="98">
        <v>13817674.700000003</v>
      </c>
      <c r="L431" s="42"/>
      <c r="M431" s="42"/>
      <c r="N431" s="98">
        <v>21799487.449999999</v>
      </c>
      <c r="O431" s="42"/>
      <c r="P431" s="42"/>
      <c r="Q431" s="98">
        <v>21317297.73</v>
      </c>
      <c r="R431" s="42"/>
      <c r="S431" s="42"/>
      <c r="T431" s="42">
        <v>122083.75</v>
      </c>
      <c r="U431" s="42">
        <v>1210.71</v>
      </c>
      <c r="V431" s="42">
        <v>3944.23</v>
      </c>
      <c r="W431" s="42">
        <f t="shared" si="30"/>
        <v>5154.9400000000005</v>
      </c>
      <c r="X431" s="42">
        <v>38614.93</v>
      </c>
      <c r="Y431" s="42">
        <v>10348.6</v>
      </c>
      <c r="Z431" s="32">
        <f t="shared" si="31"/>
        <v>48963.53</v>
      </c>
      <c r="AA431" s="42">
        <v>139959.57999999999</v>
      </c>
      <c r="AB431" s="42">
        <v>91664.400000000009</v>
      </c>
      <c r="AC431" s="32">
        <f t="shared" si="32"/>
        <v>231623.97999999998</v>
      </c>
      <c r="AD431" s="42">
        <v>1253.73</v>
      </c>
      <c r="AE431" s="42">
        <v>11092.490000000002</v>
      </c>
      <c r="AF431" s="32">
        <f t="shared" si="33"/>
        <v>12346.220000000001</v>
      </c>
      <c r="AG431" s="32">
        <v>6789.18</v>
      </c>
      <c r="AH431" s="32">
        <v>76523.89</v>
      </c>
      <c r="AI431" s="32">
        <f t="shared" si="34"/>
        <v>83313.070000000007</v>
      </c>
      <c r="AJ431" s="42"/>
      <c r="AK431" s="42"/>
      <c r="AL431" s="42">
        <v>32616</v>
      </c>
      <c r="AM431" s="42"/>
      <c r="AN431" s="42">
        <v>5196.2</v>
      </c>
      <c r="AO431" s="42">
        <f t="shared" si="36"/>
        <v>5196.2</v>
      </c>
      <c r="AP431" s="42"/>
      <c r="AQ431" s="42"/>
      <c r="AR431" s="42">
        <v>247545.43</v>
      </c>
      <c r="AS431" s="42"/>
      <c r="AT431" s="42"/>
      <c r="AU431" s="42">
        <v>1810616.2900000005</v>
      </c>
      <c r="AV431" s="42"/>
      <c r="AW431" s="42"/>
      <c r="AX431" s="42">
        <v>38406.620000000003</v>
      </c>
      <c r="AY431" s="42">
        <v>6325622.5</v>
      </c>
      <c r="AZ431" s="42">
        <v>1093430</v>
      </c>
      <c r="BA431" s="43">
        <f t="shared" si="27"/>
        <v>7419052.5</v>
      </c>
      <c r="BB431" s="42"/>
      <c r="BC431" s="42"/>
      <c r="BD431" s="42">
        <v>1524604</v>
      </c>
      <c r="BE431" s="88">
        <v>0</v>
      </c>
      <c r="BF431" s="88">
        <v>0</v>
      </c>
      <c r="BG431" s="88">
        <v>164</v>
      </c>
      <c r="BH431" s="88">
        <v>0</v>
      </c>
      <c r="BI431" s="88">
        <v>0</v>
      </c>
      <c r="BJ431" s="88">
        <v>0</v>
      </c>
      <c r="BK431" s="88">
        <v>0</v>
      </c>
      <c r="BL431" s="88">
        <v>0</v>
      </c>
      <c r="BM431" s="88">
        <v>247</v>
      </c>
      <c r="BN431" s="88">
        <v>0</v>
      </c>
      <c r="BO431" s="88">
        <v>0</v>
      </c>
      <c r="BP431" s="88">
        <v>0</v>
      </c>
      <c r="BQ431" s="88">
        <v>0</v>
      </c>
      <c r="BR431" s="88">
        <v>0</v>
      </c>
      <c r="BS431" s="88">
        <v>122</v>
      </c>
      <c r="BT431" s="88">
        <v>0</v>
      </c>
      <c r="BU431" s="88">
        <v>0</v>
      </c>
      <c r="BV431" s="88">
        <v>0</v>
      </c>
      <c r="BW431" s="88"/>
      <c r="BX431" s="88"/>
      <c r="BY431" s="88"/>
      <c r="BZ431" s="88">
        <v>0</v>
      </c>
      <c r="CA431" s="88">
        <v>0</v>
      </c>
      <c r="CB431" s="88">
        <v>305</v>
      </c>
      <c r="CC431" s="88"/>
      <c r="CD431" s="88"/>
      <c r="CE431" s="88"/>
      <c r="CF431" s="88">
        <v>0</v>
      </c>
      <c r="CG431" s="88">
        <v>0</v>
      </c>
      <c r="CH431" s="88">
        <v>5</v>
      </c>
      <c r="CI431" s="88">
        <v>0</v>
      </c>
      <c r="CJ431" s="88">
        <v>0</v>
      </c>
      <c r="CK431" s="88">
        <v>12</v>
      </c>
      <c r="CL431" s="88">
        <v>0</v>
      </c>
      <c r="CM431" s="88">
        <v>0</v>
      </c>
      <c r="CN431" s="88">
        <v>1</v>
      </c>
      <c r="CO431" s="88">
        <v>0</v>
      </c>
      <c r="CP431" s="88">
        <v>0</v>
      </c>
      <c r="CQ431" s="88">
        <v>33</v>
      </c>
      <c r="CR431" s="88">
        <v>0</v>
      </c>
      <c r="CS431" s="88">
        <v>0</v>
      </c>
      <c r="CT431" s="88">
        <v>2</v>
      </c>
      <c r="CU431" s="88">
        <v>0</v>
      </c>
      <c r="CV431" s="88">
        <v>0</v>
      </c>
      <c r="CW431" s="88">
        <v>475</v>
      </c>
      <c r="CX431" s="88">
        <v>0</v>
      </c>
      <c r="CY431" s="88">
        <v>0</v>
      </c>
      <c r="CZ431" s="88">
        <v>0</v>
      </c>
      <c r="DA431" s="88">
        <v>0</v>
      </c>
      <c r="DB431" s="88">
        <v>0</v>
      </c>
      <c r="DC431" s="88">
        <v>0</v>
      </c>
      <c r="DD431" s="88">
        <v>0</v>
      </c>
      <c r="DE431" s="88">
        <v>0</v>
      </c>
      <c r="DF431" s="88">
        <v>0</v>
      </c>
      <c r="DG431" s="88">
        <v>0</v>
      </c>
      <c r="DH431" s="88">
        <v>0</v>
      </c>
      <c r="DI431" s="88">
        <v>7</v>
      </c>
      <c r="DJ431" s="88">
        <v>0</v>
      </c>
      <c r="DK431" s="88">
        <v>0</v>
      </c>
      <c r="DL431" s="88">
        <v>0</v>
      </c>
      <c r="DM431" s="88">
        <v>0</v>
      </c>
      <c r="DN431" s="88">
        <v>0</v>
      </c>
      <c r="DO431" s="88">
        <v>0</v>
      </c>
      <c r="DP431" s="88">
        <v>0</v>
      </c>
      <c r="DQ431" s="88">
        <v>0</v>
      </c>
      <c r="DR431" s="87">
        <v>4</v>
      </c>
      <c r="DS431" s="87">
        <v>0</v>
      </c>
      <c r="DT431" s="87">
        <v>0</v>
      </c>
      <c r="DU431" s="87">
        <v>23</v>
      </c>
      <c r="DV431" s="87">
        <v>0</v>
      </c>
      <c r="DW431" s="87">
        <v>0</v>
      </c>
      <c r="DX431" s="87">
        <v>0</v>
      </c>
      <c r="DY431" s="88">
        <v>0</v>
      </c>
      <c r="DZ431" s="88">
        <v>0</v>
      </c>
      <c r="EA431" s="88">
        <v>1260</v>
      </c>
      <c r="EB431" s="88">
        <v>0</v>
      </c>
      <c r="EC431" s="88">
        <v>0</v>
      </c>
      <c r="ED431" s="88">
        <v>0</v>
      </c>
      <c r="EE431" s="88">
        <v>0</v>
      </c>
      <c r="EF431" s="88">
        <v>0</v>
      </c>
      <c r="EG431" s="88">
        <v>867</v>
      </c>
      <c r="EH431" s="88">
        <v>0</v>
      </c>
      <c r="EI431" s="88">
        <v>0</v>
      </c>
      <c r="EJ431" s="88">
        <v>10</v>
      </c>
      <c r="EK431" s="88">
        <v>0</v>
      </c>
      <c r="EL431" s="88">
        <v>0</v>
      </c>
      <c r="EM431" s="88">
        <v>583</v>
      </c>
      <c r="EN431" s="88">
        <v>0</v>
      </c>
      <c r="EO431" s="88">
        <v>0</v>
      </c>
      <c r="EP431" s="88">
        <v>101</v>
      </c>
      <c r="EQ431" s="88">
        <v>0</v>
      </c>
      <c r="ER431" s="88">
        <v>0</v>
      </c>
      <c r="ES431" s="88">
        <v>4</v>
      </c>
      <c r="ET431" s="88">
        <v>0</v>
      </c>
      <c r="EU431" s="88">
        <v>0</v>
      </c>
      <c r="EV431" s="88">
        <v>35</v>
      </c>
      <c r="EW431" s="88">
        <v>0</v>
      </c>
      <c r="EX431" s="88">
        <v>0</v>
      </c>
      <c r="EY431" s="88">
        <v>7</v>
      </c>
      <c r="EZ431" s="88">
        <v>0</v>
      </c>
      <c r="FA431" s="88">
        <v>0</v>
      </c>
      <c r="FB431" s="88">
        <v>0</v>
      </c>
      <c r="FC431" s="88">
        <v>0</v>
      </c>
      <c r="FD431" s="88">
        <v>0</v>
      </c>
      <c r="FE431" s="88">
        <v>5</v>
      </c>
      <c r="FF431" s="88">
        <v>0</v>
      </c>
      <c r="FG431" s="88">
        <v>0</v>
      </c>
      <c r="FH431" s="88">
        <v>0</v>
      </c>
      <c r="FI431" s="88">
        <v>0</v>
      </c>
      <c r="FJ431" s="88">
        <v>0</v>
      </c>
      <c r="FK431" s="32">
        <v>25</v>
      </c>
      <c r="FL431" s="88">
        <v>0</v>
      </c>
      <c r="FM431" s="88">
        <v>0</v>
      </c>
      <c r="FN431" s="88">
        <v>2848</v>
      </c>
      <c r="FO431" s="88">
        <v>0</v>
      </c>
      <c r="FP431" s="88">
        <v>0</v>
      </c>
      <c r="FQ431" s="88">
        <v>393</v>
      </c>
      <c r="FR431" s="88">
        <v>0</v>
      </c>
      <c r="FS431" s="88">
        <v>0</v>
      </c>
      <c r="FT431" s="88">
        <v>0</v>
      </c>
      <c r="FU431" s="88">
        <v>0</v>
      </c>
      <c r="FV431" s="88">
        <v>0</v>
      </c>
      <c r="FW431" s="88">
        <v>121</v>
      </c>
      <c r="FX431" s="32">
        <v>0</v>
      </c>
      <c r="FY431" s="32">
        <v>0</v>
      </c>
      <c r="FZ431" s="32">
        <v>69</v>
      </c>
    </row>
    <row r="432" spans="1:182" s="22" customFormat="1" x14ac:dyDescent="0.2">
      <c r="A432" s="41">
        <v>44713</v>
      </c>
      <c r="B432" s="100">
        <f t="shared" si="35"/>
        <v>62604994.590000004</v>
      </c>
      <c r="C432" s="42">
        <v>20173.45</v>
      </c>
      <c r="D432" s="42">
        <v>332948.92000000004</v>
      </c>
      <c r="E432" s="43">
        <f t="shared" si="29"/>
        <v>353122.37000000005</v>
      </c>
      <c r="F432" s="42">
        <v>3308567.0200000005</v>
      </c>
      <c r="G432" s="42">
        <v>1481352.6300000001</v>
      </c>
      <c r="H432" s="32">
        <f t="shared" si="28"/>
        <v>4789919.6500000004</v>
      </c>
      <c r="I432" s="42"/>
      <c r="J432" s="42"/>
      <c r="K432" s="98">
        <v>11983320.73</v>
      </c>
      <c r="L432" s="42"/>
      <c r="M432" s="42"/>
      <c r="N432" s="98">
        <v>20438407.48</v>
      </c>
      <c r="O432" s="42"/>
      <c r="P432" s="42"/>
      <c r="Q432" s="98">
        <v>24291990.07</v>
      </c>
      <c r="R432" s="42"/>
      <c r="S432" s="42"/>
      <c r="T432" s="42">
        <v>141729.72000000003</v>
      </c>
      <c r="U432" s="42">
        <v>2088.0700000000002</v>
      </c>
      <c r="V432" s="42">
        <v>3289.75</v>
      </c>
      <c r="W432" s="42">
        <f t="shared" si="30"/>
        <v>5377.82</v>
      </c>
      <c r="X432" s="42">
        <v>21297.98</v>
      </c>
      <c r="Y432" s="42">
        <v>4964.26</v>
      </c>
      <c r="Z432" s="32">
        <f t="shared" si="31"/>
        <v>26262.239999999998</v>
      </c>
      <c r="AA432" s="42">
        <v>140796.66</v>
      </c>
      <c r="AB432" s="42">
        <v>68093.09</v>
      </c>
      <c r="AC432" s="32">
        <f t="shared" si="32"/>
        <v>208889.75</v>
      </c>
      <c r="AD432" s="42">
        <v>2304.4800000000005</v>
      </c>
      <c r="AE432" s="42">
        <v>5232.88</v>
      </c>
      <c r="AF432" s="32">
        <f t="shared" si="33"/>
        <v>7537.3600000000006</v>
      </c>
      <c r="AG432" s="32">
        <v>7267.5300000000007</v>
      </c>
      <c r="AH432" s="32">
        <v>62615.53</v>
      </c>
      <c r="AI432" s="32">
        <f t="shared" si="34"/>
        <v>69883.06</v>
      </c>
      <c r="AJ432" s="42"/>
      <c r="AK432" s="42"/>
      <c r="AL432" s="42">
        <v>24037.79</v>
      </c>
      <c r="AM432" s="42"/>
      <c r="AN432" s="42">
        <v>3860.94</v>
      </c>
      <c r="AO432" s="42">
        <f t="shared" si="36"/>
        <v>3860.94</v>
      </c>
      <c r="AP432" s="42"/>
      <c r="AQ432" s="42"/>
      <c r="AR432" s="42">
        <v>260655.61000000002</v>
      </c>
      <c r="AS432" s="42"/>
      <c r="AT432" s="42"/>
      <c r="AU432" s="42">
        <v>1630158.3</v>
      </c>
      <c r="AV432" s="42"/>
      <c r="AW432" s="42"/>
      <c r="AX432" s="42">
        <v>48908.83</v>
      </c>
      <c r="AY432" s="42">
        <v>5128783.7</v>
      </c>
      <c r="AZ432" s="42">
        <v>1006430</v>
      </c>
      <c r="BA432" s="43">
        <f t="shared" si="27"/>
        <v>6135213.7000000002</v>
      </c>
      <c r="BB432" s="42"/>
      <c r="BC432" s="42"/>
      <c r="BD432" s="42">
        <v>1367532.8888888888</v>
      </c>
      <c r="BE432" s="88">
        <v>0</v>
      </c>
      <c r="BF432" s="88">
        <v>0</v>
      </c>
      <c r="BG432" s="88">
        <v>97</v>
      </c>
      <c r="BH432" s="88">
        <v>0</v>
      </c>
      <c r="BI432" s="88">
        <v>0</v>
      </c>
      <c r="BJ432" s="88">
        <v>0</v>
      </c>
      <c r="BK432" s="88">
        <v>0</v>
      </c>
      <c r="BL432" s="88">
        <v>0</v>
      </c>
      <c r="BM432" s="88">
        <v>256</v>
      </c>
      <c r="BN432" s="88">
        <v>0</v>
      </c>
      <c r="BO432" s="88">
        <v>0</v>
      </c>
      <c r="BP432" s="88">
        <v>0</v>
      </c>
      <c r="BQ432" s="88">
        <v>0</v>
      </c>
      <c r="BR432" s="88">
        <v>0</v>
      </c>
      <c r="BS432" s="88">
        <v>285</v>
      </c>
      <c r="BT432" s="88">
        <v>0</v>
      </c>
      <c r="BU432" s="88">
        <v>0</v>
      </c>
      <c r="BV432" s="88">
        <v>0</v>
      </c>
      <c r="BW432" s="88"/>
      <c r="BX432" s="88"/>
      <c r="BY432" s="88"/>
      <c r="BZ432" s="88">
        <v>0</v>
      </c>
      <c r="CA432" s="88">
        <v>0</v>
      </c>
      <c r="CB432" s="88">
        <v>298</v>
      </c>
      <c r="CC432" s="88"/>
      <c r="CD432" s="88"/>
      <c r="CE432" s="88"/>
      <c r="CF432" s="88">
        <v>0</v>
      </c>
      <c r="CG432" s="88">
        <v>0</v>
      </c>
      <c r="CH432" s="88">
        <v>3</v>
      </c>
      <c r="CI432" s="88">
        <v>0</v>
      </c>
      <c r="CJ432" s="88">
        <v>0</v>
      </c>
      <c r="CK432" s="88">
        <v>26</v>
      </c>
      <c r="CL432" s="88">
        <v>0</v>
      </c>
      <c r="CM432" s="88">
        <v>0</v>
      </c>
      <c r="CN432" s="88">
        <v>0</v>
      </c>
      <c r="CO432" s="88">
        <v>0</v>
      </c>
      <c r="CP432" s="88">
        <v>0</v>
      </c>
      <c r="CQ432" s="88">
        <v>49</v>
      </c>
      <c r="CR432" s="88">
        <v>0</v>
      </c>
      <c r="CS432" s="88">
        <v>0</v>
      </c>
      <c r="CT432" s="88">
        <v>0</v>
      </c>
      <c r="CU432" s="88">
        <v>0</v>
      </c>
      <c r="CV432" s="88">
        <v>0</v>
      </c>
      <c r="CW432" s="88">
        <v>472</v>
      </c>
      <c r="CX432" s="88">
        <v>0</v>
      </c>
      <c r="CY432" s="88">
        <v>0</v>
      </c>
      <c r="CZ432" s="88">
        <v>1</v>
      </c>
      <c r="DA432" s="88">
        <v>0</v>
      </c>
      <c r="DB432" s="88">
        <v>0</v>
      </c>
      <c r="DC432" s="88">
        <v>0</v>
      </c>
      <c r="DD432" s="88">
        <v>0</v>
      </c>
      <c r="DE432" s="88">
        <v>0</v>
      </c>
      <c r="DF432" s="88">
        <v>0</v>
      </c>
      <c r="DG432" s="88">
        <v>0</v>
      </c>
      <c r="DH432" s="88">
        <v>0</v>
      </c>
      <c r="DI432" s="88">
        <v>8</v>
      </c>
      <c r="DJ432" s="88">
        <v>0</v>
      </c>
      <c r="DK432" s="88">
        <v>0</v>
      </c>
      <c r="DL432" s="88">
        <v>0</v>
      </c>
      <c r="DM432" s="88">
        <v>0</v>
      </c>
      <c r="DN432" s="88">
        <v>0</v>
      </c>
      <c r="DO432" s="88">
        <v>0</v>
      </c>
      <c r="DP432" s="88">
        <v>0</v>
      </c>
      <c r="DQ432" s="88">
        <v>0</v>
      </c>
      <c r="DR432" s="87">
        <v>20</v>
      </c>
      <c r="DS432" s="87">
        <v>0</v>
      </c>
      <c r="DT432" s="87">
        <v>0</v>
      </c>
      <c r="DU432" s="87">
        <v>34</v>
      </c>
      <c r="DV432" s="87">
        <v>0</v>
      </c>
      <c r="DW432" s="87">
        <v>0</v>
      </c>
      <c r="DX432" s="87">
        <v>0</v>
      </c>
      <c r="DY432" s="88">
        <v>0</v>
      </c>
      <c r="DZ432" s="88">
        <v>0</v>
      </c>
      <c r="EA432" s="88">
        <v>969</v>
      </c>
      <c r="EB432" s="88">
        <v>0</v>
      </c>
      <c r="EC432" s="88">
        <v>0</v>
      </c>
      <c r="ED432" s="88">
        <v>0</v>
      </c>
      <c r="EE432" s="88">
        <v>0</v>
      </c>
      <c r="EF432" s="88">
        <v>0</v>
      </c>
      <c r="EG432" s="88">
        <v>714</v>
      </c>
      <c r="EH432" s="88">
        <v>0</v>
      </c>
      <c r="EI432" s="88">
        <v>0</v>
      </c>
      <c r="EJ432" s="88">
        <v>119</v>
      </c>
      <c r="EK432" s="88">
        <v>0</v>
      </c>
      <c r="EL432" s="88">
        <v>0</v>
      </c>
      <c r="EM432" s="88">
        <v>599</v>
      </c>
      <c r="EN432" s="88">
        <v>0</v>
      </c>
      <c r="EO432" s="88">
        <v>0</v>
      </c>
      <c r="EP432" s="88">
        <v>88</v>
      </c>
      <c r="EQ432" s="88">
        <v>0</v>
      </c>
      <c r="ER432" s="88">
        <v>0</v>
      </c>
      <c r="ES432" s="88">
        <v>9</v>
      </c>
      <c r="ET432" s="88">
        <v>0</v>
      </c>
      <c r="EU432" s="88">
        <v>0</v>
      </c>
      <c r="EV432" s="88">
        <v>3</v>
      </c>
      <c r="EW432" s="88">
        <v>0</v>
      </c>
      <c r="EX432" s="88">
        <v>0</v>
      </c>
      <c r="EY432" s="88">
        <v>1</v>
      </c>
      <c r="EZ432" s="88">
        <v>0</v>
      </c>
      <c r="FA432" s="88">
        <v>0</v>
      </c>
      <c r="FB432" s="88">
        <v>0</v>
      </c>
      <c r="FC432" s="88">
        <v>0</v>
      </c>
      <c r="FD432" s="88">
        <v>0</v>
      </c>
      <c r="FE432" s="88">
        <v>7</v>
      </c>
      <c r="FF432" s="88">
        <v>0</v>
      </c>
      <c r="FG432" s="88">
        <v>0</v>
      </c>
      <c r="FH432" s="88">
        <v>0</v>
      </c>
      <c r="FI432" s="88">
        <v>0</v>
      </c>
      <c r="FJ432" s="88">
        <v>0</v>
      </c>
      <c r="FK432" s="32">
        <v>21</v>
      </c>
      <c r="FL432" s="88">
        <v>0</v>
      </c>
      <c r="FM432" s="88">
        <v>0</v>
      </c>
      <c r="FN432" s="88">
        <v>2782</v>
      </c>
      <c r="FO432" s="88">
        <v>0</v>
      </c>
      <c r="FP432" s="88">
        <v>0</v>
      </c>
      <c r="FQ432" s="88">
        <v>396</v>
      </c>
      <c r="FR432" s="88">
        <v>0</v>
      </c>
      <c r="FS432" s="88">
        <v>0</v>
      </c>
      <c r="FT432" s="88">
        <v>0</v>
      </c>
      <c r="FU432" s="88">
        <v>0</v>
      </c>
      <c r="FV432" s="88">
        <v>0</v>
      </c>
      <c r="FW432" s="88">
        <v>74</v>
      </c>
      <c r="FX432" s="32">
        <v>0</v>
      </c>
      <c r="FY432" s="32">
        <v>0</v>
      </c>
      <c r="FZ432" s="32">
        <v>107</v>
      </c>
    </row>
    <row r="433" spans="1:184" s="22" customFormat="1" x14ac:dyDescent="0.2">
      <c r="A433" s="41">
        <v>44743</v>
      </c>
      <c r="B433" s="100">
        <f t="shared" si="35"/>
        <v>57456558.540000007</v>
      </c>
      <c r="C433" s="42">
        <v>27688.94</v>
      </c>
      <c r="D433" s="42">
        <v>320406.47000000003</v>
      </c>
      <c r="E433" s="43">
        <f t="shared" si="29"/>
        <v>348095.41000000003</v>
      </c>
      <c r="F433" s="42">
        <v>3392253.97</v>
      </c>
      <c r="G433" s="42">
        <v>1518991.2100000002</v>
      </c>
      <c r="H433" s="32">
        <f t="shared" si="28"/>
        <v>4911245.1800000006</v>
      </c>
      <c r="I433" s="42"/>
      <c r="J433" s="42"/>
      <c r="K433" s="98">
        <v>10754481.960000001</v>
      </c>
      <c r="L433" s="42"/>
      <c r="M433" s="42"/>
      <c r="N433" s="98">
        <v>20993024.790000007</v>
      </c>
      <c r="O433" s="42"/>
      <c r="P433" s="42"/>
      <c r="Q433" s="98">
        <v>19597734.939999998</v>
      </c>
      <c r="R433" s="42"/>
      <c r="S433" s="42"/>
      <c r="T433" s="42">
        <v>178378.53</v>
      </c>
      <c r="U433" s="42">
        <v>1152.94</v>
      </c>
      <c r="V433" s="42">
        <v>2533.71</v>
      </c>
      <c r="W433" s="42">
        <f t="shared" si="30"/>
        <v>3686.65</v>
      </c>
      <c r="X433" s="42">
        <v>21288.799999999999</v>
      </c>
      <c r="Y433" s="42">
        <v>6439.11</v>
      </c>
      <c r="Z433" s="32">
        <f t="shared" si="31"/>
        <v>27727.91</v>
      </c>
      <c r="AA433" s="42">
        <v>101706.44999999998</v>
      </c>
      <c r="AB433" s="42">
        <v>90850.25</v>
      </c>
      <c r="AC433" s="32">
        <f t="shared" si="32"/>
        <v>192556.69999999998</v>
      </c>
      <c r="AD433" s="42">
        <v>1858.8600000000004</v>
      </c>
      <c r="AE433" s="42">
        <v>8340.86</v>
      </c>
      <c r="AF433" s="32">
        <f t="shared" si="33"/>
        <v>10199.720000000001</v>
      </c>
      <c r="AG433" s="32">
        <v>8189.1799999999994</v>
      </c>
      <c r="AH433" s="32">
        <v>65040.529999999992</v>
      </c>
      <c r="AI433" s="32">
        <f t="shared" si="34"/>
        <v>73229.709999999992</v>
      </c>
      <c r="AJ433" s="42"/>
      <c r="AK433" s="42"/>
      <c r="AL433" s="42">
        <v>25610.85</v>
      </c>
      <c r="AM433" s="42"/>
      <c r="AN433" s="42">
        <v>5378.7000000000007</v>
      </c>
      <c r="AO433" s="42">
        <f t="shared" si="36"/>
        <v>5378.7000000000007</v>
      </c>
      <c r="AP433" s="42"/>
      <c r="AQ433" s="42"/>
      <c r="AR433" s="42">
        <v>335207.49</v>
      </c>
      <c r="AS433" s="42"/>
      <c r="AT433" s="42"/>
      <c r="AU433" s="42">
        <v>1246496.8000000003</v>
      </c>
      <c r="AV433" s="42"/>
      <c r="AW433" s="42"/>
      <c r="AX433" s="42">
        <v>34098.990000000005</v>
      </c>
      <c r="AY433" s="42">
        <v>5506151.5</v>
      </c>
      <c r="AZ433" s="42">
        <v>1021490</v>
      </c>
      <c r="BA433" s="43">
        <f t="shared" si="27"/>
        <v>6527641.5</v>
      </c>
      <c r="BB433" s="42"/>
      <c r="BC433" s="42"/>
      <c r="BD433" s="42">
        <v>1364266.3333333333</v>
      </c>
      <c r="BE433" s="88">
        <v>0</v>
      </c>
      <c r="BF433" s="88">
        <v>0</v>
      </c>
      <c r="BG433" s="88">
        <v>99</v>
      </c>
      <c r="BH433" s="88">
        <v>0</v>
      </c>
      <c r="BI433" s="88">
        <v>0</v>
      </c>
      <c r="BJ433" s="88">
        <v>3</v>
      </c>
      <c r="BK433" s="88">
        <v>0</v>
      </c>
      <c r="BL433" s="88">
        <v>0</v>
      </c>
      <c r="BM433" s="88">
        <v>99</v>
      </c>
      <c r="BN433" s="88">
        <v>0</v>
      </c>
      <c r="BO433" s="88">
        <v>0</v>
      </c>
      <c r="BP433" s="88">
        <v>0</v>
      </c>
      <c r="BQ433" s="88">
        <v>0</v>
      </c>
      <c r="BR433" s="88">
        <v>0</v>
      </c>
      <c r="BS433" s="88">
        <v>276</v>
      </c>
      <c r="BT433" s="88">
        <v>0</v>
      </c>
      <c r="BU433" s="88">
        <v>0</v>
      </c>
      <c r="BV433" s="88">
        <v>0</v>
      </c>
      <c r="BW433" s="88"/>
      <c r="BX433" s="88"/>
      <c r="BY433" s="88"/>
      <c r="BZ433" s="88">
        <v>0</v>
      </c>
      <c r="CA433" s="88">
        <v>0</v>
      </c>
      <c r="CB433" s="88">
        <v>342</v>
      </c>
      <c r="CC433" s="88"/>
      <c r="CD433" s="88"/>
      <c r="CE433" s="88"/>
      <c r="CF433" s="88">
        <v>0</v>
      </c>
      <c r="CG433" s="88">
        <v>0</v>
      </c>
      <c r="CH433" s="88">
        <v>2</v>
      </c>
      <c r="CI433" s="88">
        <v>0</v>
      </c>
      <c r="CJ433" s="88">
        <v>0</v>
      </c>
      <c r="CK433" s="88">
        <v>24</v>
      </c>
      <c r="CL433" s="88">
        <v>0</v>
      </c>
      <c r="CM433" s="88">
        <v>0</v>
      </c>
      <c r="CN433" s="88">
        <v>0</v>
      </c>
      <c r="CO433" s="88">
        <v>0</v>
      </c>
      <c r="CP433" s="88">
        <v>0</v>
      </c>
      <c r="CQ433" s="88">
        <v>29</v>
      </c>
      <c r="CR433" s="88">
        <v>0</v>
      </c>
      <c r="CS433" s="88">
        <v>0</v>
      </c>
      <c r="CT433" s="88">
        <v>0</v>
      </c>
      <c r="CU433" s="88">
        <v>0</v>
      </c>
      <c r="CV433" s="88">
        <v>0</v>
      </c>
      <c r="CW433" s="88">
        <v>216</v>
      </c>
      <c r="CX433" s="88">
        <v>0</v>
      </c>
      <c r="CY433" s="88">
        <v>0</v>
      </c>
      <c r="CZ433" s="88">
        <v>0</v>
      </c>
      <c r="DA433" s="88">
        <v>0</v>
      </c>
      <c r="DB433" s="88">
        <v>0</v>
      </c>
      <c r="DC433" s="88">
        <v>0</v>
      </c>
      <c r="DD433" s="88">
        <v>0</v>
      </c>
      <c r="DE433" s="88">
        <v>0</v>
      </c>
      <c r="DF433" s="88">
        <v>0</v>
      </c>
      <c r="DG433" s="88">
        <v>0</v>
      </c>
      <c r="DH433" s="88">
        <v>0</v>
      </c>
      <c r="DI433" s="88">
        <v>2</v>
      </c>
      <c r="DJ433" s="88">
        <v>0</v>
      </c>
      <c r="DK433" s="88">
        <v>0</v>
      </c>
      <c r="DL433" s="88">
        <v>0</v>
      </c>
      <c r="DM433" s="88">
        <v>0</v>
      </c>
      <c r="DN433" s="88">
        <v>0</v>
      </c>
      <c r="DO433" s="88">
        <v>0</v>
      </c>
      <c r="DP433" s="88">
        <v>0</v>
      </c>
      <c r="DQ433" s="88">
        <v>0</v>
      </c>
      <c r="DR433" s="87">
        <v>1</v>
      </c>
      <c r="DS433" s="87">
        <v>0</v>
      </c>
      <c r="DT433" s="87">
        <v>0</v>
      </c>
      <c r="DU433" s="87">
        <v>167</v>
      </c>
      <c r="DV433" s="87">
        <v>0</v>
      </c>
      <c r="DW433" s="87">
        <v>0</v>
      </c>
      <c r="DX433" s="87">
        <v>0</v>
      </c>
      <c r="DY433" s="88">
        <v>0</v>
      </c>
      <c r="DZ433" s="88">
        <v>0</v>
      </c>
      <c r="EA433" s="88">
        <v>1030</v>
      </c>
      <c r="EB433" s="88">
        <v>0</v>
      </c>
      <c r="EC433" s="88">
        <v>0</v>
      </c>
      <c r="ED433" s="88">
        <v>0</v>
      </c>
      <c r="EE433" s="88">
        <v>0</v>
      </c>
      <c r="EF433" s="88">
        <v>0</v>
      </c>
      <c r="EG433" s="88">
        <v>652</v>
      </c>
      <c r="EH433" s="88">
        <v>0</v>
      </c>
      <c r="EI433" s="88">
        <v>0</v>
      </c>
      <c r="EJ433" s="88">
        <v>40</v>
      </c>
      <c r="EK433" s="88">
        <v>0</v>
      </c>
      <c r="EL433" s="88">
        <v>0</v>
      </c>
      <c r="EM433" s="88">
        <v>649</v>
      </c>
      <c r="EN433" s="88">
        <v>0</v>
      </c>
      <c r="EO433" s="88">
        <v>0</v>
      </c>
      <c r="EP433" s="88">
        <v>110</v>
      </c>
      <c r="EQ433" s="88">
        <v>0</v>
      </c>
      <c r="ER433" s="88">
        <v>0</v>
      </c>
      <c r="ES433" s="88">
        <v>2</v>
      </c>
      <c r="ET433" s="88">
        <v>0</v>
      </c>
      <c r="EU433" s="88">
        <v>0</v>
      </c>
      <c r="EV433" s="88">
        <v>2</v>
      </c>
      <c r="EW433" s="88">
        <v>0</v>
      </c>
      <c r="EX433" s="88">
        <v>0</v>
      </c>
      <c r="EY433" s="88">
        <v>6</v>
      </c>
      <c r="EZ433" s="88">
        <v>0</v>
      </c>
      <c r="FA433" s="88">
        <v>0</v>
      </c>
      <c r="FB433" s="88">
        <v>4</v>
      </c>
      <c r="FC433" s="88">
        <v>0</v>
      </c>
      <c r="FD433" s="88">
        <v>0</v>
      </c>
      <c r="FE433" s="88">
        <v>11</v>
      </c>
      <c r="FF433" s="88">
        <v>0</v>
      </c>
      <c r="FG433" s="88">
        <v>0</v>
      </c>
      <c r="FH433" s="88">
        <v>0</v>
      </c>
      <c r="FI433" s="88">
        <v>0</v>
      </c>
      <c r="FJ433" s="88">
        <v>0</v>
      </c>
      <c r="FK433" s="32">
        <v>24</v>
      </c>
      <c r="FL433" s="88">
        <v>0</v>
      </c>
      <c r="FM433" s="88">
        <v>0</v>
      </c>
      <c r="FN433" s="88">
        <v>2373</v>
      </c>
      <c r="FO433" s="88">
        <v>0</v>
      </c>
      <c r="FP433" s="88">
        <v>0</v>
      </c>
      <c r="FQ433" s="88">
        <v>463</v>
      </c>
      <c r="FR433" s="88">
        <v>0</v>
      </c>
      <c r="FS433" s="88">
        <v>0</v>
      </c>
      <c r="FT433" s="88">
        <v>0</v>
      </c>
      <c r="FU433" s="88">
        <v>0</v>
      </c>
      <c r="FV433" s="88">
        <v>0</v>
      </c>
      <c r="FW433" s="88">
        <v>67</v>
      </c>
      <c r="FX433" s="32">
        <v>0</v>
      </c>
      <c r="FY433" s="32">
        <v>0</v>
      </c>
      <c r="FZ433" s="32">
        <v>229</v>
      </c>
    </row>
    <row r="434" spans="1:184" s="22" customFormat="1" x14ac:dyDescent="0.2">
      <c r="A434" s="41">
        <v>44774</v>
      </c>
      <c r="B434" s="100">
        <f t="shared" si="35"/>
        <v>71445433.939999983</v>
      </c>
      <c r="C434" s="42">
        <v>25556.75</v>
      </c>
      <c r="D434" s="42">
        <v>417600.19000000006</v>
      </c>
      <c r="E434" s="43">
        <f t="shared" si="29"/>
        <v>443156.94000000006</v>
      </c>
      <c r="F434" s="42">
        <v>4265689.1499999994</v>
      </c>
      <c r="G434" s="42">
        <v>2427490.5899999994</v>
      </c>
      <c r="H434" s="32">
        <f t="shared" si="28"/>
        <v>6693179.7399999984</v>
      </c>
      <c r="I434" s="42"/>
      <c r="J434" s="42"/>
      <c r="K434" s="98">
        <v>18906500.149999999</v>
      </c>
      <c r="L434" s="42"/>
      <c r="M434" s="42"/>
      <c r="N434" s="98">
        <v>22572732.120000005</v>
      </c>
      <c r="O434" s="42"/>
      <c r="P434" s="42"/>
      <c r="Q434" s="98">
        <v>22039296.460000001</v>
      </c>
      <c r="R434" s="42"/>
      <c r="S434" s="42"/>
      <c r="T434" s="42">
        <v>154639.52000000002</v>
      </c>
      <c r="U434" s="42">
        <v>2981.0000000000005</v>
      </c>
      <c r="V434" s="42">
        <v>3605.7</v>
      </c>
      <c r="W434" s="42">
        <f t="shared" si="30"/>
        <v>6586.7000000000007</v>
      </c>
      <c r="X434" s="42">
        <v>35270.74</v>
      </c>
      <c r="Y434" s="42">
        <v>7324.7199999999993</v>
      </c>
      <c r="Z434" s="32">
        <f t="shared" si="31"/>
        <v>42595.46</v>
      </c>
      <c r="AA434" s="42">
        <v>46308.610000000008</v>
      </c>
      <c r="AB434" s="42">
        <v>132831</v>
      </c>
      <c r="AC434" s="32">
        <f t="shared" si="32"/>
        <v>179139.61000000002</v>
      </c>
      <c r="AD434" s="42">
        <v>1417.62</v>
      </c>
      <c r="AE434" s="42">
        <v>8235.26</v>
      </c>
      <c r="AF434" s="32">
        <f t="shared" si="33"/>
        <v>9652.880000000001</v>
      </c>
      <c r="AG434" s="32">
        <v>6515.96</v>
      </c>
      <c r="AH434" s="32">
        <v>95860.45</v>
      </c>
      <c r="AI434" s="32">
        <f t="shared" si="34"/>
        <v>102376.41</v>
      </c>
      <c r="AJ434" s="42"/>
      <c r="AK434" s="42"/>
      <c r="AL434" s="42">
        <v>27345.599999999999</v>
      </c>
      <c r="AM434" s="42"/>
      <c r="AN434" s="42">
        <v>6539.45</v>
      </c>
      <c r="AO434" s="42">
        <f t="shared" si="36"/>
        <v>6539.45</v>
      </c>
      <c r="AP434" s="42"/>
      <c r="AQ434" s="42"/>
      <c r="AR434" s="42">
        <v>261692.9</v>
      </c>
      <c r="AS434" s="42"/>
      <c r="AT434" s="42"/>
      <c r="AU434" s="42">
        <v>1500647.3299999998</v>
      </c>
      <c r="AV434" s="42"/>
      <c r="AW434" s="42"/>
      <c r="AX434" s="42">
        <v>40155.790000000008</v>
      </c>
      <c r="AY434" s="42">
        <v>6247450.7999999998</v>
      </c>
      <c r="AZ434" s="42">
        <v>1085920</v>
      </c>
      <c r="BA434" s="43">
        <f t="shared" si="27"/>
        <v>7333370.7999999998</v>
      </c>
      <c r="BB434" s="42"/>
      <c r="BC434" s="42"/>
      <c r="BD434" s="42">
        <v>1665150.6888888888</v>
      </c>
      <c r="BE434" s="88">
        <v>0</v>
      </c>
      <c r="BF434" s="88">
        <v>0</v>
      </c>
      <c r="BG434" s="88">
        <v>83</v>
      </c>
      <c r="BH434" s="88">
        <v>0</v>
      </c>
      <c r="BI434" s="88">
        <v>0</v>
      </c>
      <c r="BJ434" s="88">
        <v>14</v>
      </c>
      <c r="BK434" s="88">
        <v>0</v>
      </c>
      <c r="BL434" s="88">
        <v>0</v>
      </c>
      <c r="BM434" s="88">
        <v>132</v>
      </c>
      <c r="BN434" s="88">
        <v>0</v>
      </c>
      <c r="BO434" s="88">
        <v>0</v>
      </c>
      <c r="BP434" s="88">
        <v>0</v>
      </c>
      <c r="BQ434" s="88">
        <v>0</v>
      </c>
      <c r="BR434" s="88">
        <v>0</v>
      </c>
      <c r="BS434" s="88">
        <v>290</v>
      </c>
      <c r="BT434" s="88">
        <v>0</v>
      </c>
      <c r="BU434" s="88">
        <v>0</v>
      </c>
      <c r="BV434" s="88">
        <v>0</v>
      </c>
      <c r="BW434" s="88"/>
      <c r="BX434" s="88"/>
      <c r="BY434" s="88"/>
      <c r="BZ434" s="88">
        <v>0</v>
      </c>
      <c r="CA434" s="88">
        <v>0</v>
      </c>
      <c r="CB434" s="88">
        <v>332</v>
      </c>
      <c r="CC434" s="88"/>
      <c r="CD434" s="88"/>
      <c r="CE434" s="88"/>
      <c r="CF434" s="88">
        <v>0</v>
      </c>
      <c r="CG434" s="88">
        <v>0</v>
      </c>
      <c r="CH434" s="88">
        <v>5</v>
      </c>
      <c r="CI434" s="88">
        <v>0</v>
      </c>
      <c r="CJ434" s="88">
        <v>0</v>
      </c>
      <c r="CK434" s="88">
        <v>22</v>
      </c>
      <c r="CL434" s="88">
        <v>0</v>
      </c>
      <c r="CM434" s="88">
        <v>0</v>
      </c>
      <c r="CN434" s="88">
        <v>0</v>
      </c>
      <c r="CO434" s="88">
        <v>0</v>
      </c>
      <c r="CP434" s="88">
        <v>0</v>
      </c>
      <c r="CQ434" s="88">
        <v>19</v>
      </c>
      <c r="CR434" s="88">
        <v>0</v>
      </c>
      <c r="CS434" s="88">
        <v>0</v>
      </c>
      <c r="CT434" s="88">
        <v>0</v>
      </c>
      <c r="CU434" s="88">
        <v>0</v>
      </c>
      <c r="CV434" s="88">
        <v>0</v>
      </c>
      <c r="CW434" s="88">
        <v>339</v>
      </c>
      <c r="CX434" s="88">
        <v>0</v>
      </c>
      <c r="CY434" s="88">
        <v>0</v>
      </c>
      <c r="CZ434" s="88">
        <v>0</v>
      </c>
      <c r="DA434" s="88">
        <v>0</v>
      </c>
      <c r="DB434" s="88">
        <v>0</v>
      </c>
      <c r="DC434" s="88">
        <v>1</v>
      </c>
      <c r="DD434" s="88">
        <v>0</v>
      </c>
      <c r="DE434" s="88">
        <v>0</v>
      </c>
      <c r="DF434" s="88">
        <v>0</v>
      </c>
      <c r="DG434" s="88">
        <v>0</v>
      </c>
      <c r="DH434" s="88">
        <v>0</v>
      </c>
      <c r="DI434" s="88">
        <v>3</v>
      </c>
      <c r="DJ434" s="88">
        <v>0</v>
      </c>
      <c r="DK434" s="88">
        <v>0</v>
      </c>
      <c r="DL434" s="88">
        <v>0</v>
      </c>
      <c r="DM434" s="88">
        <v>0</v>
      </c>
      <c r="DN434" s="88">
        <v>0</v>
      </c>
      <c r="DO434" s="88">
        <v>0</v>
      </c>
      <c r="DP434" s="88">
        <v>0</v>
      </c>
      <c r="DQ434" s="88">
        <v>0</v>
      </c>
      <c r="DR434" s="88">
        <v>0</v>
      </c>
      <c r="DS434" s="87">
        <v>0</v>
      </c>
      <c r="DT434" s="87">
        <v>0</v>
      </c>
      <c r="DU434" s="87">
        <v>190</v>
      </c>
      <c r="DV434" s="87">
        <v>0</v>
      </c>
      <c r="DW434" s="87">
        <v>0</v>
      </c>
      <c r="DX434" s="87">
        <v>0</v>
      </c>
      <c r="DY434" s="88">
        <v>0</v>
      </c>
      <c r="DZ434" s="88">
        <v>0</v>
      </c>
      <c r="EA434" s="88">
        <v>1314</v>
      </c>
      <c r="EB434" s="88">
        <v>0</v>
      </c>
      <c r="EC434" s="88">
        <v>0</v>
      </c>
      <c r="ED434" s="88">
        <v>0</v>
      </c>
      <c r="EE434" s="88">
        <v>0</v>
      </c>
      <c r="EF434" s="88">
        <v>0</v>
      </c>
      <c r="EG434" s="88">
        <v>759</v>
      </c>
      <c r="EH434" s="88">
        <v>0</v>
      </c>
      <c r="EI434" s="88">
        <v>0</v>
      </c>
      <c r="EJ434" s="88">
        <v>57</v>
      </c>
      <c r="EK434" s="88">
        <v>0</v>
      </c>
      <c r="EL434" s="88">
        <v>0</v>
      </c>
      <c r="EM434" s="88">
        <v>545</v>
      </c>
      <c r="EN434" s="88">
        <v>0</v>
      </c>
      <c r="EO434" s="88">
        <v>0</v>
      </c>
      <c r="EP434" s="88">
        <v>186</v>
      </c>
      <c r="EQ434" s="88">
        <v>0</v>
      </c>
      <c r="ER434" s="88">
        <v>0</v>
      </c>
      <c r="ES434" s="88">
        <v>9</v>
      </c>
      <c r="ET434" s="88">
        <v>0</v>
      </c>
      <c r="EU434" s="88">
        <v>0</v>
      </c>
      <c r="EV434" s="88">
        <v>11</v>
      </c>
      <c r="EW434" s="88">
        <v>0</v>
      </c>
      <c r="EX434" s="88">
        <v>0</v>
      </c>
      <c r="EY434" s="88">
        <v>4</v>
      </c>
      <c r="EZ434" s="88">
        <v>0</v>
      </c>
      <c r="FA434" s="88">
        <v>0</v>
      </c>
      <c r="FB434" s="88">
        <v>0</v>
      </c>
      <c r="FC434" s="88">
        <v>0</v>
      </c>
      <c r="FD434" s="88">
        <v>0</v>
      </c>
      <c r="FE434" s="88">
        <v>4</v>
      </c>
      <c r="FF434" s="88">
        <v>0</v>
      </c>
      <c r="FG434" s="88">
        <v>0</v>
      </c>
      <c r="FH434" s="88">
        <v>0</v>
      </c>
      <c r="FI434" s="88">
        <v>0</v>
      </c>
      <c r="FJ434" s="88">
        <v>0</v>
      </c>
      <c r="FK434" s="32">
        <v>45</v>
      </c>
      <c r="FL434" s="88">
        <v>0</v>
      </c>
      <c r="FM434" s="88">
        <v>0</v>
      </c>
      <c r="FN434" s="88">
        <v>3157</v>
      </c>
      <c r="FO434" s="88">
        <v>0</v>
      </c>
      <c r="FP434" s="88">
        <v>0</v>
      </c>
      <c r="FQ434" s="88">
        <v>546</v>
      </c>
      <c r="FR434" s="88">
        <v>0</v>
      </c>
      <c r="FS434" s="88">
        <v>0</v>
      </c>
      <c r="FT434" s="88">
        <v>0</v>
      </c>
      <c r="FU434" s="88">
        <v>0</v>
      </c>
      <c r="FV434" s="88">
        <v>0</v>
      </c>
      <c r="FW434" s="88">
        <v>349</v>
      </c>
      <c r="FX434" s="32">
        <v>0</v>
      </c>
      <c r="FY434" s="32">
        <v>0</v>
      </c>
      <c r="FZ434" s="32">
        <v>163</v>
      </c>
    </row>
    <row r="435" spans="1:184" s="22" customFormat="1" x14ac:dyDescent="0.2">
      <c r="A435" s="41">
        <v>44805</v>
      </c>
      <c r="B435" s="100">
        <f t="shared" si="35"/>
        <v>83400015.75</v>
      </c>
      <c r="C435" s="42">
        <v>28997.41</v>
      </c>
      <c r="D435" s="42">
        <v>320844.14</v>
      </c>
      <c r="E435" s="43">
        <f t="shared" si="29"/>
        <v>349841.55</v>
      </c>
      <c r="F435" s="42">
        <v>5330381.7699999986</v>
      </c>
      <c r="G435" s="42">
        <v>2284965.5000000009</v>
      </c>
      <c r="H435" s="32">
        <f t="shared" si="28"/>
        <v>7615347.2699999996</v>
      </c>
      <c r="I435" s="42"/>
      <c r="J435" s="42"/>
      <c r="K435" s="98">
        <v>23173069.02</v>
      </c>
      <c r="L435" s="42"/>
      <c r="M435" s="42"/>
      <c r="N435" s="98">
        <v>23621699.25</v>
      </c>
      <c r="O435" s="42"/>
      <c r="P435" s="42"/>
      <c r="Q435" s="98">
        <v>27868376.509999998</v>
      </c>
      <c r="R435" s="42"/>
      <c r="S435" s="42"/>
      <c r="T435" s="42">
        <v>175045.22999999998</v>
      </c>
      <c r="U435" s="42">
        <v>4652.63</v>
      </c>
      <c r="V435" s="42">
        <v>4657.33</v>
      </c>
      <c r="W435" s="42">
        <f t="shared" si="30"/>
        <v>9309.9599999999991</v>
      </c>
      <c r="X435" s="42">
        <v>35952.47</v>
      </c>
      <c r="Y435" s="42">
        <v>7763.95</v>
      </c>
      <c r="Z435" s="32">
        <f t="shared" si="31"/>
        <v>43716.42</v>
      </c>
      <c r="AA435" s="42">
        <v>35420.369999999995</v>
      </c>
      <c r="AB435" s="42">
        <v>81282.22</v>
      </c>
      <c r="AC435" s="32">
        <f t="shared" si="32"/>
        <v>116702.59</v>
      </c>
      <c r="AD435" s="42">
        <v>3162.77</v>
      </c>
      <c r="AE435" s="42">
        <v>10211.15</v>
      </c>
      <c r="AF435" s="32">
        <f t="shared" si="33"/>
        <v>13373.92</v>
      </c>
      <c r="AG435" s="32">
        <v>10229.42</v>
      </c>
      <c r="AH435" s="32">
        <v>79445.240000000005</v>
      </c>
      <c r="AI435" s="32">
        <f t="shared" si="34"/>
        <v>89674.66</v>
      </c>
      <c r="AJ435" s="42"/>
      <c r="AK435" s="42"/>
      <c r="AL435" s="42">
        <v>38065.949999999997</v>
      </c>
      <c r="AM435" s="42"/>
      <c r="AN435" s="42">
        <v>5595.5</v>
      </c>
      <c r="AO435" s="42">
        <f t="shared" si="36"/>
        <v>5595.5</v>
      </c>
      <c r="AP435" s="42"/>
      <c r="AQ435" s="42"/>
      <c r="AR435" s="42">
        <v>280197.92000000004</v>
      </c>
      <c r="AS435" s="42"/>
      <c r="AT435" s="42"/>
      <c r="AU435" s="42">
        <v>1523225.6800000002</v>
      </c>
      <c r="AV435" s="42"/>
      <c r="AW435" s="42"/>
      <c r="AX435" s="42">
        <v>49104.91</v>
      </c>
      <c r="AY435" s="42">
        <v>5890520.2999999998</v>
      </c>
      <c r="AZ435" s="42">
        <v>1005940</v>
      </c>
      <c r="BA435" s="43">
        <f t="shared" si="27"/>
        <v>6896460.2999999998</v>
      </c>
      <c r="BB435" s="42"/>
      <c r="BC435" s="42"/>
      <c r="BD435" s="42">
        <v>1588356.2</v>
      </c>
      <c r="BE435" s="88">
        <v>0</v>
      </c>
      <c r="BF435" s="88">
        <v>0</v>
      </c>
      <c r="BG435" s="88">
        <v>108</v>
      </c>
      <c r="BH435" s="88">
        <v>0</v>
      </c>
      <c r="BI435" s="88">
        <v>0</v>
      </c>
      <c r="BJ435" s="88">
        <v>2</v>
      </c>
      <c r="BK435" s="88">
        <v>0</v>
      </c>
      <c r="BL435" s="88">
        <v>0</v>
      </c>
      <c r="BM435" s="88">
        <v>281</v>
      </c>
      <c r="BN435" s="88">
        <v>0</v>
      </c>
      <c r="BO435" s="88">
        <v>0</v>
      </c>
      <c r="BP435" s="88">
        <v>0</v>
      </c>
      <c r="BQ435" s="88">
        <v>0</v>
      </c>
      <c r="BR435" s="88">
        <v>0</v>
      </c>
      <c r="BS435" s="88">
        <v>243</v>
      </c>
      <c r="BT435" s="88">
        <v>0</v>
      </c>
      <c r="BU435" s="88">
        <v>0</v>
      </c>
      <c r="BV435" s="88">
        <v>0</v>
      </c>
      <c r="BW435" s="88"/>
      <c r="BX435" s="88"/>
      <c r="BY435" s="88"/>
      <c r="BZ435" s="88">
        <v>0</v>
      </c>
      <c r="CA435" s="88">
        <v>0</v>
      </c>
      <c r="CB435" s="88">
        <v>486</v>
      </c>
      <c r="CC435" s="88"/>
      <c r="CD435" s="88"/>
      <c r="CE435" s="88"/>
      <c r="CF435" s="88">
        <v>0</v>
      </c>
      <c r="CG435" s="88">
        <v>0</v>
      </c>
      <c r="CH435" s="88">
        <v>3</v>
      </c>
      <c r="CI435" s="88">
        <v>0</v>
      </c>
      <c r="CJ435" s="88">
        <v>0</v>
      </c>
      <c r="CK435" s="88">
        <v>20</v>
      </c>
      <c r="CL435" s="88">
        <v>0</v>
      </c>
      <c r="CM435" s="88">
        <v>0</v>
      </c>
      <c r="CN435" s="88">
        <v>3</v>
      </c>
      <c r="CO435" s="88">
        <v>0</v>
      </c>
      <c r="CP435" s="88">
        <v>0</v>
      </c>
      <c r="CQ435" s="88">
        <v>17</v>
      </c>
      <c r="CR435" s="88">
        <v>0</v>
      </c>
      <c r="CS435" s="88">
        <v>0</v>
      </c>
      <c r="CT435" s="88">
        <v>0</v>
      </c>
      <c r="CU435" s="88">
        <v>0</v>
      </c>
      <c r="CV435" s="88">
        <v>0</v>
      </c>
      <c r="CW435" s="88">
        <v>117</v>
      </c>
      <c r="CX435" s="88">
        <v>0</v>
      </c>
      <c r="CY435" s="88">
        <v>0</v>
      </c>
      <c r="CZ435" s="88">
        <v>0</v>
      </c>
      <c r="DA435" s="88">
        <v>0</v>
      </c>
      <c r="DB435" s="88">
        <v>0</v>
      </c>
      <c r="DC435" s="88">
        <v>0</v>
      </c>
      <c r="DD435" s="88">
        <v>0</v>
      </c>
      <c r="DE435" s="88">
        <v>0</v>
      </c>
      <c r="DF435" s="88">
        <v>0</v>
      </c>
      <c r="DG435" s="88">
        <v>0</v>
      </c>
      <c r="DH435" s="88">
        <v>0</v>
      </c>
      <c r="DI435" s="88">
        <v>2</v>
      </c>
      <c r="DJ435" s="88">
        <v>0</v>
      </c>
      <c r="DK435" s="88">
        <v>0</v>
      </c>
      <c r="DL435" s="88">
        <v>0</v>
      </c>
      <c r="DM435" s="88">
        <v>0</v>
      </c>
      <c r="DN435" s="88">
        <v>0</v>
      </c>
      <c r="DO435" s="88">
        <v>0</v>
      </c>
      <c r="DP435" s="88">
        <v>0</v>
      </c>
      <c r="DQ435" s="88">
        <v>0</v>
      </c>
      <c r="DR435" s="87">
        <v>50</v>
      </c>
      <c r="DS435" s="87">
        <v>0</v>
      </c>
      <c r="DT435" s="87">
        <v>0</v>
      </c>
      <c r="DU435" s="87">
        <v>97</v>
      </c>
      <c r="DV435" s="87">
        <v>0</v>
      </c>
      <c r="DW435" s="87">
        <v>0</v>
      </c>
      <c r="DX435" s="87">
        <v>0</v>
      </c>
      <c r="DY435" s="88">
        <v>0</v>
      </c>
      <c r="DZ435" s="88">
        <v>0</v>
      </c>
      <c r="EA435" s="88">
        <v>1246</v>
      </c>
      <c r="EB435" s="88">
        <v>0</v>
      </c>
      <c r="EC435" s="88">
        <v>0</v>
      </c>
      <c r="ED435" s="88">
        <v>0</v>
      </c>
      <c r="EE435" s="88">
        <v>0</v>
      </c>
      <c r="EF435" s="88">
        <v>0</v>
      </c>
      <c r="EG435" s="88">
        <v>764</v>
      </c>
      <c r="EH435" s="88">
        <v>0</v>
      </c>
      <c r="EI435" s="88">
        <v>0</v>
      </c>
      <c r="EJ435" s="88">
        <v>163</v>
      </c>
      <c r="EK435" s="88">
        <v>0</v>
      </c>
      <c r="EL435" s="88">
        <v>0</v>
      </c>
      <c r="EM435" s="88">
        <v>604</v>
      </c>
      <c r="EN435" s="88">
        <v>0</v>
      </c>
      <c r="EO435" s="88">
        <v>0</v>
      </c>
      <c r="EP435" s="88">
        <v>185</v>
      </c>
      <c r="EQ435" s="88">
        <v>0</v>
      </c>
      <c r="ER435" s="88">
        <v>0</v>
      </c>
      <c r="ES435" s="88">
        <v>11</v>
      </c>
      <c r="ET435" s="88">
        <v>0</v>
      </c>
      <c r="EU435" s="88">
        <v>0</v>
      </c>
      <c r="EV435" s="88">
        <v>9</v>
      </c>
      <c r="EW435" s="88">
        <v>0</v>
      </c>
      <c r="EX435" s="88">
        <v>0</v>
      </c>
      <c r="EY435" s="88">
        <v>9</v>
      </c>
      <c r="EZ435" s="88">
        <v>0</v>
      </c>
      <c r="FA435" s="88">
        <v>0</v>
      </c>
      <c r="FB435" s="88">
        <v>2</v>
      </c>
      <c r="FC435" s="88">
        <v>0</v>
      </c>
      <c r="FD435" s="88">
        <v>0</v>
      </c>
      <c r="FE435" s="88">
        <v>3</v>
      </c>
      <c r="FF435" s="88">
        <v>0</v>
      </c>
      <c r="FG435" s="88">
        <v>0</v>
      </c>
      <c r="FH435" s="88">
        <v>0</v>
      </c>
      <c r="FI435" s="88">
        <v>0</v>
      </c>
      <c r="FJ435" s="88">
        <v>0</v>
      </c>
      <c r="FK435" s="32">
        <v>29</v>
      </c>
      <c r="FL435" s="88">
        <v>0</v>
      </c>
      <c r="FM435" s="88">
        <v>0</v>
      </c>
      <c r="FN435" s="88">
        <v>2884</v>
      </c>
      <c r="FO435" s="88">
        <v>0</v>
      </c>
      <c r="FP435" s="88">
        <v>0</v>
      </c>
      <c r="FQ435" s="88">
        <v>843</v>
      </c>
      <c r="FR435" s="88">
        <v>0</v>
      </c>
      <c r="FS435" s="88">
        <v>0</v>
      </c>
      <c r="FT435" s="88">
        <v>0</v>
      </c>
      <c r="FU435" s="88">
        <v>0</v>
      </c>
      <c r="FV435" s="88">
        <v>0</v>
      </c>
      <c r="FW435" s="88">
        <v>275</v>
      </c>
      <c r="FX435" s="32">
        <v>0</v>
      </c>
      <c r="FY435" s="32">
        <v>0</v>
      </c>
      <c r="FZ435" s="32">
        <v>42</v>
      </c>
    </row>
    <row r="436" spans="1:184" s="22" customFormat="1" x14ac:dyDescent="0.2">
      <c r="A436" s="41">
        <v>44835</v>
      </c>
      <c r="B436" s="100">
        <f t="shared" si="35"/>
        <v>82595413.800000027</v>
      </c>
      <c r="C436" s="42">
        <v>38645.35</v>
      </c>
      <c r="D436" s="42">
        <v>300198.69000000006</v>
      </c>
      <c r="E436" s="43">
        <f t="shared" si="29"/>
        <v>338844.04000000004</v>
      </c>
      <c r="F436" s="42">
        <v>6590178.0500000007</v>
      </c>
      <c r="G436" s="42">
        <v>3013682.81</v>
      </c>
      <c r="H436" s="32">
        <f t="shared" si="28"/>
        <v>9603860.8600000013</v>
      </c>
      <c r="I436" s="42"/>
      <c r="J436" s="42"/>
      <c r="K436" s="98">
        <v>18085082.210000001</v>
      </c>
      <c r="L436" s="42"/>
      <c r="M436" s="42"/>
      <c r="N436" s="98">
        <v>25377574.239999998</v>
      </c>
      <c r="O436" s="42"/>
      <c r="P436" s="42"/>
      <c r="Q436" s="98">
        <v>28295215.84</v>
      </c>
      <c r="R436" s="42"/>
      <c r="S436" s="42"/>
      <c r="T436" s="42">
        <v>179207.58999999997</v>
      </c>
      <c r="U436" s="42">
        <v>4322.7</v>
      </c>
      <c r="V436" s="42">
        <v>9650.99</v>
      </c>
      <c r="W436" s="42">
        <f t="shared" si="30"/>
        <v>13973.689999999999</v>
      </c>
      <c r="X436" s="42">
        <v>58865.57</v>
      </c>
      <c r="Y436" s="42">
        <v>9726.6299999999992</v>
      </c>
      <c r="Z436" s="32">
        <f t="shared" si="31"/>
        <v>68592.2</v>
      </c>
      <c r="AA436" s="42">
        <v>27536.75</v>
      </c>
      <c r="AB436" s="42">
        <v>109588.67999999998</v>
      </c>
      <c r="AC436" s="32">
        <f t="shared" si="32"/>
        <v>137125.43</v>
      </c>
      <c r="AD436" s="42">
        <v>3846.78</v>
      </c>
      <c r="AE436" s="42">
        <v>19453.62</v>
      </c>
      <c r="AF436" s="32">
        <f t="shared" si="33"/>
        <v>23300.399999999998</v>
      </c>
      <c r="AG436" s="32">
        <v>7368.94</v>
      </c>
      <c r="AH436" s="32">
        <v>91008.069999999978</v>
      </c>
      <c r="AI436" s="32">
        <f t="shared" si="34"/>
        <v>98377.00999999998</v>
      </c>
      <c r="AJ436" s="42"/>
      <c r="AK436" s="42"/>
      <c r="AL436" s="42">
        <v>31126.95</v>
      </c>
      <c r="AM436" s="42"/>
      <c r="AN436" s="42">
        <v>13409.83</v>
      </c>
      <c r="AO436" s="42">
        <f t="shared" si="36"/>
        <v>13409.83</v>
      </c>
      <c r="AP436" s="42"/>
      <c r="AQ436" s="42"/>
      <c r="AR436" s="42">
        <v>329723.51</v>
      </c>
      <c r="AS436" s="42"/>
      <c r="AT436" s="42"/>
      <c r="AU436" s="42">
        <v>1407029.1900000002</v>
      </c>
      <c r="AV436" s="42"/>
      <c r="AW436" s="42"/>
      <c r="AX436" s="42">
        <v>55042.360000000008</v>
      </c>
      <c r="AY436" s="42">
        <v>6103764.7999999998</v>
      </c>
      <c r="AZ436" s="42">
        <v>1713310</v>
      </c>
      <c r="BA436" s="43">
        <f t="shared" si="27"/>
        <v>7817074.7999999998</v>
      </c>
      <c r="BB436" s="42"/>
      <c r="BC436" s="42"/>
      <c r="BD436" s="42">
        <v>1580100.3333333333</v>
      </c>
      <c r="BE436" s="88">
        <v>0</v>
      </c>
      <c r="BF436" s="88">
        <v>0</v>
      </c>
      <c r="BG436" s="88">
        <v>96</v>
      </c>
      <c r="BH436" s="88">
        <v>0</v>
      </c>
      <c r="BI436" s="88">
        <v>0</v>
      </c>
      <c r="BJ436" s="88">
        <v>2</v>
      </c>
      <c r="BK436" s="88">
        <v>0</v>
      </c>
      <c r="BL436" s="88">
        <v>0</v>
      </c>
      <c r="BM436" s="88">
        <v>222</v>
      </c>
      <c r="BN436" s="88">
        <v>0</v>
      </c>
      <c r="BO436" s="88">
        <v>0</v>
      </c>
      <c r="BP436" s="88">
        <v>0</v>
      </c>
      <c r="BQ436" s="88">
        <v>0</v>
      </c>
      <c r="BR436" s="88">
        <v>0</v>
      </c>
      <c r="BS436" s="88">
        <v>299</v>
      </c>
      <c r="BT436" s="88">
        <v>0</v>
      </c>
      <c r="BU436" s="88">
        <v>0</v>
      </c>
      <c r="BV436" s="88">
        <v>0</v>
      </c>
      <c r="BW436" s="88"/>
      <c r="BX436" s="88"/>
      <c r="BY436" s="88"/>
      <c r="BZ436" s="88">
        <v>0</v>
      </c>
      <c r="CA436" s="88">
        <v>0</v>
      </c>
      <c r="CB436" s="88">
        <v>432</v>
      </c>
      <c r="CC436" s="88"/>
      <c r="CD436" s="88"/>
      <c r="CE436" s="88"/>
      <c r="CF436" s="88">
        <v>0</v>
      </c>
      <c r="CG436" s="88">
        <v>0</v>
      </c>
      <c r="CH436" s="88">
        <v>2</v>
      </c>
      <c r="CI436" s="88">
        <v>0</v>
      </c>
      <c r="CJ436" s="88">
        <v>0</v>
      </c>
      <c r="CK436" s="88">
        <v>19</v>
      </c>
      <c r="CL436" s="88">
        <v>0</v>
      </c>
      <c r="CM436" s="88">
        <v>0</v>
      </c>
      <c r="CN436" s="88">
        <v>0</v>
      </c>
      <c r="CO436" s="88">
        <v>0</v>
      </c>
      <c r="CP436" s="88">
        <v>0</v>
      </c>
      <c r="CQ436" s="88">
        <v>7</v>
      </c>
      <c r="CR436" s="88">
        <v>0</v>
      </c>
      <c r="CS436" s="88">
        <v>0</v>
      </c>
      <c r="CT436" s="88">
        <v>0</v>
      </c>
      <c r="CU436" s="88">
        <v>0</v>
      </c>
      <c r="CV436" s="88">
        <v>0</v>
      </c>
      <c r="CW436" s="88">
        <v>154</v>
      </c>
      <c r="CX436" s="88">
        <v>0</v>
      </c>
      <c r="CY436" s="88">
        <v>0</v>
      </c>
      <c r="CZ436" s="88">
        <v>0</v>
      </c>
      <c r="DA436" s="88">
        <v>0</v>
      </c>
      <c r="DB436" s="88">
        <v>0</v>
      </c>
      <c r="DC436" s="88">
        <v>0</v>
      </c>
      <c r="DD436" s="88">
        <v>0</v>
      </c>
      <c r="DE436" s="88">
        <v>0</v>
      </c>
      <c r="DF436" s="88">
        <v>0</v>
      </c>
      <c r="DG436" s="88">
        <v>0</v>
      </c>
      <c r="DH436" s="88">
        <v>0</v>
      </c>
      <c r="DI436" s="88">
        <v>8</v>
      </c>
      <c r="DJ436" s="88">
        <v>0</v>
      </c>
      <c r="DK436" s="88">
        <v>0</v>
      </c>
      <c r="DL436" s="88">
        <v>0</v>
      </c>
      <c r="DM436" s="88">
        <v>0</v>
      </c>
      <c r="DN436" s="88">
        <v>0</v>
      </c>
      <c r="DO436" s="88">
        <v>0</v>
      </c>
      <c r="DP436" s="88">
        <v>0</v>
      </c>
      <c r="DQ436" s="88">
        <v>0</v>
      </c>
      <c r="DR436" s="87">
        <v>13</v>
      </c>
      <c r="DS436" s="87">
        <v>0</v>
      </c>
      <c r="DT436" s="87">
        <v>0</v>
      </c>
      <c r="DU436" s="87">
        <v>228</v>
      </c>
      <c r="DV436" s="87">
        <v>0</v>
      </c>
      <c r="DW436" s="87">
        <v>0</v>
      </c>
      <c r="DX436" s="87">
        <v>0</v>
      </c>
      <c r="DY436" s="88">
        <v>0</v>
      </c>
      <c r="DZ436" s="88">
        <v>0</v>
      </c>
      <c r="EA436" s="88">
        <v>1306</v>
      </c>
      <c r="EB436" s="88">
        <v>0</v>
      </c>
      <c r="EC436" s="88">
        <v>0</v>
      </c>
      <c r="ED436" s="88">
        <v>0</v>
      </c>
      <c r="EE436" s="88">
        <v>0</v>
      </c>
      <c r="EF436" s="88">
        <v>0</v>
      </c>
      <c r="EG436" s="88">
        <v>943</v>
      </c>
      <c r="EH436" s="88">
        <v>0</v>
      </c>
      <c r="EI436" s="88">
        <v>0</v>
      </c>
      <c r="EJ436" s="88">
        <v>113</v>
      </c>
      <c r="EK436" s="88">
        <v>0</v>
      </c>
      <c r="EL436" s="88">
        <v>0</v>
      </c>
      <c r="EM436" s="88">
        <v>600</v>
      </c>
      <c r="EN436" s="88">
        <v>0</v>
      </c>
      <c r="EO436" s="88">
        <v>0</v>
      </c>
      <c r="EP436" s="88">
        <v>112</v>
      </c>
      <c r="EQ436" s="88">
        <v>0</v>
      </c>
      <c r="ER436" s="88">
        <v>0</v>
      </c>
      <c r="ES436" s="88">
        <v>9</v>
      </c>
      <c r="ET436" s="88">
        <v>0</v>
      </c>
      <c r="EU436" s="88">
        <v>0</v>
      </c>
      <c r="EV436" s="88">
        <v>6</v>
      </c>
      <c r="EW436" s="88">
        <v>0</v>
      </c>
      <c r="EX436" s="88">
        <v>0</v>
      </c>
      <c r="EY436" s="88">
        <v>3</v>
      </c>
      <c r="EZ436" s="88">
        <v>0</v>
      </c>
      <c r="FA436" s="88">
        <v>0</v>
      </c>
      <c r="FB436" s="88">
        <v>0</v>
      </c>
      <c r="FC436" s="88">
        <v>0</v>
      </c>
      <c r="FD436" s="88">
        <v>0</v>
      </c>
      <c r="FE436" s="88">
        <v>8</v>
      </c>
      <c r="FF436" s="88">
        <v>0</v>
      </c>
      <c r="FG436" s="88">
        <v>0</v>
      </c>
      <c r="FH436" s="88">
        <v>0</v>
      </c>
      <c r="FI436" s="88">
        <v>0</v>
      </c>
      <c r="FJ436" s="88">
        <v>0</v>
      </c>
      <c r="FK436" s="32">
        <v>42</v>
      </c>
      <c r="FL436" s="88">
        <v>0</v>
      </c>
      <c r="FM436" s="88">
        <v>0</v>
      </c>
      <c r="FN436" s="88">
        <v>3950</v>
      </c>
      <c r="FO436" s="88">
        <v>0</v>
      </c>
      <c r="FP436" s="88">
        <v>0</v>
      </c>
      <c r="FQ436" s="88">
        <v>455</v>
      </c>
      <c r="FR436" s="88">
        <v>0</v>
      </c>
      <c r="FS436" s="88">
        <v>0</v>
      </c>
      <c r="FT436" s="88">
        <v>2</v>
      </c>
      <c r="FU436" s="88">
        <v>0</v>
      </c>
      <c r="FV436" s="88">
        <v>0</v>
      </c>
      <c r="FW436" s="88">
        <v>208</v>
      </c>
      <c r="FX436" s="32">
        <v>0</v>
      </c>
      <c r="FY436" s="32">
        <v>0</v>
      </c>
      <c r="FZ436" s="32">
        <v>69</v>
      </c>
    </row>
    <row r="437" spans="1:184" s="22" customFormat="1" x14ac:dyDescent="0.2">
      <c r="A437" s="41">
        <v>44866</v>
      </c>
      <c r="B437" s="100">
        <f t="shared" si="35"/>
        <v>96697929.920000002</v>
      </c>
      <c r="C437" s="42">
        <v>29484.66</v>
      </c>
      <c r="D437" s="42">
        <v>396345.88</v>
      </c>
      <c r="E437" s="43">
        <f t="shared" si="29"/>
        <v>425830.54</v>
      </c>
      <c r="F437" s="42">
        <v>8352627.4699999997</v>
      </c>
      <c r="G437" s="42">
        <v>5508915.7999999989</v>
      </c>
      <c r="H437" s="32">
        <f t="shared" si="28"/>
        <v>13861543.27</v>
      </c>
      <c r="I437" s="42"/>
      <c r="J437" s="42"/>
      <c r="K437" s="98">
        <v>19797840.439999998</v>
      </c>
      <c r="L437" s="42"/>
      <c r="M437" s="42"/>
      <c r="N437" s="98">
        <v>29501776.090000004</v>
      </c>
      <c r="O437" s="42"/>
      <c r="P437" s="42"/>
      <c r="Q437" s="98">
        <v>31898464.180000003</v>
      </c>
      <c r="R437" s="42"/>
      <c r="S437" s="42"/>
      <c r="T437" s="42">
        <v>187147.41</v>
      </c>
      <c r="U437" s="42">
        <v>12581.519999999999</v>
      </c>
      <c r="V437" s="42">
        <v>17380.57</v>
      </c>
      <c r="W437" s="42">
        <f t="shared" si="30"/>
        <v>29962.089999999997</v>
      </c>
      <c r="X437" s="42">
        <v>83881.179999999993</v>
      </c>
      <c r="Y437" s="42">
        <v>9161.34</v>
      </c>
      <c r="Z437" s="32">
        <f t="shared" si="31"/>
        <v>93042.51999999999</v>
      </c>
      <c r="AA437" s="42">
        <v>27866.350000000002</v>
      </c>
      <c r="AB437" s="42">
        <v>118431.67999999999</v>
      </c>
      <c r="AC437" s="32">
        <f t="shared" si="32"/>
        <v>146298.03</v>
      </c>
      <c r="AD437" s="42">
        <v>660.23</v>
      </c>
      <c r="AE437" s="42">
        <v>42027.38</v>
      </c>
      <c r="AF437" s="32">
        <f t="shared" si="33"/>
        <v>42687.61</v>
      </c>
      <c r="AG437" s="32">
        <v>7813.01</v>
      </c>
      <c r="AH437" s="32">
        <v>135861.04</v>
      </c>
      <c r="AI437" s="32">
        <f t="shared" si="34"/>
        <v>143674.05000000002</v>
      </c>
      <c r="AJ437" s="42"/>
      <c r="AK437" s="42"/>
      <c r="AL437" s="42">
        <v>49262.85</v>
      </c>
      <c r="AM437" s="42"/>
      <c r="AN437" s="42">
        <v>17862.289999999997</v>
      </c>
      <c r="AO437" s="42">
        <f t="shared" si="36"/>
        <v>17862.289999999997</v>
      </c>
      <c r="AP437" s="42"/>
      <c r="AQ437" s="42"/>
      <c r="AR437" s="42">
        <v>502538.55</v>
      </c>
      <c r="AS437" s="42"/>
      <c r="AT437" s="42"/>
      <c r="AU437" s="42">
        <v>1572530.9600000002</v>
      </c>
      <c r="AV437" s="42"/>
      <c r="AW437" s="42"/>
      <c r="AX437" s="42">
        <v>48858.950000000004</v>
      </c>
      <c r="AY437" s="42">
        <v>7186975.4000000004</v>
      </c>
      <c r="AZ437" s="42">
        <v>1637040</v>
      </c>
      <c r="BA437" s="43">
        <f t="shared" si="27"/>
        <v>8824015.4000000004</v>
      </c>
      <c r="BB437" s="42"/>
      <c r="BC437" s="42"/>
      <c r="BD437" s="42">
        <v>1840951.5555555555</v>
      </c>
      <c r="BE437" s="88">
        <v>0</v>
      </c>
      <c r="BF437" s="88">
        <v>0</v>
      </c>
      <c r="BG437" s="88">
        <v>67</v>
      </c>
      <c r="BH437" s="88">
        <v>0</v>
      </c>
      <c r="BI437" s="88">
        <v>0</v>
      </c>
      <c r="BJ437" s="88">
        <v>5</v>
      </c>
      <c r="BK437" s="88">
        <v>0</v>
      </c>
      <c r="BL437" s="88">
        <v>0</v>
      </c>
      <c r="BM437" s="88">
        <v>189</v>
      </c>
      <c r="BN437" s="88">
        <v>0</v>
      </c>
      <c r="BO437" s="88">
        <v>0</v>
      </c>
      <c r="BP437" s="88">
        <v>0</v>
      </c>
      <c r="BQ437" s="88">
        <v>0</v>
      </c>
      <c r="BR437" s="88">
        <v>0</v>
      </c>
      <c r="BS437" s="88">
        <v>387</v>
      </c>
      <c r="BT437" s="88">
        <v>0</v>
      </c>
      <c r="BU437" s="88">
        <v>0</v>
      </c>
      <c r="BV437" s="88">
        <v>1</v>
      </c>
      <c r="BW437" s="88"/>
      <c r="BX437" s="88"/>
      <c r="BY437" s="88"/>
      <c r="BZ437" s="88">
        <v>0</v>
      </c>
      <c r="CA437" s="88">
        <v>0</v>
      </c>
      <c r="CB437" s="88">
        <v>225</v>
      </c>
      <c r="CC437" s="88"/>
      <c r="CD437" s="88"/>
      <c r="CE437" s="88"/>
      <c r="CF437" s="88">
        <v>0</v>
      </c>
      <c r="CG437" s="88">
        <v>0</v>
      </c>
      <c r="CH437" s="88">
        <v>2</v>
      </c>
      <c r="CI437" s="88">
        <v>0</v>
      </c>
      <c r="CJ437" s="88">
        <v>0</v>
      </c>
      <c r="CK437" s="88">
        <v>18</v>
      </c>
      <c r="CL437" s="88">
        <v>0</v>
      </c>
      <c r="CM437" s="88">
        <v>0</v>
      </c>
      <c r="CN437" s="88">
        <v>2</v>
      </c>
      <c r="CO437" s="88">
        <v>0</v>
      </c>
      <c r="CP437" s="88">
        <v>0</v>
      </c>
      <c r="CQ437" s="88">
        <v>6</v>
      </c>
      <c r="CR437" s="88">
        <v>0</v>
      </c>
      <c r="CS437" s="88">
        <v>0</v>
      </c>
      <c r="CT437" s="88">
        <v>0</v>
      </c>
      <c r="CU437" s="88">
        <v>0</v>
      </c>
      <c r="CV437" s="88">
        <v>0</v>
      </c>
      <c r="CW437" s="88">
        <v>407</v>
      </c>
      <c r="CX437" s="88">
        <v>0</v>
      </c>
      <c r="CY437" s="88">
        <v>0</v>
      </c>
      <c r="CZ437" s="88">
        <v>1</v>
      </c>
      <c r="DA437" s="88">
        <v>0</v>
      </c>
      <c r="DB437" s="88">
        <v>0</v>
      </c>
      <c r="DC437" s="88">
        <v>0</v>
      </c>
      <c r="DD437" s="88">
        <v>0</v>
      </c>
      <c r="DE437" s="88">
        <v>0</v>
      </c>
      <c r="DF437" s="88">
        <v>0</v>
      </c>
      <c r="DG437" s="88">
        <v>0</v>
      </c>
      <c r="DH437" s="88">
        <v>0</v>
      </c>
      <c r="DI437" s="88">
        <v>3</v>
      </c>
      <c r="DJ437" s="88">
        <v>0</v>
      </c>
      <c r="DK437" s="88">
        <v>0</v>
      </c>
      <c r="DL437" s="88">
        <v>0</v>
      </c>
      <c r="DM437" s="88">
        <v>0</v>
      </c>
      <c r="DN437" s="88">
        <v>0</v>
      </c>
      <c r="DO437" s="88">
        <v>0</v>
      </c>
      <c r="DP437" s="88">
        <v>0</v>
      </c>
      <c r="DQ437" s="88">
        <v>0</v>
      </c>
      <c r="DR437" s="87">
        <v>21</v>
      </c>
      <c r="DS437" s="87">
        <v>0</v>
      </c>
      <c r="DT437" s="87">
        <v>0</v>
      </c>
      <c r="DU437" s="87">
        <v>192</v>
      </c>
      <c r="DV437" s="87">
        <v>0</v>
      </c>
      <c r="DW437" s="87">
        <v>0</v>
      </c>
      <c r="DX437" s="87">
        <v>0</v>
      </c>
      <c r="DY437" s="88">
        <v>0</v>
      </c>
      <c r="DZ437" s="88">
        <v>0</v>
      </c>
      <c r="EA437" s="88">
        <v>1200</v>
      </c>
      <c r="EB437" s="88">
        <v>0</v>
      </c>
      <c r="EC437" s="88">
        <v>0</v>
      </c>
      <c r="ED437" s="88">
        <v>0</v>
      </c>
      <c r="EE437" s="88">
        <v>0</v>
      </c>
      <c r="EF437" s="88">
        <v>0</v>
      </c>
      <c r="EG437" s="88">
        <v>1054</v>
      </c>
      <c r="EH437" s="88">
        <v>0</v>
      </c>
      <c r="EI437" s="88">
        <v>0</v>
      </c>
      <c r="EJ437" s="88">
        <v>31</v>
      </c>
      <c r="EK437" s="88">
        <v>0</v>
      </c>
      <c r="EL437" s="88">
        <v>0</v>
      </c>
      <c r="EM437" s="88">
        <v>630</v>
      </c>
      <c r="EN437" s="88">
        <v>0</v>
      </c>
      <c r="EO437" s="88">
        <v>0</v>
      </c>
      <c r="EP437" s="88">
        <v>150</v>
      </c>
      <c r="EQ437" s="88">
        <v>0</v>
      </c>
      <c r="ER437" s="88">
        <v>0</v>
      </c>
      <c r="ES437" s="88">
        <v>10</v>
      </c>
      <c r="ET437" s="88">
        <v>0</v>
      </c>
      <c r="EU437" s="88">
        <v>0</v>
      </c>
      <c r="EV437" s="88">
        <v>13</v>
      </c>
      <c r="EW437" s="88">
        <v>0</v>
      </c>
      <c r="EX437" s="88">
        <v>0</v>
      </c>
      <c r="EY437" s="88">
        <v>12</v>
      </c>
      <c r="EZ437" s="88">
        <v>0</v>
      </c>
      <c r="FA437" s="88">
        <v>0</v>
      </c>
      <c r="FB437" s="88">
        <v>1</v>
      </c>
      <c r="FC437" s="88">
        <v>0</v>
      </c>
      <c r="FD437" s="88">
        <v>0</v>
      </c>
      <c r="FE437" s="88">
        <v>3</v>
      </c>
      <c r="FF437" s="88">
        <v>0</v>
      </c>
      <c r="FG437" s="88">
        <v>0</v>
      </c>
      <c r="FH437" s="88">
        <v>0</v>
      </c>
      <c r="FI437" s="88">
        <v>0</v>
      </c>
      <c r="FJ437" s="88">
        <v>0</v>
      </c>
      <c r="FK437" s="32">
        <v>31</v>
      </c>
      <c r="FL437" s="88">
        <v>0</v>
      </c>
      <c r="FM437" s="88">
        <v>0</v>
      </c>
      <c r="FN437" s="88">
        <v>3856</v>
      </c>
      <c r="FO437" s="88">
        <v>0</v>
      </c>
      <c r="FP437" s="88">
        <v>0</v>
      </c>
      <c r="FQ437" s="88">
        <v>612</v>
      </c>
      <c r="FR437" s="88">
        <v>0</v>
      </c>
      <c r="FS437" s="88">
        <v>0</v>
      </c>
      <c r="FT437" s="88">
        <v>0</v>
      </c>
      <c r="FU437" s="88">
        <v>0</v>
      </c>
      <c r="FV437" s="88">
        <v>0</v>
      </c>
      <c r="FW437" s="88">
        <v>226</v>
      </c>
      <c r="FX437" s="32">
        <v>0</v>
      </c>
      <c r="FY437" s="32">
        <v>0</v>
      </c>
      <c r="FZ437" s="32">
        <v>240</v>
      </c>
    </row>
    <row r="438" spans="1:184" s="97" customFormat="1" x14ac:dyDescent="0.2">
      <c r="A438" s="92">
        <v>44896</v>
      </c>
      <c r="B438" s="93">
        <f t="shared" si="35"/>
        <v>119853769.78999999</v>
      </c>
      <c r="C438" s="94">
        <v>13917.86</v>
      </c>
      <c r="D438" s="94">
        <v>438673.81</v>
      </c>
      <c r="E438" s="93">
        <f t="shared" si="29"/>
        <v>452591.67</v>
      </c>
      <c r="F438" s="94">
        <v>8989959.5300000012</v>
      </c>
      <c r="G438" s="94">
        <v>7444023.0599999987</v>
      </c>
      <c r="H438" s="95">
        <f t="shared" si="28"/>
        <v>16433982.59</v>
      </c>
      <c r="I438" s="94"/>
      <c r="J438" s="94"/>
      <c r="K438" s="99">
        <v>23213127.370000001</v>
      </c>
      <c r="L438" s="94"/>
      <c r="M438" s="94"/>
      <c r="N438" s="99">
        <v>38655043.020000003</v>
      </c>
      <c r="O438" s="94"/>
      <c r="P438" s="94"/>
      <c r="Q438" s="99">
        <v>39164239.720000006</v>
      </c>
      <c r="R438" s="94"/>
      <c r="S438" s="94"/>
      <c r="T438" s="94">
        <v>183452.74</v>
      </c>
      <c r="U438" s="94">
        <v>18437.25</v>
      </c>
      <c r="V438" s="94">
        <v>22893.05</v>
      </c>
      <c r="W438" s="94">
        <f t="shared" si="30"/>
        <v>41330.300000000003</v>
      </c>
      <c r="X438" s="94">
        <v>82393.7</v>
      </c>
      <c r="Y438" s="94">
        <v>17138.490000000002</v>
      </c>
      <c r="Z438" s="95">
        <f t="shared" si="31"/>
        <v>99532.19</v>
      </c>
      <c r="AA438" s="94">
        <v>224351.91</v>
      </c>
      <c r="AB438" s="94">
        <v>322835.49</v>
      </c>
      <c r="AC438" s="95">
        <f t="shared" si="32"/>
        <v>547187.4</v>
      </c>
      <c r="AD438" s="94">
        <v>7524.05</v>
      </c>
      <c r="AE438" s="94">
        <v>73975.19</v>
      </c>
      <c r="AF438" s="95">
        <f t="shared" si="33"/>
        <v>81499.240000000005</v>
      </c>
      <c r="AG438" s="95">
        <v>11934.82</v>
      </c>
      <c r="AH438" s="95">
        <v>227067.94999999998</v>
      </c>
      <c r="AI438" s="95">
        <f t="shared" si="34"/>
        <v>239002.77</v>
      </c>
      <c r="AJ438" s="94"/>
      <c r="AK438" s="94"/>
      <c r="AL438" s="94">
        <v>49014.45</v>
      </c>
      <c r="AM438" s="94"/>
      <c r="AN438" s="94">
        <v>32398.32</v>
      </c>
      <c r="AO438" s="94">
        <f t="shared" si="36"/>
        <v>32398.32</v>
      </c>
      <c r="AP438" s="94"/>
      <c r="AQ438" s="94"/>
      <c r="AR438" s="94">
        <v>661368.01</v>
      </c>
      <c r="AS438" s="94"/>
      <c r="AT438" s="94"/>
      <c r="AU438" s="94">
        <v>1624607.1800000002</v>
      </c>
      <c r="AV438" s="94"/>
      <c r="AW438" s="94"/>
      <c r="AX438" s="94">
        <v>43153.97</v>
      </c>
      <c r="AY438" s="94">
        <v>11835822.300000001</v>
      </c>
      <c r="AZ438" s="94">
        <v>1547677</v>
      </c>
      <c r="BA438" s="93">
        <f t="shared" si="27"/>
        <v>13383499.300000001</v>
      </c>
      <c r="BB438" s="94"/>
      <c r="BC438" s="94"/>
      <c r="BD438" s="94">
        <v>2860587.4222222222</v>
      </c>
      <c r="BE438" s="117">
        <v>0</v>
      </c>
      <c r="BF438" s="117">
        <v>0</v>
      </c>
      <c r="BG438" s="117">
        <v>92</v>
      </c>
      <c r="BH438" s="117">
        <v>0</v>
      </c>
      <c r="BI438" s="117">
        <v>0</v>
      </c>
      <c r="BJ438" s="117">
        <v>15</v>
      </c>
      <c r="BK438" s="117">
        <v>0</v>
      </c>
      <c r="BL438" s="117">
        <v>0</v>
      </c>
      <c r="BM438" s="117">
        <v>229</v>
      </c>
      <c r="BN438" s="117">
        <v>0</v>
      </c>
      <c r="BO438" s="117">
        <v>0</v>
      </c>
      <c r="BP438" s="117">
        <v>1</v>
      </c>
      <c r="BQ438" s="117">
        <v>0</v>
      </c>
      <c r="BR438" s="117">
        <v>0</v>
      </c>
      <c r="BS438" s="117">
        <v>262</v>
      </c>
      <c r="BT438" s="117">
        <v>0</v>
      </c>
      <c r="BU438" s="117">
        <v>0</v>
      </c>
      <c r="BV438" s="117">
        <v>0</v>
      </c>
      <c r="BW438" s="117"/>
      <c r="BX438" s="117"/>
      <c r="BY438" s="117"/>
      <c r="BZ438" s="117">
        <v>0</v>
      </c>
      <c r="CA438" s="117">
        <v>0</v>
      </c>
      <c r="CB438" s="117">
        <v>516</v>
      </c>
      <c r="CC438" s="117"/>
      <c r="CD438" s="117"/>
      <c r="CE438" s="117"/>
      <c r="CF438" s="117">
        <v>0</v>
      </c>
      <c r="CG438" s="117">
        <v>0</v>
      </c>
      <c r="CH438" s="117">
        <v>1</v>
      </c>
      <c r="CI438" s="117">
        <v>0</v>
      </c>
      <c r="CJ438" s="117">
        <v>0</v>
      </c>
      <c r="CK438" s="117">
        <v>53</v>
      </c>
      <c r="CL438" s="117">
        <v>0</v>
      </c>
      <c r="CM438" s="117">
        <v>0</v>
      </c>
      <c r="CN438" s="117">
        <v>2</v>
      </c>
      <c r="CO438" s="117">
        <v>0</v>
      </c>
      <c r="CP438" s="117">
        <v>0</v>
      </c>
      <c r="CQ438" s="117">
        <v>68</v>
      </c>
      <c r="CR438" s="117">
        <v>0</v>
      </c>
      <c r="CS438" s="117">
        <v>0</v>
      </c>
      <c r="CT438" s="117">
        <v>0</v>
      </c>
      <c r="CU438" s="117">
        <v>0</v>
      </c>
      <c r="CV438" s="117">
        <v>0</v>
      </c>
      <c r="CW438" s="117">
        <v>105</v>
      </c>
      <c r="CX438" s="117">
        <v>0</v>
      </c>
      <c r="CY438" s="117">
        <v>0</v>
      </c>
      <c r="CZ438" s="117">
        <v>1</v>
      </c>
      <c r="DA438" s="117">
        <v>0</v>
      </c>
      <c r="DB438" s="117">
        <v>0</v>
      </c>
      <c r="DC438" s="117">
        <v>1</v>
      </c>
      <c r="DD438" s="117">
        <v>0</v>
      </c>
      <c r="DE438" s="117">
        <v>0</v>
      </c>
      <c r="DF438" s="117">
        <v>0</v>
      </c>
      <c r="DG438" s="117">
        <v>0</v>
      </c>
      <c r="DH438" s="117">
        <v>0</v>
      </c>
      <c r="DI438" s="117">
        <v>5</v>
      </c>
      <c r="DJ438" s="117">
        <v>0</v>
      </c>
      <c r="DK438" s="117">
        <v>0</v>
      </c>
      <c r="DL438" s="117">
        <v>0</v>
      </c>
      <c r="DM438" s="117">
        <v>0</v>
      </c>
      <c r="DN438" s="117">
        <v>0</v>
      </c>
      <c r="DO438" s="117">
        <v>0</v>
      </c>
      <c r="DP438" s="117">
        <v>0</v>
      </c>
      <c r="DQ438" s="117">
        <v>0</v>
      </c>
      <c r="DR438" s="95">
        <v>56</v>
      </c>
      <c r="DS438" s="95">
        <v>0</v>
      </c>
      <c r="DT438" s="95">
        <v>0</v>
      </c>
      <c r="DU438" s="95">
        <v>655</v>
      </c>
      <c r="DV438" s="95">
        <v>0</v>
      </c>
      <c r="DW438" s="95">
        <v>0</v>
      </c>
      <c r="DX438" s="95">
        <v>0</v>
      </c>
      <c r="DY438" s="117">
        <v>0</v>
      </c>
      <c r="DZ438" s="117">
        <v>0</v>
      </c>
      <c r="EA438" s="117">
        <v>1663</v>
      </c>
      <c r="EB438" s="117">
        <v>0</v>
      </c>
      <c r="EC438" s="117">
        <v>0</v>
      </c>
      <c r="ED438" s="117">
        <v>0</v>
      </c>
      <c r="EE438" s="117">
        <v>0</v>
      </c>
      <c r="EF438" s="117">
        <v>0</v>
      </c>
      <c r="EG438" s="117">
        <v>1190</v>
      </c>
      <c r="EH438" s="117">
        <v>0</v>
      </c>
      <c r="EI438" s="117">
        <v>0</v>
      </c>
      <c r="EJ438" s="117">
        <v>80</v>
      </c>
      <c r="EK438" s="117">
        <v>0</v>
      </c>
      <c r="EL438" s="117">
        <v>0</v>
      </c>
      <c r="EM438" s="117">
        <v>596</v>
      </c>
      <c r="EN438" s="117">
        <v>0</v>
      </c>
      <c r="EO438" s="117">
        <v>0</v>
      </c>
      <c r="EP438" s="117">
        <v>103</v>
      </c>
      <c r="EQ438" s="117">
        <v>0</v>
      </c>
      <c r="ER438" s="117">
        <v>0</v>
      </c>
      <c r="ES438" s="117">
        <v>24</v>
      </c>
      <c r="ET438" s="117">
        <v>0</v>
      </c>
      <c r="EU438" s="117">
        <v>0</v>
      </c>
      <c r="EV438" s="117">
        <v>6</v>
      </c>
      <c r="EW438" s="117">
        <v>0</v>
      </c>
      <c r="EX438" s="117">
        <v>0</v>
      </c>
      <c r="EY438" s="117">
        <v>2</v>
      </c>
      <c r="EZ438" s="117">
        <v>0</v>
      </c>
      <c r="FA438" s="117">
        <v>0</v>
      </c>
      <c r="FB438" s="117">
        <v>3</v>
      </c>
      <c r="FC438" s="117">
        <v>0</v>
      </c>
      <c r="FD438" s="117">
        <v>0</v>
      </c>
      <c r="FE438" s="117">
        <v>1</v>
      </c>
      <c r="FF438" s="117">
        <v>0</v>
      </c>
      <c r="FG438" s="117">
        <v>0</v>
      </c>
      <c r="FH438" s="117">
        <v>0</v>
      </c>
      <c r="FI438" s="117">
        <v>0</v>
      </c>
      <c r="FJ438" s="117">
        <v>0</v>
      </c>
      <c r="FK438" s="95">
        <v>91</v>
      </c>
      <c r="FL438" s="117">
        <v>0</v>
      </c>
      <c r="FM438" s="117">
        <v>0</v>
      </c>
      <c r="FN438" s="117">
        <v>4766</v>
      </c>
      <c r="FO438" s="117">
        <v>0</v>
      </c>
      <c r="FP438" s="117">
        <v>0</v>
      </c>
      <c r="FQ438" s="117">
        <v>857</v>
      </c>
      <c r="FR438" s="117">
        <v>0</v>
      </c>
      <c r="FS438" s="117">
        <v>0</v>
      </c>
      <c r="FT438" s="117">
        <v>0</v>
      </c>
      <c r="FU438" s="117">
        <v>0</v>
      </c>
      <c r="FV438" s="117">
        <v>0</v>
      </c>
      <c r="FW438" s="117">
        <v>258</v>
      </c>
      <c r="FX438" s="95">
        <v>0</v>
      </c>
      <c r="FY438" s="95">
        <v>0</v>
      </c>
      <c r="FZ438" s="95">
        <v>1011</v>
      </c>
    </row>
    <row r="439" spans="1:184" s="22" customFormat="1" x14ac:dyDescent="0.2">
      <c r="A439" s="41">
        <v>44927</v>
      </c>
      <c r="B439" s="100">
        <f t="shared" si="35"/>
        <v>87820700.349999979</v>
      </c>
      <c r="C439" s="42">
        <v>14920.92</v>
      </c>
      <c r="D439" s="42">
        <v>208851.85</v>
      </c>
      <c r="E439" s="43">
        <f t="shared" si="29"/>
        <v>223772.77000000002</v>
      </c>
      <c r="F439" s="42">
        <v>5332360.03</v>
      </c>
      <c r="G439" s="42">
        <v>3865535.4999999991</v>
      </c>
      <c r="H439" s="32">
        <f t="shared" si="28"/>
        <v>9197895.5299999993</v>
      </c>
      <c r="I439" s="42"/>
      <c r="J439" s="42"/>
      <c r="K439" s="98">
        <v>16746840.91</v>
      </c>
      <c r="L439" s="42"/>
      <c r="M439" s="42"/>
      <c r="N439" s="98">
        <v>23801959.539999995</v>
      </c>
      <c r="O439" s="42"/>
      <c r="P439" s="42"/>
      <c r="Q439" s="98">
        <v>36748452.280000001</v>
      </c>
      <c r="R439" s="42"/>
      <c r="S439" s="42"/>
      <c r="T439" s="42">
        <v>179541.63</v>
      </c>
      <c r="U439" s="42">
        <v>8899.4500000000007</v>
      </c>
      <c r="V439" s="42">
        <v>4886.1400000000003</v>
      </c>
      <c r="W439" s="42">
        <f t="shared" si="30"/>
        <v>13785.59</v>
      </c>
      <c r="X439" s="42">
        <v>29247.940000000002</v>
      </c>
      <c r="Y439" s="42">
        <v>5118.08</v>
      </c>
      <c r="Z439" s="32">
        <f t="shared" si="31"/>
        <v>34366.020000000004</v>
      </c>
      <c r="AA439" s="42">
        <v>13922.179999999998</v>
      </c>
      <c r="AB439" s="42">
        <v>109991.70000000001</v>
      </c>
      <c r="AC439" s="32">
        <f t="shared" si="32"/>
        <v>123913.88</v>
      </c>
      <c r="AD439" s="42">
        <v>3131.25</v>
      </c>
      <c r="AE439" s="42">
        <v>10665.8</v>
      </c>
      <c r="AF439" s="32">
        <f t="shared" si="33"/>
        <v>13797.05</v>
      </c>
      <c r="AG439" s="32">
        <v>8285.93</v>
      </c>
      <c r="AH439" s="32">
        <v>131663.23000000001</v>
      </c>
      <c r="AI439" s="32">
        <f t="shared" si="34"/>
        <v>139949.16</v>
      </c>
      <c r="AJ439" s="42"/>
      <c r="AK439" s="42"/>
      <c r="AL439" s="42">
        <v>30909.599999999999</v>
      </c>
      <c r="AM439" s="42">
        <v>63978.18</v>
      </c>
      <c r="AN439" s="42">
        <v>37697.96</v>
      </c>
      <c r="AO439" s="42">
        <f>+AM439+AN439</f>
        <v>101676.14</v>
      </c>
      <c r="AP439" s="42"/>
      <c r="AQ439" s="42"/>
      <c r="AR439" s="42">
        <v>463840.25</v>
      </c>
      <c r="AS439" s="42"/>
      <c r="AT439" s="42"/>
      <c r="AU439" s="42">
        <v>1384114.7000000002</v>
      </c>
      <c r="AV439" s="42"/>
      <c r="AW439" s="42"/>
      <c r="AX439" s="42">
        <v>40853.170000000013</v>
      </c>
      <c r="AY439" s="42">
        <v>4027865.5</v>
      </c>
      <c r="AZ439" s="42">
        <v>912040</v>
      </c>
      <c r="BA439" s="43">
        <f t="shared" si="27"/>
        <v>4939905.5</v>
      </c>
      <c r="BB439" s="42"/>
      <c r="BC439" s="42"/>
      <c r="BD439" s="42">
        <v>889707</v>
      </c>
      <c r="BE439" s="88">
        <v>0</v>
      </c>
      <c r="BF439" s="88">
        <v>0</v>
      </c>
      <c r="BG439" s="88">
        <v>52</v>
      </c>
      <c r="BH439" s="88">
        <v>0</v>
      </c>
      <c r="BI439" s="88">
        <v>0</v>
      </c>
      <c r="BJ439" s="88">
        <v>8</v>
      </c>
      <c r="BK439" s="88">
        <v>0</v>
      </c>
      <c r="BL439" s="88">
        <v>0</v>
      </c>
      <c r="BM439" s="88">
        <v>226</v>
      </c>
      <c r="BN439" s="88">
        <v>0</v>
      </c>
      <c r="BO439" s="88">
        <v>0</v>
      </c>
      <c r="BP439" s="88">
        <v>0</v>
      </c>
      <c r="BQ439" s="88">
        <v>0</v>
      </c>
      <c r="BR439" s="88">
        <v>0</v>
      </c>
      <c r="BS439" s="88">
        <v>49</v>
      </c>
      <c r="BT439" s="88">
        <v>0</v>
      </c>
      <c r="BU439" s="88">
        <v>0</v>
      </c>
      <c r="BV439" s="88">
        <v>0</v>
      </c>
      <c r="BW439" s="88"/>
      <c r="BX439" s="88"/>
      <c r="BY439" s="88"/>
      <c r="BZ439" s="88">
        <v>0</v>
      </c>
      <c r="CA439" s="88">
        <v>0</v>
      </c>
      <c r="CB439" s="88">
        <v>138</v>
      </c>
      <c r="CC439" s="88"/>
      <c r="CD439" s="88"/>
      <c r="CE439" s="88"/>
      <c r="CF439" s="88">
        <v>0</v>
      </c>
      <c r="CG439" s="88">
        <v>0</v>
      </c>
      <c r="CH439" s="88">
        <v>2</v>
      </c>
      <c r="CI439" s="88">
        <v>0</v>
      </c>
      <c r="CJ439" s="88">
        <v>0</v>
      </c>
      <c r="CK439" s="88">
        <v>23</v>
      </c>
      <c r="CL439" s="88">
        <v>0</v>
      </c>
      <c r="CM439" s="88">
        <v>0</v>
      </c>
      <c r="CN439" s="88">
        <v>0</v>
      </c>
      <c r="CO439" s="88">
        <v>0</v>
      </c>
      <c r="CP439" s="88">
        <v>0</v>
      </c>
      <c r="CQ439" s="88">
        <v>20</v>
      </c>
      <c r="CR439" s="88">
        <v>0</v>
      </c>
      <c r="CS439" s="88">
        <v>0</v>
      </c>
      <c r="CT439" s="88">
        <v>0</v>
      </c>
      <c r="CU439" s="88">
        <v>0</v>
      </c>
      <c r="CV439" s="88">
        <v>0</v>
      </c>
      <c r="CW439" s="88">
        <v>224</v>
      </c>
      <c r="CX439" s="88">
        <v>0</v>
      </c>
      <c r="CY439" s="88">
        <v>0</v>
      </c>
      <c r="CZ439" s="88">
        <v>0</v>
      </c>
      <c r="DA439" s="88">
        <v>0</v>
      </c>
      <c r="DB439" s="88">
        <v>0</v>
      </c>
      <c r="DC439" s="88">
        <v>0</v>
      </c>
      <c r="DD439" s="88">
        <v>0</v>
      </c>
      <c r="DE439" s="88">
        <v>0</v>
      </c>
      <c r="DF439" s="88">
        <v>0</v>
      </c>
      <c r="DG439" s="88">
        <v>0</v>
      </c>
      <c r="DH439" s="88">
        <v>0</v>
      </c>
      <c r="DI439" s="88">
        <v>12</v>
      </c>
      <c r="DJ439" s="88">
        <v>0</v>
      </c>
      <c r="DK439" s="88">
        <v>0</v>
      </c>
      <c r="DL439" s="88">
        <v>0</v>
      </c>
      <c r="DM439" s="88">
        <v>0</v>
      </c>
      <c r="DN439" s="88">
        <v>0</v>
      </c>
      <c r="DO439" s="88">
        <v>0</v>
      </c>
      <c r="DP439" s="88">
        <v>0</v>
      </c>
      <c r="DQ439" s="88">
        <v>0</v>
      </c>
      <c r="DR439" s="87">
        <v>43</v>
      </c>
      <c r="DS439" s="87">
        <v>0</v>
      </c>
      <c r="DT439" s="87">
        <v>0</v>
      </c>
      <c r="DU439" s="87">
        <v>53</v>
      </c>
      <c r="DV439" s="87">
        <v>0</v>
      </c>
      <c r="DW439" s="87">
        <v>0</v>
      </c>
      <c r="DX439" s="87">
        <v>0</v>
      </c>
      <c r="DY439" s="88">
        <v>0</v>
      </c>
      <c r="DZ439" s="88">
        <v>0</v>
      </c>
      <c r="EA439" s="88">
        <v>1218</v>
      </c>
      <c r="EB439" s="88">
        <v>0</v>
      </c>
      <c r="EC439" s="88">
        <v>0</v>
      </c>
      <c r="ED439" s="88">
        <v>0</v>
      </c>
      <c r="EE439" s="88">
        <v>0</v>
      </c>
      <c r="EF439" s="88">
        <v>0</v>
      </c>
      <c r="EG439" s="88">
        <v>949</v>
      </c>
      <c r="EH439" s="88">
        <v>0</v>
      </c>
      <c r="EI439" s="88">
        <v>0</v>
      </c>
      <c r="EJ439" s="88">
        <v>133</v>
      </c>
      <c r="EK439" s="88">
        <v>0</v>
      </c>
      <c r="EL439" s="88">
        <v>0</v>
      </c>
      <c r="EM439" s="88">
        <v>295</v>
      </c>
      <c r="EN439" s="88">
        <v>0</v>
      </c>
      <c r="EO439" s="88">
        <v>0</v>
      </c>
      <c r="EP439" s="88">
        <v>90</v>
      </c>
      <c r="EQ439" s="88">
        <v>0</v>
      </c>
      <c r="ER439" s="88">
        <v>0</v>
      </c>
      <c r="ES439" s="88">
        <v>11</v>
      </c>
      <c r="ET439" s="88">
        <v>0</v>
      </c>
      <c r="EU439" s="88">
        <v>0</v>
      </c>
      <c r="EV439" s="88">
        <v>6</v>
      </c>
      <c r="EW439" s="88">
        <v>0</v>
      </c>
      <c r="EX439" s="88">
        <v>0</v>
      </c>
      <c r="EY439" s="88">
        <v>5</v>
      </c>
      <c r="EZ439" s="88">
        <v>0</v>
      </c>
      <c r="FA439" s="88">
        <v>0</v>
      </c>
      <c r="FB439" s="88">
        <v>0</v>
      </c>
      <c r="FC439" s="88">
        <v>0</v>
      </c>
      <c r="FD439" s="88">
        <v>0</v>
      </c>
      <c r="FE439" s="88">
        <v>0</v>
      </c>
      <c r="FF439" s="88">
        <v>0</v>
      </c>
      <c r="FG439" s="88">
        <v>0</v>
      </c>
      <c r="FH439" s="88">
        <v>0</v>
      </c>
      <c r="FI439" s="88">
        <v>0</v>
      </c>
      <c r="FJ439" s="88">
        <v>0</v>
      </c>
      <c r="FK439" s="32">
        <v>57</v>
      </c>
      <c r="FL439" s="88">
        <v>0</v>
      </c>
      <c r="FM439" s="88">
        <v>0</v>
      </c>
      <c r="FN439" s="88">
        <v>4013</v>
      </c>
      <c r="FO439" s="88">
        <v>0</v>
      </c>
      <c r="FP439" s="88">
        <v>0</v>
      </c>
      <c r="FQ439" s="88">
        <v>660</v>
      </c>
      <c r="FR439" s="88">
        <v>0</v>
      </c>
      <c r="FS439" s="88">
        <v>0</v>
      </c>
      <c r="FT439" s="88">
        <v>0</v>
      </c>
      <c r="FU439" s="88">
        <v>0</v>
      </c>
      <c r="FV439" s="88">
        <v>0</v>
      </c>
      <c r="FW439" s="88">
        <v>199</v>
      </c>
      <c r="FX439" s="32">
        <v>0</v>
      </c>
      <c r="FY439" s="32">
        <v>0</v>
      </c>
      <c r="FZ439" s="32">
        <v>39</v>
      </c>
      <c r="GB439" s="46">
        <f>+SUM(BG439:FZ439)</f>
        <v>8525</v>
      </c>
    </row>
    <row r="440" spans="1:184" s="22" customFormat="1" x14ac:dyDescent="0.2">
      <c r="A440" s="41">
        <v>44958</v>
      </c>
      <c r="B440" s="100">
        <f t="shared" si="35"/>
        <v>84892195.529999986</v>
      </c>
      <c r="C440" s="42">
        <v>14284.37</v>
      </c>
      <c r="D440" s="42">
        <v>225183.60000000003</v>
      </c>
      <c r="E440" s="43">
        <f t="shared" si="29"/>
        <v>239467.97000000003</v>
      </c>
      <c r="F440" s="42">
        <v>5477630.4699999997</v>
      </c>
      <c r="G440" s="42">
        <v>3307421.57</v>
      </c>
      <c r="H440" s="32">
        <f t="shared" si="28"/>
        <v>8785052.0399999991</v>
      </c>
      <c r="I440" s="42"/>
      <c r="J440" s="42"/>
      <c r="K440" s="98">
        <v>15986694.16</v>
      </c>
      <c r="L440" s="42"/>
      <c r="M440" s="42"/>
      <c r="N440" s="98">
        <v>24249801.669999998</v>
      </c>
      <c r="O440" s="42"/>
      <c r="P440" s="42"/>
      <c r="Q440" s="98">
        <v>34530577.129999995</v>
      </c>
      <c r="R440" s="42"/>
      <c r="S440" s="42"/>
      <c r="T440" s="42">
        <v>193732.05999999997</v>
      </c>
      <c r="U440" s="42">
        <v>4578.93</v>
      </c>
      <c r="V440" s="42">
        <v>809.81999999999994</v>
      </c>
      <c r="W440" s="42">
        <f t="shared" si="30"/>
        <v>5388.75</v>
      </c>
      <c r="X440" s="42">
        <v>13060.42</v>
      </c>
      <c r="Y440" s="42">
        <v>2276.7199999999998</v>
      </c>
      <c r="Z440" s="32">
        <f t="shared" si="31"/>
        <v>15337.14</v>
      </c>
      <c r="AA440" s="42">
        <v>14239.339999999998</v>
      </c>
      <c r="AB440" s="42">
        <v>95749.239999999991</v>
      </c>
      <c r="AC440" s="32">
        <f t="shared" si="32"/>
        <v>109988.57999999999</v>
      </c>
      <c r="AD440" s="42">
        <v>2988.91</v>
      </c>
      <c r="AE440" s="42">
        <v>7435.31</v>
      </c>
      <c r="AF440" s="32">
        <f t="shared" si="33"/>
        <v>10424.220000000001</v>
      </c>
      <c r="AG440" s="32">
        <v>4020.31</v>
      </c>
      <c r="AH440" s="32">
        <v>72523.520000000004</v>
      </c>
      <c r="AI440" s="32">
        <f t="shared" si="34"/>
        <v>76543.83</v>
      </c>
      <c r="AJ440" s="42"/>
      <c r="AK440" s="42"/>
      <c r="AL440" s="42">
        <v>35056.800000000003</v>
      </c>
      <c r="AM440" s="42">
        <v>116092.22</v>
      </c>
      <c r="AN440" s="42">
        <v>50699.770000000004</v>
      </c>
      <c r="AO440" s="42">
        <f t="shared" si="36"/>
        <v>166791.99</v>
      </c>
      <c r="AP440" s="42"/>
      <c r="AQ440" s="42"/>
      <c r="AR440" s="42">
        <v>487339.19</v>
      </c>
      <c r="AS440" s="42"/>
      <c r="AT440" s="42"/>
      <c r="AU440" s="42">
        <v>1155959.57</v>
      </c>
      <c r="AV440" s="42"/>
      <c r="AW440" s="42"/>
      <c r="AX440" s="42">
        <v>58460.130000000012</v>
      </c>
      <c r="AY440" s="42">
        <v>4180068.5</v>
      </c>
      <c r="AZ440" s="42">
        <v>437440</v>
      </c>
      <c r="BA440" s="43">
        <f t="shared" si="27"/>
        <v>4617508.5</v>
      </c>
      <c r="BB440" s="42"/>
      <c r="BC440" s="42"/>
      <c r="BD440" s="42">
        <v>1264576.0000000002</v>
      </c>
      <c r="BE440" s="88">
        <v>0</v>
      </c>
      <c r="BF440" s="88">
        <v>0</v>
      </c>
      <c r="BG440" s="88">
        <v>61</v>
      </c>
      <c r="BH440" s="88">
        <v>0</v>
      </c>
      <c r="BI440" s="88">
        <v>0</v>
      </c>
      <c r="BJ440" s="88">
        <v>2</v>
      </c>
      <c r="BK440" s="88">
        <v>0</v>
      </c>
      <c r="BL440" s="88">
        <v>0</v>
      </c>
      <c r="BM440" s="88">
        <v>284</v>
      </c>
      <c r="BN440" s="88">
        <v>0</v>
      </c>
      <c r="BO440" s="88">
        <v>0</v>
      </c>
      <c r="BP440" s="88">
        <v>0</v>
      </c>
      <c r="BQ440" s="88">
        <v>0</v>
      </c>
      <c r="BR440" s="88">
        <v>0</v>
      </c>
      <c r="BS440" s="88">
        <v>378</v>
      </c>
      <c r="BT440" s="88">
        <v>0</v>
      </c>
      <c r="BU440" s="88">
        <v>0</v>
      </c>
      <c r="BV440" s="88">
        <v>0</v>
      </c>
      <c r="BW440" s="88"/>
      <c r="BX440" s="88"/>
      <c r="BY440" s="88"/>
      <c r="BZ440" s="88">
        <v>0</v>
      </c>
      <c r="CA440" s="88">
        <v>0</v>
      </c>
      <c r="CB440" s="88">
        <v>125</v>
      </c>
      <c r="CC440" s="88"/>
      <c r="CD440" s="88"/>
      <c r="CE440" s="88"/>
      <c r="CF440" s="88">
        <v>0</v>
      </c>
      <c r="CG440" s="88">
        <v>0</v>
      </c>
      <c r="CH440" s="88">
        <v>2</v>
      </c>
      <c r="CI440" s="88">
        <v>0</v>
      </c>
      <c r="CJ440" s="88">
        <v>0</v>
      </c>
      <c r="CK440" s="88">
        <v>14</v>
      </c>
      <c r="CL440" s="88">
        <v>0</v>
      </c>
      <c r="CM440" s="88">
        <v>0</v>
      </c>
      <c r="CN440" s="88">
        <v>1</v>
      </c>
      <c r="CO440" s="88">
        <v>0</v>
      </c>
      <c r="CP440" s="88">
        <v>0</v>
      </c>
      <c r="CQ440" s="88">
        <v>5</v>
      </c>
      <c r="CR440" s="88">
        <v>0</v>
      </c>
      <c r="CS440" s="88">
        <v>0</v>
      </c>
      <c r="CT440" s="88">
        <v>0</v>
      </c>
      <c r="CU440" s="88">
        <v>0</v>
      </c>
      <c r="CV440" s="88">
        <v>0</v>
      </c>
      <c r="CW440" s="88">
        <v>290</v>
      </c>
      <c r="CX440" s="88">
        <v>0</v>
      </c>
      <c r="CY440" s="88">
        <v>0</v>
      </c>
      <c r="CZ440" s="88">
        <v>0</v>
      </c>
      <c r="DA440" s="88">
        <v>0</v>
      </c>
      <c r="DB440" s="88">
        <v>0</v>
      </c>
      <c r="DC440" s="88">
        <v>0</v>
      </c>
      <c r="DD440" s="88">
        <v>0</v>
      </c>
      <c r="DE440" s="88">
        <v>0</v>
      </c>
      <c r="DF440" s="88">
        <v>0</v>
      </c>
      <c r="DG440" s="88">
        <v>0</v>
      </c>
      <c r="DH440" s="88">
        <v>0</v>
      </c>
      <c r="DI440" s="88">
        <v>7</v>
      </c>
      <c r="DJ440" s="88">
        <v>0</v>
      </c>
      <c r="DK440" s="88">
        <v>0</v>
      </c>
      <c r="DL440" s="88">
        <v>0</v>
      </c>
      <c r="DM440" s="88">
        <v>0</v>
      </c>
      <c r="DN440" s="88">
        <v>0</v>
      </c>
      <c r="DO440" s="88">
        <v>0</v>
      </c>
      <c r="DP440" s="88">
        <v>0</v>
      </c>
      <c r="DQ440" s="88">
        <v>0</v>
      </c>
      <c r="DR440" s="87">
        <v>28</v>
      </c>
      <c r="DS440" s="87">
        <v>0</v>
      </c>
      <c r="DT440" s="87">
        <v>0</v>
      </c>
      <c r="DU440" s="87">
        <v>39</v>
      </c>
      <c r="DV440" s="87">
        <v>0</v>
      </c>
      <c r="DW440" s="87">
        <v>0</v>
      </c>
      <c r="DX440" s="87">
        <v>0</v>
      </c>
      <c r="DY440" s="88">
        <v>0</v>
      </c>
      <c r="DZ440" s="88">
        <v>0</v>
      </c>
      <c r="EA440" s="88">
        <v>827</v>
      </c>
      <c r="EB440" s="88">
        <v>0</v>
      </c>
      <c r="EC440" s="88">
        <v>0</v>
      </c>
      <c r="ED440" s="88">
        <v>0</v>
      </c>
      <c r="EE440" s="88">
        <v>0</v>
      </c>
      <c r="EF440" s="88">
        <v>0</v>
      </c>
      <c r="EG440" s="88">
        <v>897</v>
      </c>
      <c r="EH440" s="88">
        <v>0</v>
      </c>
      <c r="EI440" s="88">
        <v>0</v>
      </c>
      <c r="EJ440" s="88">
        <v>152</v>
      </c>
      <c r="EK440" s="88">
        <v>0</v>
      </c>
      <c r="EL440" s="88">
        <v>0</v>
      </c>
      <c r="EM440" s="88">
        <v>376</v>
      </c>
      <c r="EN440" s="88">
        <v>0</v>
      </c>
      <c r="EO440" s="88">
        <v>0</v>
      </c>
      <c r="EP440" s="88">
        <v>123</v>
      </c>
      <c r="EQ440" s="88">
        <v>0</v>
      </c>
      <c r="ER440" s="88">
        <v>0</v>
      </c>
      <c r="ES440" s="88">
        <v>9</v>
      </c>
      <c r="ET440" s="88">
        <v>0</v>
      </c>
      <c r="EU440" s="88">
        <v>0</v>
      </c>
      <c r="EV440" s="88">
        <v>12</v>
      </c>
      <c r="EW440" s="88">
        <v>0</v>
      </c>
      <c r="EX440" s="88">
        <v>0</v>
      </c>
      <c r="EY440" s="88">
        <v>2</v>
      </c>
      <c r="EZ440" s="88">
        <v>0</v>
      </c>
      <c r="FA440" s="88">
        <v>0</v>
      </c>
      <c r="FB440" s="88">
        <v>0</v>
      </c>
      <c r="FC440" s="88">
        <v>0</v>
      </c>
      <c r="FD440" s="88">
        <v>0</v>
      </c>
      <c r="FE440" s="88">
        <v>0</v>
      </c>
      <c r="FF440" s="88">
        <v>0</v>
      </c>
      <c r="FG440" s="88">
        <v>0</v>
      </c>
      <c r="FH440" s="88">
        <v>0</v>
      </c>
      <c r="FI440" s="88">
        <v>0</v>
      </c>
      <c r="FJ440" s="88">
        <v>0</v>
      </c>
      <c r="FK440" s="32">
        <v>25</v>
      </c>
      <c r="FL440" s="88">
        <v>0</v>
      </c>
      <c r="FM440" s="88">
        <v>0</v>
      </c>
      <c r="FN440" s="88">
        <v>3043</v>
      </c>
      <c r="FO440" s="88">
        <v>0</v>
      </c>
      <c r="FP440" s="88">
        <v>0</v>
      </c>
      <c r="FQ440" s="88">
        <v>525</v>
      </c>
      <c r="FR440" s="88">
        <v>0</v>
      </c>
      <c r="FS440" s="88">
        <v>0</v>
      </c>
      <c r="FT440" s="88">
        <v>0</v>
      </c>
      <c r="FU440" s="88">
        <v>0</v>
      </c>
      <c r="FV440" s="88">
        <v>0</v>
      </c>
      <c r="FW440" s="88">
        <v>162</v>
      </c>
      <c r="FX440" s="32">
        <v>0</v>
      </c>
      <c r="FY440" s="32">
        <v>0</v>
      </c>
      <c r="FZ440" s="32">
        <v>6</v>
      </c>
      <c r="GB440" s="46">
        <f t="shared" ref="GB440:GB473" si="37">+SUM(BG440:FZ440)</f>
        <v>7395</v>
      </c>
    </row>
    <row r="441" spans="1:184" s="22" customFormat="1" x14ac:dyDescent="0.2">
      <c r="A441" s="41">
        <v>44986</v>
      </c>
      <c r="B441" s="100">
        <f t="shared" si="35"/>
        <v>95175708.860000014</v>
      </c>
      <c r="C441" s="42">
        <v>28954.05</v>
      </c>
      <c r="D441" s="42">
        <v>304379.76</v>
      </c>
      <c r="E441" s="43">
        <f t="shared" si="29"/>
        <v>333333.81</v>
      </c>
      <c r="F441" s="42">
        <v>5978705.6400000006</v>
      </c>
      <c r="G441" s="42">
        <v>3306425.5300000003</v>
      </c>
      <c r="H441" s="32">
        <f t="shared" si="28"/>
        <v>9285131.1700000018</v>
      </c>
      <c r="I441" s="42"/>
      <c r="J441" s="42"/>
      <c r="K441" s="98">
        <v>19402066.59</v>
      </c>
      <c r="L441" s="42"/>
      <c r="M441" s="42"/>
      <c r="N441" s="98">
        <v>29406814.160000004</v>
      </c>
      <c r="O441" s="42"/>
      <c r="P441" s="42"/>
      <c r="Q441" s="98">
        <v>35354299.280000001</v>
      </c>
      <c r="R441" s="42"/>
      <c r="S441" s="42"/>
      <c r="T441" s="42">
        <v>286502.76999999996</v>
      </c>
      <c r="U441" s="42">
        <v>4033.81</v>
      </c>
      <c r="V441" s="42">
        <v>1390.8200000000002</v>
      </c>
      <c r="W441" s="42">
        <f t="shared" si="30"/>
        <v>5424.63</v>
      </c>
      <c r="X441" s="42">
        <v>20633.32</v>
      </c>
      <c r="Y441" s="42">
        <v>8076.4</v>
      </c>
      <c r="Z441" s="32">
        <f t="shared" si="31"/>
        <v>28709.72</v>
      </c>
      <c r="AA441" s="42">
        <v>46008.429999999993</v>
      </c>
      <c r="AB441" s="42">
        <v>95646.88</v>
      </c>
      <c r="AC441" s="32">
        <f t="shared" si="32"/>
        <v>141655.31</v>
      </c>
      <c r="AD441" s="42">
        <v>2079.4700000000003</v>
      </c>
      <c r="AE441" s="42">
        <v>6574.71</v>
      </c>
      <c r="AF441" s="32">
        <f t="shared" si="33"/>
        <v>8654.18</v>
      </c>
      <c r="AG441" s="32">
        <v>5165.2099999999991</v>
      </c>
      <c r="AH441" s="32">
        <v>71950.719999999987</v>
      </c>
      <c r="AI441" s="32">
        <f t="shared" si="34"/>
        <v>77115.929999999993</v>
      </c>
      <c r="AJ441" s="42"/>
      <c r="AK441" s="42"/>
      <c r="AL441" s="42">
        <v>49063.05</v>
      </c>
      <c r="AM441" s="42">
        <v>123929.77</v>
      </c>
      <c r="AN441" s="42">
        <v>25292.07</v>
      </c>
      <c r="AO441" s="42">
        <f t="shared" si="36"/>
        <v>149221.84</v>
      </c>
      <c r="AP441" s="42"/>
      <c r="AQ441" s="42"/>
      <c r="AR441" s="42">
        <v>647716.42000000004</v>
      </c>
      <c r="AS441" s="42"/>
      <c r="AT441" s="42"/>
      <c r="AU441" s="42">
        <v>1755580.4399999995</v>
      </c>
      <c r="AV441" s="42"/>
      <c r="AW441" s="42"/>
      <c r="AX441" s="42">
        <v>57220.239999999991</v>
      </c>
      <c r="AY441" s="42">
        <v>6272126.5</v>
      </c>
      <c r="AZ441" s="42">
        <v>1253840</v>
      </c>
      <c r="BA441" s="43">
        <f t="shared" si="27"/>
        <v>7525966.5</v>
      </c>
      <c r="BB441" s="42"/>
      <c r="BC441" s="42"/>
      <c r="BD441" s="42">
        <v>1645861.4666666666</v>
      </c>
      <c r="BE441" s="88">
        <v>0</v>
      </c>
      <c r="BF441" s="88">
        <v>0</v>
      </c>
      <c r="BG441" s="88">
        <v>93</v>
      </c>
      <c r="BH441" s="88">
        <v>0</v>
      </c>
      <c r="BI441" s="88">
        <v>0</v>
      </c>
      <c r="BJ441" s="88">
        <v>0</v>
      </c>
      <c r="BK441" s="88">
        <v>0</v>
      </c>
      <c r="BL441" s="88">
        <v>0</v>
      </c>
      <c r="BM441" s="88">
        <v>282</v>
      </c>
      <c r="BN441" s="88">
        <v>0</v>
      </c>
      <c r="BO441" s="88">
        <v>0</v>
      </c>
      <c r="BP441" s="88">
        <v>0</v>
      </c>
      <c r="BQ441" s="88">
        <v>0</v>
      </c>
      <c r="BR441" s="88">
        <v>0</v>
      </c>
      <c r="BS441" s="88">
        <v>436</v>
      </c>
      <c r="BT441" s="88">
        <v>0</v>
      </c>
      <c r="BU441" s="88">
        <v>0</v>
      </c>
      <c r="BV441" s="88">
        <v>0</v>
      </c>
      <c r="BW441" s="88"/>
      <c r="BX441" s="88"/>
      <c r="BY441" s="88"/>
      <c r="BZ441" s="88">
        <v>0</v>
      </c>
      <c r="CA441" s="88">
        <v>0</v>
      </c>
      <c r="CB441" s="88">
        <v>258</v>
      </c>
      <c r="CC441" s="88"/>
      <c r="CD441" s="88"/>
      <c r="CE441" s="88"/>
      <c r="CF441" s="88">
        <v>0</v>
      </c>
      <c r="CG441" s="88">
        <v>0</v>
      </c>
      <c r="CH441" s="88">
        <v>2</v>
      </c>
      <c r="CI441" s="88">
        <v>0</v>
      </c>
      <c r="CJ441" s="88">
        <v>0</v>
      </c>
      <c r="CK441" s="88">
        <v>25</v>
      </c>
      <c r="CL441" s="88">
        <v>0</v>
      </c>
      <c r="CM441" s="88">
        <v>0</v>
      </c>
      <c r="CN441" s="88">
        <v>1</v>
      </c>
      <c r="CO441" s="88">
        <v>0</v>
      </c>
      <c r="CP441" s="88">
        <v>0</v>
      </c>
      <c r="CQ441" s="88">
        <v>22</v>
      </c>
      <c r="CR441" s="88">
        <v>0</v>
      </c>
      <c r="CS441" s="88">
        <v>0</v>
      </c>
      <c r="CT441" s="88">
        <v>0</v>
      </c>
      <c r="CU441" s="88">
        <v>0</v>
      </c>
      <c r="CV441" s="88">
        <v>0</v>
      </c>
      <c r="CW441" s="88">
        <v>300</v>
      </c>
      <c r="CX441" s="88">
        <v>0</v>
      </c>
      <c r="CY441" s="88">
        <v>0</v>
      </c>
      <c r="CZ441" s="88">
        <v>0</v>
      </c>
      <c r="DA441" s="88">
        <v>0</v>
      </c>
      <c r="DB441" s="88">
        <v>0</v>
      </c>
      <c r="DC441" s="88">
        <v>0</v>
      </c>
      <c r="DD441" s="88">
        <v>0</v>
      </c>
      <c r="DE441" s="88">
        <v>0</v>
      </c>
      <c r="DF441" s="88">
        <v>0</v>
      </c>
      <c r="DG441" s="88">
        <v>0</v>
      </c>
      <c r="DH441" s="88">
        <v>0</v>
      </c>
      <c r="DI441" s="88">
        <v>2</v>
      </c>
      <c r="DJ441" s="88">
        <v>0</v>
      </c>
      <c r="DK441" s="88">
        <v>0</v>
      </c>
      <c r="DL441" s="88">
        <v>0</v>
      </c>
      <c r="DM441" s="88">
        <v>0</v>
      </c>
      <c r="DN441" s="88">
        <v>0</v>
      </c>
      <c r="DO441" s="88">
        <v>0</v>
      </c>
      <c r="DP441" s="88">
        <v>0</v>
      </c>
      <c r="DQ441" s="88">
        <v>0</v>
      </c>
      <c r="DR441" s="87">
        <v>42</v>
      </c>
      <c r="DS441" s="87">
        <v>0</v>
      </c>
      <c r="DT441" s="87">
        <v>0</v>
      </c>
      <c r="DU441" s="87">
        <v>49</v>
      </c>
      <c r="DV441" s="87">
        <v>0</v>
      </c>
      <c r="DW441" s="87">
        <v>0</v>
      </c>
      <c r="DX441" s="87">
        <v>0</v>
      </c>
      <c r="DY441" s="88">
        <v>0</v>
      </c>
      <c r="DZ441" s="88">
        <v>0</v>
      </c>
      <c r="EA441" s="88">
        <v>1571</v>
      </c>
      <c r="EB441" s="88">
        <v>0</v>
      </c>
      <c r="EC441" s="88">
        <v>0</v>
      </c>
      <c r="ED441" s="88">
        <v>5</v>
      </c>
      <c r="EE441" s="88">
        <v>0</v>
      </c>
      <c r="EF441" s="88">
        <v>0</v>
      </c>
      <c r="EG441" s="88">
        <v>1153</v>
      </c>
      <c r="EH441" s="88">
        <v>0</v>
      </c>
      <c r="EI441" s="88">
        <v>0</v>
      </c>
      <c r="EJ441" s="88">
        <v>121</v>
      </c>
      <c r="EK441" s="88">
        <v>0</v>
      </c>
      <c r="EL441" s="88">
        <v>0</v>
      </c>
      <c r="EM441" s="88">
        <v>619</v>
      </c>
      <c r="EN441" s="88">
        <v>0</v>
      </c>
      <c r="EO441" s="88">
        <v>0</v>
      </c>
      <c r="EP441" s="88">
        <v>174</v>
      </c>
      <c r="EQ441" s="88">
        <v>0</v>
      </c>
      <c r="ER441" s="88">
        <v>0</v>
      </c>
      <c r="ES441" s="88">
        <v>27</v>
      </c>
      <c r="ET441" s="88">
        <v>0</v>
      </c>
      <c r="EU441" s="88">
        <v>0</v>
      </c>
      <c r="EV441" s="88">
        <v>9</v>
      </c>
      <c r="EW441" s="88">
        <v>0</v>
      </c>
      <c r="EX441" s="88">
        <v>0</v>
      </c>
      <c r="EY441" s="88">
        <v>8</v>
      </c>
      <c r="EZ441" s="88">
        <v>0</v>
      </c>
      <c r="FA441" s="88">
        <v>0</v>
      </c>
      <c r="FB441" s="88">
        <v>3</v>
      </c>
      <c r="FC441" s="88">
        <v>0</v>
      </c>
      <c r="FD441" s="88">
        <v>0</v>
      </c>
      <c r="FE441" s="88">
        <v>4</v>
      </c>
      <c r="FF441" s="88">
        <v>0</v>
      </c>
      <c r="FG441" s="88">
        <v>0</v>
      </c>
      <c r="FH441" s="88">
        <v>0</v>
      </c>
      <c r="FI441" s="88">
        <v>0</v>
      </c>
      <c r="FJ441" s="88">
        <v>0</v>
      </c>
      <c r="FK441" s="32">
        <v>19</v>
      </c>
      <c r="FL441" s="88">
        <v>0</v>
      </c>
      <c r="FM441" s="88">
        <v>0</v>
      </c>
      <c r="FN441" s="88">
        <v>4906</v>
      </c>
      <c r="FO441" s="88">
        <v>0</v>
      </c>
      <c r="FP441" s="88">
        <v>0</v>
      </c>
      <c r="FQ441" s="88">
        <v>634</v>
      </c>
      <c r="FR441" s="88">
        <v>0</v>
      </c>
      <c r="FS441" s="88">
        <v>0</v>
      </c>
      <c r="FT441" s="88">
        <v>0</v>
      </c>
      <c r="FU441" s="88">
        <v>0</v>
      </c>
      <c r="FV441" s="88">
        <v>0</v>
      </c>
      <c r="FW441" s="88">
        <v>116</v>
      </c>
      <c r="FX441" s="32">
        <v>0</v>
      </c>
      <c r="FY441" s="32">
        <v>0</v>
      </c>
      <c r="FZ441" s="32">
        <v>61</v>
      </c>
      <c r="GB441" s="46">
        <f t="shared" si="37"/>
        <v>10942</v>
      </c>
    </row>
    <row r="442" spans="1:184" s="22" customFormat="1" x14ac:dyDescent="0.2">
      <c r="A442" s="41">
        <v>45017</v>
      </c>
      <c r="B442" s="100">
        <f t="shared" si="35"/>
        <v>68624094.659999996</v>
      </c>
      <c r="C442" s="42">
        <v>12920.63</v>
      </c>
      <c r="D442" s="42">
        <v>246930.49000000002</v>
      </c>
      <c r="E442" s="43">
        <f t="shared" si="29"/>
        <v>259851.12000000002</v>
      </c>
      <c r="F442" s="42">
        <v>3904273.2800000003</v>
      </c>
      <c r="G442" s="42">
        <v>1981502.44</v>
      </c>
      <c r="H442" s="32">
        <f t="shared" si="28"/>
        <v>5885775.7200000007</v>
      </c>
      <c r="I442" s="42"/>
      <c r="J442" s="42"/>
      <c r="K442" s="98">
        <v>13602645.649999999</v>
      </c>
      <c r="L442" s="42"/>
      <c r="M442" s="42"/>
      <c r="N442" s="98">
        <v>22650305.199999999</v>
      </c>
      <c r="O442" s="42"/>
      <c r="P442" s="42"/>
      <c r="Q442" s="98">
        <v>25205444.129999995</v>
      </c>
      <c r="R442" s="42"/>
      <c r="S442" s="42"/>
      <c r="T442" s="42">
        <v>148345.29</v>
      </c>
      <c r="U442" s="42">
        <v>2283.5699999999997</v>
      </c>
      <c r="V442" s="42">
        <v>683.25</v>
      </c>
      <c r="W442" s="42">
        <f t="shared" si="30"/>
        <v>2966.8199999999997</v>
      </c>
      <c r="X442" s="42">
        <v>17932</v>
      </c>
      <c r="Y442" s="42">
        <v>4817.29</v>
      </c>
      <c r="Z442" s="32">
        <f t="shared" si="31"/>
        <v>22749.29</v>
      </c>
      <c r="AA442" s="42">
        <v>98965.26</v>
      </c>
      <c r="AB442" s="42">
        <v>93868.04</v>
      </c>
      <c r="AC442" s="32">
        <f t="shared" si="32"/>
        <v>192833.3</v>
      </c>
      <c r="AD442" s="42">
        <v>795.96</v>
      </c>
      <c r="AE442" s="42">
        <v>4982.92</v>
      </c>
      <c r="AF442" s="32">
        <f t="shared" si="33"/>
        <v>5778.88</v>
      </c>
      <c r="AG442" s="32">
        <v>7161.97</v>
      </c>
      <c r="AH442" s="32">
        <v>67553.33</v>
      </c>
      <c r="AI442" s="32">
        <f t="shared" si="34"/>
        <v>74715.3</v>
      </c>
      <c r="AJ442" s="42"/>
      <c r="AK442" s="42"/>
      <c r="AL442" s="42">
        <v>34308.9</v>
      </c>
      <c r="AM442" s="42">
        <v>115285.49</v>
      </c>
      <c r="AN442" s="42">
        <v>29134.090000000004</v>
      </c>
      <c r="AO442" s="42">
        <f t="shared" si="36"/>
        <v>144419.58000000002</v>
      </c>
      <c r="AP442" s="42"/>
      <c r="AQ442" s="42"/>
      <c r="AR442" s="42">
        <v>393955.47999999992</v>
      </c>
      <c r="AS442" s="42"/>
      <c r="AT442" s="42"/>
      <c r="AU442" s="42">
        <v>1192295.3299999998</v>
      </c>
      <c r="AV442" s="42"/>
      <c r="AW442" s="42"/>
      <c r="AX442" s="42">
        <v>70422.310000000012</v>
      </c>
      <c r="AY442" s="42">
        <v>3971698.3</v>
      </c>
      <c r="AZ442" s="42">
        <v>1475870</v>
      </c>
      <c r="BA442" s="43">
        <f t="shared" si="27"/>
        <v>5447568.2999999998</v>
      </c>
      <c r="BB442" s="42"/>
      <c r="BC442" s="42"/>
      <c r="BD442" s="42">
        <v>1042556.5555555555</v>
      </c>
      <c r="BE442" s="88">
        <v>0</v>
      </c>
      <c r="BF442" s="88">
        <v>0</v>
      </c>
      <c r="BG442" s="88">
        <v>58</v>
      </c>
      <c r="BH442" s="88">
        <v>0</v>
      </c>
      <c r="BI442" s="88">
        <v>0</v>
      </c>
      <c r="BJ442" s="88">
        <v>0</v>
      </c>
      <c r="BK442" s="88">
        <v>0</v>
      </c>
      <c r="BL442" s="88">
        <v>0</v>
      </c>
      <c r="BM442" s="88">
        <v>156</v>
      </c>
      <c r="BN442" s="88">
        <v>0</v>
      </c>
      <c r="BO442" s="88">
        <v>0</v>
      </c>
      <c r="BP442" s="88">
        <v>0</v>
      </c>
      <c r="BQ442" s="88">
        <v>0</v>
      </c>
      <c r="BR442" s="88">
        <v>0</v>
      </c>
      <c r="BS442" s="88">
        <v>235</v>
      </c>
      <c r="BT442" s="88">
        <v>0</v>
      </c>
      <c r="BU442" s="88">
        <v>0</v>
      </c>
      <c r="BV442" s="88">
        <v>0</v>
      </c>
      <c r="BW442" s="88"/>
      <c r="BX442" s="88"/>
      <c r="BY442" s="88"/>
      <c r="BZ442" s="88">
        <v>0</v>
      </c>
      <c r="CA442" s="88">
        <v>0</v>
      </c>
      <c r="CB442" s="88">
        <v>335</v>
      </c>
      <c r="CC442" s="88"/>
      <c r="CD442" s="88"/>
      <c r="CE442" s="88"/>
      <c r="CF442" s="88">
        <v>0</v>
      </c>
      <c r="CG442" s="88">
        <v>0</v>
      </c>
      <c r="CH442" s="88">
        <v>0</v>
      </c>
      <c r="CI442" s="88">
        <v>0</v>
      </c>
      <c r="CJ442" s="88">
        <v>0</v>
      </c>
      <c r="CK442" s="88">
        <v>31</v>
      </c>
      <c r="CL442" s="88">
        <v>0</v>
      </c>
      <c r="CM442" s="88">
        <v>0</v>
      </c>
      <c r="CN442" s="88">
        <v>0</v>
      </c>
      <c r="CO442" s="88">
        <v>0</v>
      </c>
      <c r="CP442" s="88">
        <v>0</v>
      </c>
      <c r="CQ442" s="88">
        <v>1</v>
      </c>
      <c r="CR442" s="88">
        <v>0</v>
      </c>
      <c r="CS442" s="88">
        <v>0</v>
      </c>
      <c r="CT442" s="88">
        <v>0</v>
      </c>
      <c r="CU442" s="88">
        <v>0</v>
      </c>
      <c r="CV442" s="88">
        <v>0</v>
      </c>
      <c r="CW442" s="88">
        <v>74</v>
      </c>
      <c r="CX442" s="88">
        <v>0</v>
      </c>
      <c r="CY442" s="88">
        <v>0</v>
      </c>
      <c r="CZ442" s="88">
        <v>1</v>
      </c>
      <c r="DA442" s="88">
        <v>0</v>
      </c>
      <c r="DB442" s="88">
        <v>0</v>
      </c>
      <c r="DC442" s="88">
        <v>0</v>
      </c>
      <c r="DD442" s="88">
        <v>0</v>
      </c>
      <c r="DE442" s="88">
        <v>0</v>
      </c>
      <c r="DF442" s="88">
        <v>0</v>
      </c>
      <c r="DG442" s="88">
        <v>0</v>
      </c>
      <c r="DH442" s="88">
        <v>0</v>
      </c>
      <c r="DI442" s="88">
        <v>9</v>
      </c>
      <c r="DJ442" s="88">
        <v>0</v>
      </c>
      <c r="DK442" s="88">
        <v>0</v>
      </c>
      <c r="DL442" s="88">
        <v>0</v>
      </c>
      <c r="DM442" s="88">
        <v>0</v>
      </c>
      <c r="DN442" s="88">
        <v>0</v>
      </c>
      <c r="DO442" s="88">
        <v>0</v>
      </c>
      <c r="DP442" s="88">
        <v>0</v>
      </c>
      <c r="DQ442" s="88">
        <v>0</v>
      </c>
      <c r="DR442" s="87">
        <v>66</v>
      </c>
      <c r="DS442" s="87">
        <v>0</v>
      </c>
      <c r="DT442" s="87">
        <v>0</v>
      </c>
      <c r="DU442" s="87">
        <v>20</v>
      </c>
      <c r="DV442" s="87">
        <v>0</v>
      </c>
      <c r="DW442" s="87">
        <v>0</v>
      </c>
      <c r="DX442" s="87">
        <v>0</v>
      </c>
      <c r="DY442" s="88">
        <v>0</v>
      </c>
      <c r="DZ442" s="88">
        <v>0</v>
      </c>
      <c r="EA442" s="88">
        <v>1236</v>
      </c>
      <c r="EB442" s="88">
        <v>0</v>
      </c>
      <c r="EC442" s="88">
        <v>0</v>
      </c>
      <c r="ED442" s="88">
        <v>5</v>
      </c>
      <c r="EE442" s="88">
        <v>0</v>
      </c>
      <c r="EF442" s="88">
        <v>0</v>
      </c>
      <c r="EG442" s="88">
        <v>741</v>
      </c>
      <c r="EH442" s="88">
        <v>0</v>
      </c>
      <c r="EI442" s="88">
        <v>0</v>
      </c>
      <c r="EJ442" s="88">
        <v>63</v>
      </c>
      <c r="EK442" s="88">
        <v>0</v>
      </c>
      <c r="EL442" s="88">
        <v>0</v>
      </c>
      <c r="EM442" s="88">
        <v>306</v>
      </c>
      <c r="EN442" s="88">
        <v>0</v>
      </c>
      <c r="EO442" s="88">
        <v>0</v>
      </c>
      <c r="EP442" s="88">
        <v>110</v>
      </c>
      <c r="EQ442" s="88">
        <v>0</v>
      </c>
      <c r="ER442" s="88">
        <v>0</v>
      </c>
      <c r="ES442" s="88">
        <v>9</v>
      </c>
      <c r="ET442" s="88">
        <v>0</v>
      </c>
      <c r="EU442" s="88">
        <v>0</v>
      </c>
      <c r="EV442" s="88">
        <v>27</v>
      </c>
      <c r="EW442" s="88">
        <v>0</v>
      </c>
      <c r="EX442" s="88">
        <v>0</v>
      </c>
      <c r="EY442" s="88">
        <v>2</v>
      </c>
      <c r="EZ442" s="88">
        <v>0</v>
      </c>
      <c r="FA442" s="88">
        <v>0</v>
      </c>
      <c r="FB442" s="88">
        <v>2</v>
      </c>
      <c r="FC442" s="88">
        <v>0</v>
      </c>
      <c r="FD442" s="88">
        <v>0</v>
      </c>
      <c r="FE442" s="88">
        <v>5</v>
      </c>
      <c r="FF442" s="88">
        <v>0</v>
      </c>
      <c r="FG442" s="88">
        <v>0</v>
      </c>
      <c r="FH442" s="88">
        <v>0</v>
      </c>
      <c r="FI442" s="88">
        <v>0</v>
      </c>
      <c r="FJ442" s="88">
        <v>0</v>
      </c>
      <c r="FK442" s="32">
        <v>18</v>
      </c>
      <c r="FL442" s="88">
        <v>0</v>
      </c>
      <c r="FM442" s="88">
        <v>0</v>
      </c>
      <c r="FN442" s="88">
        <v>3503</v>
      </c>
      <c r="FO442" s="88">
        <v>0</v>
      </c>
      <c r="FP442" s="88">
        <v>0</v>
      </c>
      <c r="FQ442" s="88">
        <v>531</v>
      </c>
      <c r="FR442" s="88">
        <v>0</v>
      </c>
      <c r="FS442" s="88">
        <v>0</v>
      </c>
      <c r="FT442" s="88">
        <v>0</v>
      </c>
      <c r="FU442" s="88">
        <v>0</v>
      </c>
      <c r="FV442" s="88">
        <v>0</v>
      </c>
      <c r="FW442" s="88">
        <v>141</v>
      </c>
      <c r="FX442" s="32">
        <v>0</v>
      </c>
      <c r="FY442" s="32">
        <v>0</v>
      </c>
      <c r="FZ442" s="32">
        <v>54</v>
      </c>
      <c r="GB442" s="46">
        <f t="shared" si="37"/>
        <v>7739</v>
      </c>
    </row>
    <row r="443" spans="1:184" s="22" customFormat="1" x14ac:dyDescent="0.2">
      <c r="A443" s="41">
        <v>45047</v>
      </c>
      <c r="B443" s="100">
        <f t="shared" si="35"/>
        <v>96479974.689999983</v>
      </c>
      <c r="C443" s="42">
        <v>28986.67</v>
      </c>
      <c r="D443" s="42">
        <v>308474.57</v>
      </c>
      <c r="E443" s="43">
        <f t="shared" si="29"/>
        <v>337461.24</v>
      </c>
      <c r="F443" s="42">
        <v>2808325.56</v>
      </c>
      <c r="G443" s="42">
        <v>1706088.3000000005</v>
      </c>
      <c r="H443" s="32">
        <f t="shared" si="28"/>
        <v>4514413.8600000003</v>
      </c>
      <c r="I443" s="42"/>
      <c r="J443" s="42"/>
      <c r="K443" s="98">
        <v>15278142.15</v>
      </c>
      <c r="L443" s="42"/>
      <c r="M443" s="42"/>
      <c r="N443" s="98">
        <v>21504074.449999996</v>
      </c>
      <c r="O443" s="42"/>
      <c r="P443" s="42"/>
      <c r="Q443" s="98">
        <v>53968228.519999996</v>
      </c>
      <c r="R443" s="42"/>
      <c r="S443" s="42"/>
      <c r="T443" s="42">
        <v>124492.25</v>
      </c>
      <c r="U443" s="42">
        <v>2452.25</v>
      </c>
      <c r="V443" s="42">
        <v>2106.34</v>
      </c>
      <c r="W443" s="42">
        <f t="shared" si="30"/>
        <v>4558.59</v>
      </c>
      <c r="X443" s="42">
        <v>41073</v>
      </c>
      <c r="Y443" s="42">
        <v>16035.3</v>
      </c>
      <c r="Z443" s="32">
        <f t="shared" si="31"/>
        <v>57108.3</v>
      </c>
      <c r="AA443" s="42">
        <v>67700.209999999992</v>
      </c>
      <c r="AB443" s="42">
        <v>108244.59</v>
      </c>
      <c r="AC443" s="32">
        <f t="shared" si="32"/>
        <v>175944.8</v>
      </c>
      <c r="AD443" s="42">
        <v>977.43000000000006</v>
      </c>
      <c r="AE443" s="42">
        <v>8645.48</v>
      </c>
      <c r="AF443" s="32">
        <f t="shared" si="33"/>
        <v>9622.91</v>
      </c>
      <c r="AG443" s="32">
        <v>4637.1099999999997</v>
      </c>
      <c r="AH443" s="32">
        <v>65252.990000000005</v>
      </c>
      <c r="AI443" s="32">
        <f t="shared" si="34"/>
        <v>69890.100000000006</v>
      </c>
      <c r="AJ443" s="42"/>
      <c r="AK443" s="42"/>
      <c r="AL443" s="42">
        <v>23501.84</v>
      </c>
      <c r="AM443" s="42">
        <v>33213.660000000003</v>
      </c>
      <c r="AN443" s="42">
        <v>17901.64</v>
      </c>
      <c r="AO443" s="42">
        <f t="shared" si="36"/>
        <v>51115.3</v>
      </c>
      <c r="AP443" s="42"/>
      <c r="AQ443" s="42"/>
      <c r="AR443" s="42">
        <v>361420.38</v>
      </c>
      <c r="AS443" s="42"/>
      <c r="AT443" s="42"/>
      <c r="AU443" s="42">
        <v>1804628.59</v>
      </c>
      <c r="AV443" s="42"/>
      <c r="AW443" s="42"/>
      <c r="AX443" s="42">
        <v>59902.310000000005</v>
      </c>
      <c r="AY443" s="42">
        <v>5426307.4000000004</v>
      </c>
      <c r="AZ443" s="42">
        <v>511994.5</v>
      </c>
      <c r="BA443" s="43">
        <f t="shared" ref="BA443:BA477" si="38">+AZ443+AY443</f>
        <v>5938301.9000000004</v>
      </c>
      <c r="BB443" s="42"/>
      <c r="BC443" s="42"/>
      <c r="BD443" s="42">
        <v>1519142.0222222223</v>
      </c>
      <c r="BE443" s="88">
        <v>0</v>
      </c>
      <c r="BF443" s="88">
        <v>0</v>
      </c>
      <c r="BG443" s="88">
        <v>81</v>
      </c>
      <c r="BH443" s="88">
        <v>0</v>
      </c>
      <c r="BI443" s="88">
        <v>0</v>
      </c>
      <c r="BJ443" s="88">
        <v>2</v>
      </c>
      <c r="BK443" s="88">
        <v>0</v>
      </c>
      <c r="BL443" s="88">
        <v>0</v>
      </c>
      <c r="BM443" s="88">
        <v>309</v>
      </c>
      <c r="BN443" s="88">
        <v>0</v>
      </c>
      <c r="BO443" s="88">
        <v>0</v>
      </c>
      <c r="BP443" s="88">
        <v>0</v>
      </c>
      <c r="BQ443" s="88">
        <v>0</v>
      </c>
      <c r="BR443" s="88">
        <v>0</v>
      </c>
      <c r="BS443" s="88">
        <v>593</v>
      </c>
      <c r="BT443" s="88">
        <v>0</v>
      </c>
      <c r="BU443" s="88">
        <v>0</v>
      </c>
      <c r="BV443" s="88">
        <v>0</v>
      </c>
      <c r="BW443" s="88"/>
      <c r="BX443" s="88"/>
      <c r="BY443" s="88"/>
      <c r="BZ443" s="88">
        <v>0</v>
      </c>
      <c r="CA443" s="88">
        <v>0</v>
      </c>
      <c r="CB443" s="88">
        <v>349</v>
      </c>
      <c r="CC443" s="88"/>
      <c r="CD443" s="88"/>
      <c r="CE443" s="88"/>
      <c r="CF443" s="88">
        <v>0</v>
      </c>
      <c r="CG443" s="88">
        <v>0</v>
      </c>
      <c r="CH443" s="88">
        <v>4</v>
      </c>
      <c r="CI443" s="88">
        <v>0</v>
      </c>
      <c r="CJ443" s="88">
        <v>0</v>
      </c>
      <c r="CK443" s="88">
        <v>19</v>
      </c>
      <c r="CL443" s="88">
        <v>0</v>
      </c>
      <c r="CM443" s="88">
        <v>0</v>
      </c>
      <c r="CN443" s="88">
        <v>0</v>
      </c>
      <c r="CO443" s="88">
        <v>0</v>
      </c>
      <c r="CP443" s="88">
        <v>0</v>
      </c>
      <c r="CQ443" s="88">
        <v>19</v>
      </c>
      <c r="CR443" s="88">
        <v>0</v>
      </c>
      <c r="CS443" s="88">
        <v>0</v>
      </c>
      <c r="CT443" s="88">
        <v>0</v>
      </c>
      <c r="CU443" s="88">
        <v>0</v>
      </c>
      <c r="CV443" s="88">
        <v>0</v>
      </c>
      <c r="CW443" s="88">
        <v>293</v>
      </c>
      <c r="CX443" s="88">
        <v>0</v>
      </c>
      <c r="CY443" s="88">
        <v>0</v>
      </c>
      <c r="CZ443" s="88">
        <v>0</v>
      </c>
      <c r="DA443" s="88">
        <v>0</v>
      </c>
      <c r="DB443" s="88">
        <v>0</v>
      </c>
      <c r="DC443" s="88">
        <v>0</v>
      </c>
      <c r="DD443" s="88">
        <v>0</v>
      </c>
      <c r="DE443" s="88">
        <v>0</v>
      </c>
      <c r="DF443" s="88">
        <v>0</v>
      </c>
      <c r="DG443" s="88">
        <v>0</v>
      </c>
      <c r="DH443" s="88">
        <v>0</v>
      </c>
      <c r="DI443" s="88">
        <v>4</v>
      </c>
      <c r="DJ443" s="88">
        <v>0</v>
      </c>
      <c r="DK443" s="88">
        <v>0</v>
      </c>
      <c r="DL443" s="88">
        <v>0</v>
      </c>
      <c r="DM443" s="88">
        <v>0</v>
      </c>
      <c r="DN443" s="88">
        <v>0</v>
      </c>
      <c r="DO443" s="88">
        <v>0</v>
      </c>
      <c r="DP443" s="88">
        <v>0</v>
      </c>
      <c r="DQ443" s="88">
        <v>0</v>
      </c>
      <c r="DR443" s="87">
        <v>25</v>
      </c>
      <c r="DS443" s="87">
        <v>0</v>
      </c>
      <c r="DT443" s="87">
        <v>0</v>
      </c>
      <c r="DU443" s="87">
        <v>50</v>
      </c>
      <c r="DV443" s="87">
        <v>0</v>
      </c>
      <c r="DW443" s="87">
        <v>0</v>
      </c>
      <c r="DX443" s="87">
        <v>0</v>
      </c>
      <c r="DY443" s="88">
        <v>0</v>
      </c>
      <c r="DZ443" s="88">
        <v>0</v>
      </c>
      <c r="EA443" s="88">
        <v>1173</v>
      </c>
      <c r="EB443" s="88">
        <v>0</v>
      </c>
      <c r="EC443" s="88">
        <v>0</v>
      </c>
      <c r="ED443" s="88">
        <v>0</v>
      </c>
      <c r="EE443" s="88">
        <v>0</v>
      </c>
      <c r="EF443" s="88">
        <v>0</v>
      </c>
      <c r="EG443" s="88">
        <v>733</v>
      </c>
      <c r="EH443" s="88">
        <v>0</v>
      </c>
      <c r="EI443" s="88">
        <v>0</v>
      </c>
      <c r="EJ443" s="88">
        <v>40</v>
      </c>
      <c r="EK443" s="88">
        <v>0</v>
      </c>
      <c r="EL443" s="88">
        <v>0</v>
      </c>
      <c r="EM443" s="88">
        <v>469</v>
      </c>
      <c r="EN443" s="88">
        <v>0</v>
      </c>
      <c r="EO443" s="88">
        <v>0</v>
      </c>
      <c r="EP443" s="88">
        <v>110</v>
      </c>
      <c r="EQ443" s="88">
        <v>0</v>
      </c>
      <c r="ER443" s="88">
        <v>0</v>
      </c>
      <c r="ES443" s="88">
        <v>15</v>
      </c>
      <c r="ET443" s="88">
        <v>0</v>
      </c>
      <c r="EU443" s="88">
        <v>0</v>
      </c>
      <c r="EV443" s="88">
        <v>30</v>
      </c>
      <c r="EW443" s="88">
        <v>0</v>
      </c>
      <c r="EX443" s="88">
        <v>0</v>
      </c>
      <c r="EY443" s="88">
        <v>3</v>
      </c>
      <c r="EZ443" s="88">
        <v>0</v>
      </c>
      <c r="FA443" s="88">
        <v>0</v>
      </c>
      <c r="FB443" s="88">
        <v>0</v>
      </c>
      <c r="FC443" s="88">
        <v>0</v>
      </c>
      <c r="FD443" s="88">
        <v>0</v>
      </c>
      <c r="FE443" s="88">
        <v>4</v>
      </c>
      <c r="FF443" s="88">
        <v>0</v>
      </c>
      <c r="FG443" s="88">
        <v>0</v>
      </c>
      <c r="FH443" s="88">
        <v>0</v>
      </c>
      <c r="FI443" s="88">
        <v>0</v>
      </c>
      <c r="FJ443" s="88">
        <v>0</v>
      </c>
      <c r="FK443" s="32">
        <v>23</v>
      </c>
      <c r="FL443" s="88">
        <v>0</v>
      </c>
      <c r="FM443" s="88">
        <v>0</v>
      </c>
      <c r="FN443" s="88">
        <v>3624</v>
      </c>
      <c r="FO443" s="88">
        <v>0</v>
      </c>
      <c r="FP443" s="88">
        <v>0</v>
      </c>
      <c r="FQ443" s="88">
        <v>805</v>
      </c>
      <c r="FR443" s="88">
        <v>0</v>
      </c>
      <c r="FS443" s="88">
        <v>0</v>
      </c>
      <c r="FT443" s="88">
        <v>0</v>
      </c>
      <c r="FU443" s="88">
        <v>0</v>
      </c>
      <c r="FV443" s="88">
        <v>0</v>
      </c>
      <c r="FW443" s="88">
        <v>92</v>
      </c>
      <c r="FX443" s="32">
        <v>0</v>
      </c>
      <c r="FY443" s="32">
        <v>0</v>
      </c>
      <c r="FZ443" s="32">
        <v>47</v>
      </c>
      <c r="GB443" s="46">
        <f t="shared" si="37"/>
        <v>8916</v>
      </c>
    </row>
    <row r="444" spans="1:184" s="22" customFormat="1" x14ac:dyDescent="0.2">
      <c r="A444" s="41">
        <v>45078</v>
      </c>
      <c r="B444" s="100">
        <f t="shared" si="35"/>
        <v>90451974.549999982</v>
      </c>
      <c r="C444" s="42">
        <v>42662.33</v>
      </c>
      <c r="D444" s="42">
        <v>298527.2</v>
      </c>
      <c r="E444" s="43">
        <f t="shared" si="29"/>
        <v>341189.53</v>
      </c>
      <c r="F444" s="42">
        <v>1853686.77</v>
      </c>
      <c r="G444" s="42">
        <v>1656189.3999999997</v>
      </c>
      <c r="H444" s="32">
        <f t="shared" si="28"/>
        <v>3509876.17</v>
      </c>
      <c r="I444" s="42"/>
      <c r="J444" s="42"/>
      <c r="K444" s="98">
        <v>10752285.699999999</v>
      </c>
      <c r="L444" s="42"/>
      <c r="M444" s="42"/>
      <c r="N444" s="98">
        <v>19811258.610000007</v>
      </c>
      <c r="O444" s="42"/>
      <c r="P444" s="42"/>
      <c r="Q444" s="98">
        <v>55310618.43</v>
      </c>
      <c r="R444" s="42"/>
      <c r="S444" s="42"/>
      <c r="T444" s="42">
        <v>47292.490000000005</v>
      </c>
      <c r="U444" s="42">
        <v>2175.11</v>
      </c>
      <c r="V444" s="42">
        <v>1508.08</v>
      </c>
      <c r="W444" s="42">
        <f t="shared" si="30"/>
        <v>3683.19</v>
      </c>
      <c r="X444" s="42">
        <v>16340.4</v>
      </c>
      <c r="Y444" s="42">
        <v>10989.66</v>
      </c>
      <c r="Z444" s="32">
        <f t="shared" si="31"/>
        <v>27330.059999999998</v>
      </c>
      <c r="AA444" s="42">
        <v>102719.62</v>
      </c>
      <c r="AB444" s="42">
        <v>102228.15</v>
      </c>
      <c r="AC444" s="32">
        <f t="shared" si="32"/>
        <v>204947.77</v>
      </c>
      <c r="AD444" s="42">
        <v>1713.63</v>
      </c>
      <c r="AE444" s="42">
        <v>6725.07</v>
      </c>
      <c r="AF444" s="32">
        <f t="shared" si="33"/>
        <v>8438.7000000000007</v>
      </c>
      <c r="AG444" s="32">
        <v>5534.13</v>
      </c>
      <c r="AH444" s="32">
        <v>65760.109999999986</v>
      </c>
      <c r="AI444" s="32">
        <f t="shared" si="34"/>
        <v>71294.239999999991</v>
      </c>
      <c r="AJ444" s="42"/>
      <c r="AK444" s="42"/>
      <c r="AL444" s="42">
        <v>26994.6</v>
      </c>
      <c r="AM444" s="42">
        <v>1466.75</v>
      </c>
      <c r="AN444" s="42">
        <v>15187.560000000001</v>
      </c>
      <c r="AO444" s="42">
        <f t="shared" si="36"/>
        <v>16654.310000000001</v>
      </c>
      <c r="AP444" s="42"/>
      <c r="AQ444" s="42"/>
      <c r="AR444" s="42">
        <v>320110.75</v>
      </c>
      <c r="AS444" s="42"/>
      <c r="AT444" s="42"/>
      <c r="AU444" s="42">
        <v>1763629.0099999993</v>
      </c>
      <c r="AV444" s="42"/>
      <c r="AW444" s="42"/>
      <c r="AX444" s="42">
        <v>42880.959999999999</v>
      </c>
      <c r="AY444" s="42">
        <v>5321577.3</v>
      </c>
      <c r="AZ444" s="42">
        <v>933225.5</v>
      </c>
      <c r="BA444" s="43">
        <f t="shared" si="38"/>
        <v>6254802.7999999998</v>
      </c>
      <c r="BB444" s="42"/>
      <c r="BC444" s="42"/>
      <c r="BD444" s="42">
        <v>1471679.4000000001</v>
      </c>
      <c r="BE444" s="88">
        <v>0</v>
      </c>
      <c r="BF444" s="88">
        <v>0</v>
      </c>
      <c r="BG444" s="88">
        <v>69</v>
      </c>
      <c r="BH444" s="88">
        <v>0</v>
      </c>
      <c r="BI444" s="88">
        <v>0</v>
      </c>
      <c r="BJ444" s="88">
        <v>1</v>
      </c>
      <c r="BK444" s="88">
        <v>0</v>
      </c>
      <c r="BL444" s="88">
        <v>0</v>
      </c>
      <c r="BM444" s="88">
        <v>318</v>
      </c>
      <c r="BN444" s="88">
        <v>0</v>
      </c>
      <c r="BO444" s="88">
        <v>0</v>
      </c>
      <c r="BP444" s="88">
        <v>1</v>
      </c>
      <c r="BQ444" s="88">
        <v>0</v>
      </c>
      <c r="BR444" s="88">
        <v>0</v>
      </c>
      <c r="BS444" s="88">
        <v>594</v>
      </c>
      <c r="BT444" s="88">
        <v>0</v>
      </c>
      <c r="BU444" s="88">
        <v>0</v>
      </c>
      <c r="BV444" s="88">
        <v>0</v>
      </c>
      <c r="BW444" s="88"/>
      <c r="BX444" s="88"/>
      <c r="BY444" s="88"/>
      <c r="BZ444" s="88">
        <v>0</v>
      </c>
      <c r="CA444" s="88">
        <v>0</v>
      </c>
      <c r="CB444" s="88">
        <v>417</v>
      </c>
      <c r="CC444" s="88"/>
      <c r="CD444" s="88"/>
      <c r="CE444" s="88"/>
      <c r="CF444" s="88">
        <v>0</v>
      </c>
      <c r="CG444" s="88">
        <v>0</v>
      </c>
      <c r="CH444" s="88">
        <v>1</v>
      </c>
      <c r="CI444" s="88">
        <v>0</v>
      </c>
      <c r="CJ444" s="88">
        <v>0</v>
      </c>
      <c r="CK444" s="88">
        <v>32</v>
      </c>
      <c r="CL444" s="88">
        <v>0</v>
      </c>
      <c r="CM444" s="88">
        <v>0</v>
      </c>
      <c r="CN444" s="88">
        <v>0</v>
      </c>
      <c r="CO444" s="88">
        <v>0</v>
      </c>
      <c r="CP444" s="88">
        <v>0</v>
      </c>
      <c r="CQ444" s="88">
        <v>3</v>
      </c>
      <c r="CR444" s="88">
        <v>0</v>
      </c>
      <c r="CS444" s="88">
        <v>0</v>
      </c>
      <c r="CT444" s="88">
        <v>0</v>
      </c>
      <c r="CU444" s="88">
        <v>0</v>
      </c>
      <c r="CV444" s="88">
        <v>0</v>
      </c>
      <c r="CW444" s="88">
        <v>266</v>
      </c>
      <c r="CX444" s="88">
        <v>0</v>
      </c>
      <c r="CY444" s="88">
        <v>0</v>
      </c>
      <c r="CZ444" s="88">
        <v>0</v>
      </c>
      <c r="DA444" s="88">
        <v>0</v>
      </c>
      <c r="DB444" s="88">
        <v>0</v>
      </c>
      <c r="DC444" s="88">
        <v>1</v>
      </c>
      <c r="DD444" s="88">
        <v>0</v>
      </c>
      <c r="DE444" s="88">
        <v>0</v>
      </c>
      <c r="DF444" s="88">
        <v>0</v>
      </c>
      <c r="DG444" s="88">
        <v>0</v>
      </c>
      <c r="DH444" s="88">
        <v>0</v>
      </c>
      <c r="DI444" s="88">
        <v>14</v>
      </c>
      <c r="DJ444" s="88">
        <v>0</v>
      </c>
      <c r="DK444" s="88">
        <v>0</v>
      </c>
      <c r="DL444" s="88">
        <v>0</v>
      </c>
      <c r="DM444" s="88">
        <v>0</v>
      </c>
      <c r="DN444" s="88">
        <v>0</v>
      </c>
      <c r="DO444" s="88">
        <v>0</v>
      </c>
      <c r="DP444" s="88">
        <v>0</v>
      </c>
      <c r="DQ444" s="88">
        <v>0</v>
      </c>
      <c r="DR444" s="87">
        <v>12</v>
      </c>
      <c r="DS444" s="87">
        <v>0</v>
      </c>
      <c r="DT444" s="87">
        <v>0</v>
      </c>
      <c r="DU444" s="87">
        <v>20</v>
      </c>
      <c r="DV444" s="87">
        <v>0</v>
      </c>
      <c r="DW444" s="87">
        <v>0</v>
      </c>
      <c r="DX444" s="87">
        <v>0</v>
      </c>
      <c r="DY444" s="88">
        <v>0</v>
      </c>
      <c r="DZ444" s="88">
        <v>0</v>
      </c>
      <c r="EA444" s="88">
        <v>1448</v>
      </c>
      <c r="EB444" s="88">
        <v>0</v>
      </c>
      <c r="EC444" s="88">
        <v>0</v>
      </c>
      <c r="ED444" s="88">
        <v>0</v>
      </c>
      <c r="EE444" s="88">
        <v>0</v>
      </c>
      <c r="EF444" s="88">
        <v>0</v>
      </c>
      <c r="EG444" s="88">
        <v>765</v>
      </c>
      <c r="EH444" s="88">
        <v>0</v>
      </c>
      <c r="EI444" s="88">
        <v>0</v>
      </c>
      <c r="EJ444" s="88">
        <v>117</v>
      </c>
      <c r="EK444" s="88">
        <v>0</v>
      </c>
      <c r="EL444" s="88">
        <v>0</v>
      </c>
      <c r="EM444" s="88">
        <v>479</v>
      </c>
      <c r="EN444" s="88">
        <v>0</v>
      </c>
      <c r="EO444" s="88">
        <v>0</v>
      </c>
      <c r="EP444" s="88">
        <v>68</v>
      </c>
      <c r="EQ444" s="88">
        <v>0</v>
      </c>
      <c r="ER444" s="88">
        <v>0</v>
      </c>
      <c r="ES444" s="88">
        <v>12</v>
      </c>
      <c r="ET444" s="88">
        <v>0</v>
      </c>
      <c r="EU444" s="88">
        <v>0</v>
      </c>
      <c r="EV444" s="88">
        <v>29</v>
      </c>
      <c r="EW444" s="88">
        <v>0</v>
      </c>
      <c r="EX444" s="88">
        <v>0</v>
      </c>
      <c r="EY444" s="88">
        <v>3</v>
      </c>
      <c r="EZ444" s="88">
        <v>0</v>
      </c>
      <c r="FA444" s="88">
        <v>0</v>
      </c>
      <c r="FB444" s="88">
        <v>2</v>
      </c>
      <c r="FC444" s="88">
        <v>0</v>
      </c>
      <c r="FD444" s="88">
        <v>0</v>
      </c>
      <c r="FE444" s="88">
        <v>4</v>
      </c>
      <c r="FF444" s="88">
        <v>0</v>
      </c>
      <c r="FG444" s="88">
        <v>0</v>
      </c>
      <c r="FH444" s="88">
        <v>0</v>
      </c>
      <c r="FI444" s="88">
        <v>0</v>
      </c>
      <c r="FJ444" s="88">
        <v>0</v>
      </c>
      <c r="FK444" s="32">
        <v>15</v>
      </c>
      <c r="FL444" s="88">
        <v>0</v>
      </c>
      <c r="FM444" s="88">
        <v>0</v>
      </c>
      <c r="FN444" s="88">
        <v>3397</v>
      </c>
      <c r="FO444" s="88">
        <v>0</v>
      </c>
      <c r="FP444" s="88">
        <v>0</v>
      </c>
      <c r="FQ444" s="88">
        <v>532</v>
      </c>
      <c r="FR444" s="88">
        <v>0</v>
      </c>
      <c r="FS444" s="88">
        <v>0</v>
      </c>
      <c r="FT444" s="88">
        <v>0</v>
      </c>
      <c r="FU444" s="88">
        <v>0</v>
      </c>
      <c r="FV444" s="88">
        <v>0</v>
      </c>
      <c r="FW444" s="88">
        <v>102</v>
      </c>
      <c r="FX444" s="32">
        <v>0</v>
      </c>
      <c r="FY444" s="32">
        <v>0</v>
      </c>
      <c r="FZ444" s="32">
        <v>25</v>
      </c>
      <c r="GB444" s="46">
        <f t="shared" si="37"/>
        <v>8747</v>
      </c>
    </row>
    <row r="445" spans="1:184" s="22" customFormat="1" x14ac:dyDescent="0.2">
      <c r="A445" s="41">
        <v>45108</v>
      </c>
      <c r="B445" s="100">
        <f t="shared" si="35"/>
        <v>91293532.76000002</v>
      </c>
      <c r="C445" s="42">
        <v>18399.900000000001</v>
      </c>
      <c r="D445" s="42">
        <v>225133.29</v>
      </c>
      <c r="E445" s="43">
        <f t="shared" si="29"/>
        <v>243533.19</v>
      </c>
      <c r="F445" s="42">
        <v>3291141.21</v>
      </c>
      <c r="G445" s="42">
        <v>1818129.1199999996</v>
      </c>
      <c r="H445" s="32">
        <f t="shared" si="28"/>
        <v>5109270.33</v>
      </c>
      <c r="I445" s="42"/>
      <c r="J445" s="42"/>
      <c r="K445" s="98">
        <v>9233585.8699999992</v>
      </c>
      <c r="L445" s="42"/>
      <c r="M445" s="42"/>
      <c r="N445" s="98">
        <v>22244264.609999999</v>
      </c>
      <c r="O445" s="42"/>
      <c r="P445" s="42"/>
      <c r="Q445" s="98">
        <v>53771647.840000004</v>
      </c>
      <c r="R445" s="42"/>
      <c r="S445" s="42"/>
      <c r="T445" s="42">
        <v>12180.17</v>
      </c>
      <c r="U445" s="42">
        <v>1976.47</v>
      </c>
      <c r="V445" s="42">
        <v>1058.5</v>
      </c>
      <c r="W445" s="42">
        <f t="shared" si="30"/>
        <v>3034.9700000000003</v>
      </c>
      <c r="X445" s="42">
        <v>19358.510000000002</v>
      </c>
      <c r="Y445" s="42">
        <v>8415.7800000000007</v>
      </c>
      <c r="Z445" s="32">
        <f t="shared" si="31"/>
        <v>27774.29</v>
      </c>
      <c r="AA445" s="42">
        <v>61281.600000000006</v>
      </c>
      <c r="AB445" s="42">
        <v>123882.38</v>
      </c>
      <c r="AC445" s="32">
        <f t="shared" si="32"/>
        <v>185163.98</v>
      </c>
      <c r="AD445" s="42">
        <v>2450.9499999999998</v>
      </c>
      <c r="AE445" s="42">
        <v>6318.17</v>
      </c>
      <c r="AF445" s="32">
        <f t="shared" si="33"/>
        <v>8769.119999999999</v>
      </c>
      <c r="AG445" s="32">
        <v>10215.859999999999</v>
      </c>
      <c r="AH445" s="32">
        <v>52662.97</v>
      </c>
      <c r="AI445" s="32">
        <f t="shared" si="34"/>
        <v>62878.83</v>
      </c>
      <c r="AJ445" s="42"/>
      <c r="AK445" s="42"/>
      <c r="AL445" s="42">
        <v>21020.85</v>
      </c>
      <c r="AM445" s="42">
        <v>6.92</v>
      </c>
      <c r="AN445" s="42">
        <v>24794.37</v>
      </c>
      <c r="AO445" s="42">
        <f t="shared" si="36"/>
        <v>24801.289999999997</v>
      </c>
      <c r="AP445" s="42"/>
      <c r="AQ445" s="42"/>
      <c r="AR445" s="42">
        <v>345607.42</v>
      </c>
      <c r="AS445" s="42"/>
      <c r="AT445" s="42"/>
      <c r="AU445" s="42">
        <v>1281702.4499999997</v>
      </c>
      <c r="AV445" s="42"/>
      <c r="AW445" s="42"/>
      <c r="AX445" s="42">
        <v>43143.250000000007</v>
      </c>
      <c r="AY445" s="42">
        <v>5250224.5</v>
      </c>
      <c r="AZ445" s="42">
        <v>0</v>
      </c>
      <c r="BA445" s="43">
        <f t="shared" si="38"/>
        <v>5250224.5</v>
      </c>
      <c r="BB445" s="42"/>
      <c r="BC445" s="42"/>
      <c r="BD445" s="42">
        <v>1397527.3333333333</v>
      </c>
      <c r="BE445" s="88">
        <v>0</v>
      </c>
      <c r="BF445" s="88">
        <v>0</v>
      </c>
      <c r="BG445" s="88">
        <v>78</v>
      </c>
      <c r="BH445" s="88">
        <v>0</v>
      </c>
      <c r="BI445" s="88">
        <v>0</v>
      </c>
      <c r="BJ445" s="88">
        <v>0</v>
      </c>
      <c r="BK445" s="88">
        <v>0</v>
      </c>
      <c r="BL445" s="88">
        <v>0</v>
      </c>
      <c r="BM445" s="88">
        <v>148</v>
      </c>
      <c r="BN445" s="88">
        <v>0</v>
      </c>
      <c r="BO445" s="88">
        <v>0</v>
      </c>
      <c r="BP445" s="88">
        <v>0</v>
      </c>
      <c r="BQ445" s="88">
        <v>0</v>
      </c>
      <c r="BR445" s="88">
        <v>0</v>
      </c>
      <c r="BS445" s="88">
        <v>623</v>
      </c>
      <c r="BT445" s="88">
        <v>0</v>
      </c>
      <c r="BU445" s="88">
        <v>0</v>
      </c>
      <c r="BV445" s="88">
        <v>0</v>
      </c>
      <c r="BW445" s="88"/>
      <c r="BX445" s="88"/>
      <c r="BY445" s="88"/>
      <c r="BZ445" s="88">
        <v>0</v>
      </c>
      <c r="CA445" s="88">
        <v>0</v>
      </c>
      <c r="CB445" s="88">
        <v>297</v>
      </c>
      <c r="CC445" s="88"/>
      <c r="CD445" s="88"/>
      <c r="CE445" s="88"/>
      <c r="CF445" s="88">
        <v>0</v>
      </c>
      <c r="CG445" s="88">
        <v>0</v>
      </c>
      <c r="CH445" s="88">
        <v>2</v>
      </c>
      <c r="CI445" s="88">
        <v>0</v>
      </c>
      <c r="CJ445" s="88">
        <v>0</v>
      </c>
      <c r="CK445" s="88">
        <v>34</v>
      </c>
      <c r="CL445" s="88">
        <v>0</v>
      </c>
      <c r="CM445" s="88">
        <v>0</v>
      </c>
      <c r="CN445" s="88">
        <v>0</v>
      </c>
      <c r="CO445" s="88">
        <v>0</v>
      </c>
      <c r="CP445" s="88">
        <v>0</v>
      </c>
      <c r="CQ445" s="88">
        <v>17</v>
      </c>
      <c r="CR445" s="88">
        <v>0</v>
      </c>
      <c r="CS445" s="88">
        <v>0</v>
      </c>
      <c r="CT445" s="88">
        <v>0</v>
      </c>
      <c r="CU445" s="88">
        <v>0</v>
      </c>
      <c r="CV445" s="88">
        <v>0</v>
      </c>
      <c r="CW445" s="88">
        <v>231</v>
      </c>
      <c r="CX445" s="88">
        <v>0</v>
      </c>
      <c r="CY445" s="88">
        <v>0</v>
      </c>
      <c r="CZ445" s="88">
        <v>5</v>
      </c>
      <c r="DA445" s="88">
        <v>0</v>
      </c>
      <c r="DB445" s="88">
        <v>0</v>
      </c>
      <c r="DC445" s="88">
        <v>0</v>
      </c>
      <c r="DD445" s="88">
        <v>0</v>
      </c>
      <c r="DE445" s="88">
        <v>0</v>
      </c>
      <c r="DF445" s="88">
        <v>0</v>
      </c>
      <c r="DG445" s="88">
        <v>0</v>
      </c>
      <c r="DH445" s="88">
        <v>0</v>
      </c>
      <c r="DI445" s="88">
        <v>1</v>
      </c>
      <c r="DJ445" s="88">
        <v>0</v>
      </c>
      <c r="DK445" s="88">
        <v>0</v>
      </c>
      <c r="DL445" s="88">
        <v>0</v>
      </c>
      <c r="DM445" s="88">
        <v>0</v>
      </c>
      <c r="DN445" s="88">
        <v>0</v>
      </c>
      <c r="DO445" s="88">
        <v>0</v>
      </c>
      <c r="DP445" s="88">
        <v>0</v>
      </c>
      <c r="DQ445" s="88">
        <v>0</v>
      </c>
      <c r="DR445" s="87">
        <v>18</v>
      </c>
      <c r="DS445" s="87">
        <v>0</v>
      </c>
      <c r="DT445" s="87">
        <v>0</v>
      </c>
      <c r="DU445" s="87">
        <v>17</v>
      </c>
      <c r="DV445" s="87">
        <v>0</v>
      </c>
      <c r="DW445" s="87">
        <v>0</v>
      </c>
      <c r="DX445" s="87">
        <v>0</v>
      </c>
      <c r="DY445" s="88">
        <v>0</v>
      </c>
      <c r="DZ445" s="88">
        <v>0</v>
      </c>
      <c r="EA445" s="88">
        <v>1344</v>
      </c>
      <c r="EB445" s="88">
        <v>0</v>
      </c>
      <c r="EC445" s="88">
        <v>0</v>
      </c>
      <c r="ED445" s="88">
        <v>0</v>
      </c>
      <c r="EE445" s="88">
        <v>0</v>
      </c>
      <c r="EF445" s="88">
        <v>0</v>
      </c>
      <c r="EG445" s="88">
        <v>935</v>
      </c>
      <c r="EH445" s="88">
        <v>0</v>
      </c>
      <c r="EI445" s="88">
        <v>0</v>
      </c>
      <c r="EJ445" s="88">
        <v>99</v>
      </c>
      <c r="EK445" s="88">
        <v>0</v>
      </c>
      <c r="EL445" s="88">
        <v>0</v>
      </c>
      <c r="EM445" s="88">
        <v>439</v>
      </c>
      <c r="EN445" s="88">
        <v>0</v>
      </c>
      <c r="EO445" s="88">
        <v>0</v>
      </c>
      <c r="EP445" s="88">
        <v>146</v>
      </c>
      <c r="EQ445" s="88">
        <v>0</v>
      </c>
      <c r="ER445" s="88">
        <v>0</v>
      </c>
      <c r="ES445" s="88">
        <v>15</v>
      </c>
      <c r="ET445" s="88">
        <v>0</v>
      </c>
      <c r="EU445" s="88">
        <v>0</v>
      </c>
      <c r="EV445" s="88">
        <v>10</v>
      </c>
      <c r="EW445" s="88">
        <v>0</v>
      </c>
      <c r="EX445" s="88">
        <v>0</v>
      </c>
      <c r="EY445" s="88">
        <v>3</v>
      </c>
      <c r="EZ445" s="88">
        <v>0</v>
      </c>
      <c r="FA445" s="88">
        <v>0</v>
      </c>
      <c r="FB445" s="88">
        <v>2</v>
      </c>
      <c r="FC445" s="88">
        <v>0</v>
      </c>
      <c r="FD445" s="88">
        <v>0</v>
      </c>
      <c r="FE445" s="88">
        <v>5</v>
      </c>
      <c r="FF445" s="88">
        <v>0</v>
      </c>
      <c r="FG445" s="88">
        <v>0</v>
      </c>
      <c r="FH445" s="88">
        <v>0</v>
      </c>
      <c r="FI445" s="88">
        <v>0</v>
      </c>
      <c r="FJ445" s="88">
        <v>0</v>
      </c>
      <c r="FK445" s="32">
        <v>13</v>
      </c>
      <c r="FL445" s="88">
        <v>0</v>
      </c>
      <c r="FM445" s="88">
        <v>0</v>
      </c>
      <c r="FN445" s="88">
        <v>2961</v>
      </c>
      <c r="FO445" s="88">
        <v>0</v>
      </c>
      <c r="FP445" s="88">
        <v>0</v>
      </c>
      <c r="FQ445" s="88">
        <v>648</v>
      </c>
      <c r="FR445" s="88">
        <v>0</v>
      </c>
      <c r="FS445" s="88">
        <v>0</v>
      </c>
      <c r="FT445" s="88">
        <v>0</v>
      </c>
      <c r="FU445" s="88">
        <v>0</v>
      </c>
      <c r="FV445" s="88">
        <v>0</v>
      </c>
      <c r="FW445" s="88">
        <v>46</v>
      </c>
      <c r="FX445" s="32">
        <v>0</v>
      </c>
      <c r="FY445" s="32">
        <v>0</v>
      </c>
      <c r="FZ445" s="32">
        <v>72</v>
      </c>
      <c r="GB445" s="46">
        <f t="shared" si="37"/>
        <v>8209</v>
      </c>
    </row>
    <row r="446" spans="1:184" s="22" customFormat="1" x14ac:dyDescent="0.2">
      <c r="A446" s="41">
        <v>45139</v>
      </c>
      <c r="B446" s="100">
        <f t="shared" si="35"/>
        <v>104075469.98</v>
      </c>
      <c r="C446" s="42">
        <v>19650.57</v>
      </c>
      <c r="D446" s="42">
        <v>266208.42999999993</v>
      </c>
      <c r="E446" s="43">
        <f t="shared" si="29"/>
        <v>285858.99999999994</v>
      </c>
      <c r="F446" s="42">
        <v>4626698.3</v>
      </c>
      <c r="G446" s="42">
        <v>2742484.2</v>
      </c>
      <c r="H446" s="32">
        <f t="shared" si="28"/>
        <v>7369182.5</v>
      </c>
      <c r="I446" s="42"/>
      <c r="J446" s="42"/>
      <c r="K446" s="98">
        <v>18145991.589999996</v>
      </c>
      <c r="L446" s="42"/>
      <c r="M446" s="42"/>
      <c r="N446" s="98">
        <v>23410026.07</v>
      </c>
      <c r="O446" s="42"/>
      <c r="P446" s="42"/>
      <c r="Q446" s="98">
        <v>53633920.790000007</v>
      </c>
      <c r="R446" s="42"/>
      <c r="S446" s="42"/>
      <c r="T446" s="42">
        <v>347182.56</v>
      </c>
      <c r="U446" s="42">
        <v>2968.29</v>
      </c>
      <c r="V446" s="42">
        <v>1203.07</v>
      </c>
      <c r="W446" s="42">
        <f t="shared" si="30"/>
        <v>4171.3599999999997</v>
      </c>
      <c r="X446" s="42">
        <v>25558.9</v>
      </c>
      <c r="Y446" s="42">
        <v>8085.09</v>
      </c>
      <c r="Z446" s="32">
        <f t="shared" si="31"/>
        <v>33643.990000000005</v>
      </c>
      <c r="AA446" s="42">
        <v>61478.47</v>
      </c>
      <c r="AB446" s="42">
        <v>137385.21999999997</v>
      </c>
      <c r="AC446" s="32">
        <f t="shared" si="32"/>
        <v>198863.68999999997</v>
      </c>
      <c r="AD446" s="42">
        <v>1957.29</v>
      </c>
      <c r="AE446" s="42">
        <v>7703.4</v>
      </c>
      <c r="AF446" s="32">
        <f t="shared" si="33"/>
        <v>9660.6899999999987</v>
      </c>
      <c r="AG446" s="87">
        <v>11874.92</v>
      </c>
      <c r="AH446" s="87">
        <v>84218.42</v>
      </c>
      <c r="AI446" s="32">
        <f t="shared" si="34"/>
        <v>96093.34</v>
      </c>
      <c r="AJ446" s="42"/>
      <c r="AK446" s="42"/>
      <c r="AL446" s="42">
        <v>29663.55</v>
      </c>
      <c r="AM446" s="42">
        <v>61020.25</v>
      </c>
      <c r="AN446" s="42">
        <v>47851.040000000008</v>
      </c>
      <c r="AO446" s="42">
        <f t="shared" si="36"/>
        <v>108871.29000000001</v>
      </c>
      <c r="AP446" s="42"/>
      <c r="AQ446" s="42"/>
      <c r="AR446" s="42">
        <v>402339.56</v>
      </c>
      <c r="AS446" s="42"/>
      <c r="AT446" s="42"/>
      <c r="AU446" s="42">
        <v>1463122.4899999995</v>
      </c>
      <c r="AV446" s="42"/>
      <c r="AW446" s="42"/>
      <c r="AX446" s="42">
        <v>51429.160000000011</v>
      </c>
      <c r="AY446" s="42">
        <v>5728599.7999999998</v>
      </c>
      <c r="AZ446" s="42">
        <v>1997300</v>
      </c>
      <c r="BA446" s="43">
        <f t="shared" si="38"/>
        <v>7725899.7999999998</v>
      </c>
      <c r="BB446" s="42"/>
      <c r="BC446" s="42"/>
      <c r="BD446" s="42">
        <v>1503063.5555555557</v>
      </c>
      <c r="BE446" s="88">
        <v>0</v>
      </c>
      <c r="BF446" s="88">
        <v>0</v>
      </c>
      <c r="BG446" s="88">
        <v>87</v>
      </c>
      <c r="BH446" s="88">
        <v>0</v>
      </c>
      <c r="BI446" s="88">
        <v>0</v>
      </c>
      <c r="BJ446" s="88">
        <v>0</v>
      </c>
      <c r="BK446" s="88">
        <v>0</v>
      </c>
      <c r="BL446" s="88">
        <v>0</v>
      </c>
      <c r="BM446" s="88">
        <v>228</v>
      </c>
      <c r="BN446" s="88">
        <v>0</v>
      </c>
      <c r="BO446" s="88">
        <v>0</v>
      </c>
      <c r="BP446" s="88">
        <v>0</v>
      </c>
      <c r="BQ446" s="88">
        <v>0</v>
      </c>
      <c r="BR446" s="88">
        <v>0</v>
      </c>
      <c r="BS446" s="88">
        <v>1052</v>
      </c>
      <c r="BT446" s="88">
        <v>0</v>
      </c>
      <c r="BU446" s="88">
        <v>0</v>
      </c>
      <c r="BV446" s="88">
        <v>0</v>
      </c>
      <c r="BW446" s="88"/>
      <c r="BX446" s="88"/>
      <c r="BY446" s="88"/>
      <c r="BZ446" s="88">
        <v>0</v>
      </c>
      <c r="CA446" s="88">
        <v>0</v>
      </c>
      <c r="CB446" s="88">
        <v>392</v>
      </c>
      <c r="CC446" s="88"/>
      <c r="CD446" s="88"/>
      <c r="CE446" s="88"/>
      <c r="CF446" s="88">
        <v>0</v>
      </c>
      <c r="CG446" s="88">
        <v>0</v>
      </c>
      <c r="CH446" s="88">
        <v>2</v>
      </c>
      <c r="CI446" s="88">
        <v>0</v>
      </c>
      <c r="CJ446" s="88">
        <v>0</v>
      </c>
      <c r="CK446" s="88">
        <v>71</v>
      </c>
      <c r="CL446" s="88">
        <v>0</v>
      </c>
      <c r="CM446" s="88">
        <v>0</v>
      </c>
      <c r="CN446" s="88">
        <v>2</v>
      </c>
      <c r="CO446" s="88">
        <v>0</v>
      </c>
      <c r="CP446" s="88">
        <v>0</v>
      </c>
      <c r="CQ446" s="88">
        <v>35</v>
      </c>
      <c r="CR446" s="88">
        <v>0</v>
      </c>
      <c r="CS446" s="88">
        <v>0</v>
      </c>
      <c r="CT446" s="88">
        <v>0</v>
      </c>
      <c r="CU446" s="88">
        <v>0</v>
      </c>
      <c r="CV446" s="88">
        <v>0</v>
      </c>
      <c r="CW446" s="88">
        <v>118</v>
      </c>
      <c r="CX446" s="88">
        <v>0</v>
      </c>
      <c r="CY446" s="88">
        <v>0</v>
      </c>
      <c r="CZ446" s="88">
        <v>0</v>
      </c>
      <c r="DA446" s="88">
        <v>0</v>
      </c>
      <c r="DB446" s="88">
        <v>0</v>
      </c>
      <c r="DC446" s="88">
        <v>0</v>
      </c>
      <c r="DD446" s="88">
        <v>0</v>
      </c>
      <c r="DE446" s="88">
        <v>0</v>
      </c>
      <c r="DF446" s="88">
        <v>0</v>
      </c>
      <c r="DG446" s="88">
        <v>0</v>
      </c>
      <c r="DH446" s="88">
        <v>0</v>
      </c>
      <c r="DI446" s="88">
        <v>5</v>
      </c>
      <c r="DJ446" s="88">
        <v>0</v>
      </c>
      <c r="DK446" s="88">
        <v>0</v>
      </c>
      <c r="DL446" s="88">
        <v>0</v>
      </c>
      <c r="DM446" s="88">
        <v>0</v>
      </c>
      <c r="DN446" s="88">
        <v>0</v>
      </c>
      <c r="DO446" s="88">
        <v>0</v>
      </c>
      <c r="DP446" s="88">
        <v>0</v>
      </c>
      <c r="DQ446" s="88">
        <v>0</v>
      </c>
      <c r="DR446" s="87">
        <v>80</v>
      </c>
      <c r="DS446" s="87">
        <v>0</v>
      </c>
      <c r="DT446" s="87">
        <v>0</v>
      </c>
      <c r="DU446" s="87">
        <v>159</v>
      </c>
      <c r="DV446" s="87">
        <v>0</v>
      </c>
      <c r="DW446" s="87">
        <v>0</v>
      </c>
      <c r="DX446" s="87">
        <v>0</v>
      </c>
      <c r="DY446" s="88">
        <v>0</v>
      </c>
      <c r="DZ446" s="88">
        <v>0</v>
      </c>
      <c r="EA446" s="88">
        <v>1264</v>
      </c>
      <c r="EB446" s="88">
        <v>0</v>
      </c>
      <c r="EC446" s="88">
        <v>0</v>
      </c>
      <c r="ED446" s="88">
        <v>0</v>
      </c>
      <c r="EE446" s="88">
        <v>0</v>
      </c>
      <c r="EF446" s="88">
        <v>0</v>
      </c>
      <c r="EG446" s="88">
        <v>707</v>
      </c>
      <c r="EH446" s="88">
        <v>0</v>
      </c>
      <c r="EI446" s="88">
        <v>0</v>
      </c>
      <c r="EJ446" s="88">
        <v>77</v>
      </c>
      <c r="EK446" s="88">
        <v>0</v>
      </c>
      <c r="EL446" s="88">
        <v>0</v>
      </c>
      <c r="EM446" s="88">
        <v>566</v>
      </c>
      <c r="EN446" s="88">
        <v>0</v>
      </c>
      <c r="EO446" s="88">
        <v>0</v>
      </c>
      <c r="EP446" s="88">
        <v>184</v>
      </c>
      <c r="EQ446" s="88">
        <v>0</v>
      </c>
      <c r="ER446" s="88">
        <v>0</v>
      </c>
      <c r="ES446" s="88">
        <v>9</v>
      </c>
      <c r="ET446" s="88">
        <v>0</v>
      </c>
      <c r="EU446" s="88">
        <v>0</v>
      </c>
      <c r="EV446" s="88">
        <v>18</v>
      </c>
      <c r="EW446" s="88">
        <v>0</v>
      </c>
      <c r="EX446" s="88">
        <v>0</v>
      </c>
      <c r="EY446" s="88">
        <v>5</v>
      </c>
      <c r="EZ446" s="88">
        <v>0</v>
      </c>
      <c r="FA446" s="88">
        <v>0</v>
      </c>
      <c r="FB446" s="88">
        <v>2</v>
      </c>
      <c r="FC446" s="88">
        <v>0</v>
      </c>
      <c r="FD446" s="88">
        <v>0</v>
      </c>
      <c r="FE446" s="88">
        <v>1</v>
      </c>
      <c r="FF446" s="88">
        <v>0</v>
      </c>
      <c r="FG446" s="88">
        <v>0</v>
      </c>
      <c r="FH446" s="88">
        <v>0</v>
      </c>
      <c r="FI446" s="88">
        <v>0</v>
      </c>
      <c r="FJ446" s="88">
        <v>0</v>
      </c>
      <c r="FK446" s="32">
        <v>12</v>
      </c>
      <c r="FL446" s="88">
        <v>0</v>
      </c>
      <c r="FM446" s="88">
        <v>0</v>
      </c>
      <c r="FN446" s="88">
        <v>3838</v>
      </c>
      <c r="FO446" s="88">
        <v>0</v>
      </c>
      <c r="FP446" s="88">
        <v>0</v>
      </c>
      <c r="FQ446" s="88">
        <v>898</v>
      </c>
      <c r="FR446" s="88">
        <v>0</v>
      </c>
      <c r="FS446" s="88">
        <v>0</v>
      </c>
      <c r="FT446" s="88">
        <v>0</v>
      </c>
      <c r="FU446" s="88">
        <v>0</v>
      </c>
      <c r="FV446" s="88">
        <v>0</v>
      </c>
      <c r="FW446" s="88">
        <v>130</v>
      </c>
      <c r="FX446" s="32">
        <v>0</v>
      </c>
      <c r="FY446" s="32">
        <v>0</v>
      </c>
      <c r="FZ446" s="32">
        <v>249</v>
      </c>
      <c r="GB446" s="46">
        <f t="shared" si="37"/>
        <v>10191</v>
      </c>
    </row>
    <row r="447" spans="1:184" s="22" customFormat="1" x14ac:dyDescent="0.2">
      <c r="A447" s="41">
        <v>45170</v>
      </c>
      <c r="B447" s="100">
        <f t="shared" si="35"/>
        <v>84694543.900000021</v>
      </c>
      <c r="C447" s="42">
        <v>14574.369999999999</v>
      </c>
      <c r="D447" s="42">
        <v>241437.91</v>
      </c>
      <c r="E447" s="43">
        <f t="shared" si="29"/>
        <v>256012.28</v>
      </c>
      <c r="F447" s="42">
        <v>4412766.13</v>
      </c>
      <c r="G447" s="42">
        <v>2894658.11</v>
      </c>
      <c r="H447" s="32">
        <f t="shared" si="28"/>
        <v>7307424.2400000002</v>
      </c>
      <c r="I447" s="42"/>
      <c r="J447" s="42"/>
      <c r="K447" s="98">
        <v>17874359.509999998</v>
      </c>
      <c r="L447" s="42"/>
      <c r="M447" s="42"/>
      <c r="N447" s="98">
        <v>24426673.190000001</v>
      </c>
      <c r="O447" s="42"/>
      <c r="P447" s="42"/>
      <c r="Q447" s="98">
        <v>33815546.75</v>
      </c>
      <c r="R447" s="42"/>
      <c r="S447" s="42"/>
      <c r="T447" s="42">
        <v>206790.18</v>
      </c>
      <c r="U447" s="42">
        <v>2606.06</v>
      </c>
      <c r="V447" s="42">
        <v>2584.87</v>
      </c>
      <c r="W447" s="42">
        <f t="shared" si="30"/>
        <v>5190.93</v>
      </c>
      <c r="X447" s="42">
        <v>41800.01</v>
      </c>
      <c r="Y447" s="42">
        <v>12834.02</v>
      </c>
      <c r="Z447" s="32">
        <f t="shared" si="31"/>
        <v>54634.03</v>
      </c>
      <c r="AA447" s="42">
        <v>32998.28</v>
      </c>
      <c r="AB447" s="42">
        <v>73814.789999999994</v>
      </c>
      <c r="AC447" s="32">
        <f t="shared" si="32"/>
        <v>106813.06999999999</v>
      </c>
      <c r="AD447" s="42">
        <v>1283.47</v>
      </c>
      <c r="AE447" s="42">
        <v>8296.119999999999</v>
      </c>
      <c r="AF447" s="32">
        <f t="shared" si="33"/>
        <v>9579.5899999999983</v>
      </c>
      <c r="AG447" s="32">
        <v>7661.94</v>
      </c>
      <c r="AH447" s="32">
        <v>85923.849999999991</v>
      </c>
      <c r="AI447" s="32">
        <f t="shared" si="34"/>
        <v>93585.79</v>
      </c>
      <c r="AJ447" s="42"/>
      <c r="AK447" s="42"/>
      <c r="AL447" s="42">
        <v>39859.64</v>
      </c>
      <c r="AM447" s="42">
        <v>111465.43</v>
      </c>
      <c r="AN447" s="42">
        <v>14180.76</v>
      </c>
      <c r="AO447" s="42">
        <f t="shared" si="36"/>
        <v>125646.18999999999</v>
      </c>
      <c r="AP447" s="42"/>
      <c r="AQ447" s="42"/>
      <c r="AR447" s="42">
        <v>372428.51000000007</v>
      </c>
      <c r="AS447" s="42"/>
      <c r="AT447" s="42"/>
      <c r="AU447" s="42">
        <v>1379539.65</v>
      </c>
      <c r="AV447" s="42"/>
      <c r="AW447" s="42"/>
      <c r="AX447" s="42">
        <v>89039.23000000001</v>
      </c>
      <c r="AY447" s="42">
        <v>5238487.8</v>
      </c>
      <c r="AZ447" s="42">
        <v>877560</v>
      </c>
      <c r="BA447" s="43">
        <f t="shared" si="38"/>
        <v>6116047.7999999998</v>
      </c>
      <c r="BB447" s="42"/>
      <c r="BC447" s="42"/>
      <c r="BD447" s="42">
        <v>1474854.2222222222</v>
      </c>
      <c r="BE447" s="88">
        <v>0</v>
      </c>
      <c r="BF447" s="88">
        <v>0</v>
      </c>
      <c r="BG447" s="88">
        <v>75</v>
      </c>
      <c r="BH447" s="88">
        <v>0</v>
      </c>
      <c r="BI447" s="88">
        <v>0</v>
      </c>
      <c r="BJ447" s="88">
        <v>0</v>
      </c>
      <c r="BK447" s="88">
        <v>0</v>
      </c>
      <c r="BL447" s="88">
        <v>0</v>
      </c>
      <c r="BM447" s="88">
        <v>166</v>
      </c>
      <c r="BN447" s="88">
        <v>0</v>
      </c>
      <c r="BO447" s="88">
        <v>0</v>
      </c>
      <c r="BP447" s="88">
        <v>1</v>
      </c>
      <c r="BQ447" s="88">
        <v>0</v>
      </c>
      <c r="BR447" s="88">
        <v>0</v>
      </c>
      <c r="BS447" s="88">
        <v>776</v>
      </c>
      <c r="BT447" s="88">
        <v>0</v>
      </c>
      <c r="BU447" s="88">
        <v>0</v>
      </c>
      <c r="BV447" s="88">
        <v>0</v>
      </c>
      <c r="BW447" s="88"/>
      <c r="BX447" s="88"/>
      <c r="BY447" s="88"/>
      <c r="BZ447" s="88">
        <v>0</v>
      </c>
      <c r="CA447" s="88">
        <v>0</v>
      </c>
      <c r="CB447" s="88">
        <v>245</v>
      </c>
      <c r="CC447" s="88"/>
      <c r="CD447" s="88"/>
      <c r="CE447" s="88"/>
      <c r="CF447" s="88">
        <v>0</v>
      </c>
      <c r="CG447" s="88">
        <v>0</v>
      </c>
      <c r="CH447" s="88">
        <v>2</v>
      </c>
      <c r="CI447" s="88">
        <v>0</v>
      </c>
      <c r="CJ447" s="88">
        <v>0</v>
      </c>
      <c r="CK447" s="88">
        <v>37</v>
      </c>
      <c r="CL447" s="88">
        <v>0</v>
      </c>
      <c r="CM447" s="88">
        <v>0</v>
      </c>
      <c r="CN447" s="88">
        <v>0</v>
      </c>
      <c r="CO447" s="88">
        <v>0</v>
      </c>
      <c r="CP447" s="88">
        <v>0</v>
      </c>
      <c r="CQ447" s="88">
        <v>9</v>
      </c>
      <c r="CR447" s="88">
        <v>0</v>
      </c>
      <c r="CS447" s="88">
        <v>0</v>
      </c>
      <c r="CT447" s="88">
        <v>0</v>
      </c>
      <c r="CU447" s="88">
        <v>0</v>
      </c>
      <c r="CV447" s="88">
        <v>0</v>
      </c>
      <c r="CW447" s="88">
        <v>290</v>
      </c>
      <c r="CX447" s="88">
        <v>0</v>
      </c>
      <c r="CY447" s="88">
        <v>0</v>
      </c>
      <c r="CZ447" s="88">
        <v>0</v>
      </c>
      <c r="DA447" s="88">
        <v>0</v>
      </c>
      <c r="DB447" s="88">
        <v>0</v>
      </c>
      <c r="DC447" s="88">
        <v>0</v>
      </c>
      <c r="DD447" s="88">
        <v>0</v>
      </c>
      <c r="DE447" s="88">
        <v>0</v>
      </c>
      <c r="DF447" s="88">
        <v>0</v>
      </c>
      <c r="DG447" s="88">
        <v>0</v>
      </c>
      <c r="DH447" s="88">
        <v>0</v>
      </c>
      <c r="DI447" s="88">
        <v>8</v>
      </c>
      <c r="DJ447" s="88">
        <v>0</v>
      </c>
      <c r="DK447" s="88">
        <v>0</v>
      </c>
      <c r="DL447" s="88">
        <v>0</v>
      </c>
      <c r="DM447" s="88">
        <v>0</v>
      </c>
      <c r="DN447" s="88">
        <v>0</v>
      </c>
      <c r="DO447" s="88">
        <v>0</v>
      </c>
      <c r="DP447" s="88">
        <v>0</v>
      </c>
      <c r="DQ447" s="88">
        <v>0</v>
      </c>
      <c r="DR447" s="87">
        <v>9</v>
      </c>
      <c r="DS447" s="87">
        <v>0</v>
      </c>
      <c r="DT447" s="87">
        <v>0</v>
      </c>
      <c r="DU447" s="87">
        <v>64</v>
      </c>
      <c r="DV447" s="87">
        <v>0</v>
      </c>
      <c r="DW447" s="87">
        <v>0</v>
      </c>
      <c r="DX447" s="87">
        <v>0</v>
      </c>
      <c r="DY447" s="88">
        <v>0</v>
      </c>
      <c r="DZ447" s="88">
        <v>0</v>
      </c>
      <c r="EA447" s="88">
        <v>1547</v>
      </c>
      <c r="EB447" s="88">
        <v>0</v>
      </c>
      <c r="EC447" s="88">
        <v>0</v>
      </c>
      <c r="ED447" s="88">
        <v>0</v>
      </c>
      <c r="EE447" s="88">
        <v>0</v>
      </c>
      <c r="EF447" s="88">
        <v>0</v>
      </c>
      <c r="EG447" s="88">
        <v>814</v>
      </c>
      <c r="EH447" s="88">
        <v>0</v>
      </c>
      <c r="EI447" s="88">
        <v>0</v>
      </c>
      <c r="EJ447" s="88">
        <v>55</v>
      </c>
      <c r="EK447" s="88">
        <v>0</v>
      </c>
      <c r="EL447" s="88">
        <v>0</v>
      </c>
      <c r="EM447" s="88">
        <v>361</v>
      </c>
      <c r="EN447" s="88">
        <v>0</v>
      </c>
      <c r="EO447" s="88">
        <v>0</v>
      </c>
      <c r="EP447" s="88">
        <v>166</v>
      </c>
      <c r="EQ447" s="88">
        <v>0</v>
      </c>
      <c r="ER447" s="88">
        <v>0</v>
      </c>
      <c r="ES447" s="88">
        <v>19</v>
      </c>
      <c r="ET447" s="88">
        <v>0</v>
      </c>
      <c r="EU447" s="88">
        <v>0</v>
      </c>
      <c r="EV447" s="88">
        <v>9</v>
      </c>
      <c r="EW447" s="88">
        <v>0</v>
      </c>
      <c r="EX447" s="88">
        <v>0</v>
      </c>
      <c r="EY447" s="88">
        <v>4</v>
      </c>
      <c r="EZ447" s="88">
        <v>0</v>
      </c>
      <c r="FA447" s="88">
        <v>0</v>
      </c>
      <c r="FB447" s="88">
        <v>2</v>
      </c>
      <c r="FC447" s="88">
        <v>0</v>
      </c>
      <c r="FD447" s="88">
        <v>0</v>
      </c>
      <c r="FE447" s="88">
        <v>4</v>
      </c>
      <c r="FF447" s="88">
        <v>0</v>
      </c>
      <c r="FG447" s="88">
        <v>0</v>
      </c>
      <c r="FH447" s="88">
        <v>0</v>
      </c>
      <c r="FI447" s="88">
        <v>0</v>
      </c>
      <c r="FJ447" s="88">
        <v>0</v>
      </c>
      <c r="FK447" s="32">
        <v>9</v>
      </c>
      <c r="FL447" s="88">
        <v>0</v>
      </c>
      <c r="FM447" s="88">
        <v>0</v>
      </c>
      <c r="FN447" s="88">
        <v>3416</v>
      </c>
      <c r="FO447" s="88">
        <v>0</v>
      </c>
      <c r="FP447" s="88">
        <v>0</v>
      </c>
      <c r="FQ447" s="88">
        <v>779</v>
      </c>
      <c r="FR447" s="88">
        <v>0</v>
      </c>
      <c r="FS447" s="88">
        <v>0</v>
      </c>
      <c r="FT447" s="88">
        <v>0</v>
      </c>
      <c r="FU447" s="88">
        <v>0</v>
      </c>
      <c r="FV447" s="88">
        <v>0</v>
      </c>
      <c r="FW447" s="88">
        <v>166</v>
      </c>
      <c r="FX447" s="32">
        <v>0</v>
      </c>
      <c r="FY447" s="32">
        <v>0</v>
      </c>
      <c r="FZ447" s="32">
        <v>47</v>
      </c>
      <c r="GB447" s="46">
        <f t="shared" si="37"/>
        <v>9080</v>
      </c>
    </row>
    <row r="448" spans="1:184" s="22" customFormat="1" x14ac:dyDescent="0.2">
      <c r="A448" s="41">
        <v>45200</v>
      </c>
      <c r="B448" s="100">
        <f t="shared" si="35"/>
        <v>88493009.690000013</v>
      </c>
      <c r="C448" s="42">
        <v>19189.66</v>
      </c>
      <c r="D448" s="42">
        <v>297851.92</v>
      </c>
      <c r="E448" s="43">
        <f t="shared" si="29"/>
        <v>317041.57999999996</v>
      </c>
      <c r="F448" s="42">
        <v>5821101.8599999994</v>
      </c>
      <c r="G448" s="42">
        <v>4327024.6500000004</v>
      </c>
      <c r="H448" s="32">
        <f t="shared" si="28"/>
        <v>10148126.51</v>
      </c>
      <c r="I448" s="42"/>
      <c r="J448" s="42"/>
      <c r="K448" s="98">
        <v>17489699.079999998</v>
      </c>
      <c r="L448" s="42"/>
      <c r="M448" s="42"/>
      <c r="N448" s="98">
        <v>25521548.299999997</v>
      </c>
      <c r="O448" s="42"/>
      <c r="P448" s="42"/>
      <c r="Q448" s="98">
        <v>33911587.780000001</v>
      </c>
      <c r="R448" s="42"/>
      <c r="S448" s="42"/>
      <c r="T448" s="42">
        <v>166876.93999999997</v>
      </c>
      <c r="U448" s="42">
        <v>4650.07</v>
      </c>
      <c r="V448" s="42">
        <v>6734.61</v>
      </c>
      <c r="W448" s="42">
        <f t="shared" si="30"/>
        <v>11384.68</v>
      </c>
      <c r="X448" s="42">
        <v>50794.5</v>
      </c>
      <c r="Y448" s="42">
        <v>9793.84</v>
      </c>
      <c r="Z448" s="32">
        <f t="shared" si="31"/>
        <v>60588.34</v>
      </c>
      <c r="AA448" s="42">
        <v>21430.129999999997</v>
      </c>
      <c r="AB448" s="42">
        <v>99501.260000000009</v>
      </c>
      <c r="AC448" s="32">
        <f t="shared" si="32"/>
        <v>120931.39000000001</v>
      </c>
      <c r="AD448" s="42">
        <v>3259.75</v>
      </c>
      <c r="AE448" s="42">
        <v>27970.53</v>
      </c>
      <c r="AF448" s="32">
        <f t="shared" si="33"/>
        <v>31230.28</v>
      </c>
      <c r="AG448" s="32">
        <v>10978.05</v>
      </c>
      <c r="AH448" s="32">
        <v>79551.06</v>
      </c>
      <c r="AI448" s="32">
        <f t="shared" si="34"/>
        <v>90529.11</v>
      </c>
      <c r="AJ448" s="42"/>
      <c r="AK448" s="42"/>
      <c r="AL448" s="42">
        <v>24513.3</v>
      </c>
      <c r="AM448" s="42">
        <v>70811.05</v>
      </c>
      <c r="AN448" s="42">
        <v>38178.68</v>
      </c>
      <c r="AO448" s="42">
        <f t="shared" si="36"/>
        <v>108989.73000000001</v>
      </c>
      <c r="AP448" s="42"/>
      <c r="AQ448" s="42"/>
      <c r="AR448" s="42">
        <v>489962.67</v>
      </c>
      <c r="AS448" s="42"/>
      <c r="AT448" s="42"/>
      <c r="AU448" s="42">
        <v>1388644.69</v>
      </c>
      <c r="AV448" s="42"/>
      <c r="AW448" s="42"/>
      <c r="AX448" s="42">
        <v>49674.460000000006</v>
      </c>
      <c r="AY448" s="42">
        <v>5729070.9000000004</v>
      </c>
      <c r="AZ448" s="42">
        <v>1053740</v>
      </c>
      <c r="BA448" s="43">
        <f t="shared" si="38"/>
        <v>6782810.9000000004</v>
      </c>
      <c r="BB448" s="42"/>
      <c r="BC448" s="42"/>
      <c r="BD448" s="42">
        <v>1549555.111111111</v>
      </c>
      <c r="BE448" s="88">
        <v>0</v>
      </c>
      <c r="BF448" s="88">
        <v>0</v>
      </c>
      <c r="BG448" s="88">
        <v>100</v>
      </c>
      <c r="BH448" s="88">
        <v>0</v>
      </c>
      <c r="BI448" s="88">
        <v>0</v>
      </c>
      <c r="BJ448" s="88">
        <v>0</v>
      </c>
      <c r="BK448" s="88">
        <v>0</v>
      </c>
      <c r="BL448" s="88">
        <v>0</v>
      </c>
      <c r="BM448" s="88">
        <v>175</v>
      </c>
      <c r="BN448" s="88">
        <v>0</v>
      </c>
      <c r="BO448" s="88">
        <v>0</v>
      </c>
      <c r="BP448" s="88">
        <v>0</v>
      </c>
      <c r="BQ448" s="88">
        <v>0</v>
      </c>
      <c r="BR448" s="88">
        <v>0</v>
      </c>
      <c r="BS448" s="88">
        <v>1031</v>
      </c>
      <c r="BT448" s="88">
        <v>0</v>
      </c>
      <c r="BU448" s="88">
        <v>0</v>
      </c>
      <c r="BV448" s="88">
        <v>0</v>
      </c>
      <c r="BW448" s="88"/>
      <c r="BX448" s="88"/>
      <c r="BY448" s="88"/>
      <c r="BZ448" s="88">
        <v>0</v>
      </c>
      <c r="CA448" s="88">
        <v>0</v>
      </c>
      <c r="CB448" s="88">
        <v>276</v>
      </c>
      <c r="CC448" s="88"/>
      <c r="CD448" s="88"/>
      <c r="CE448" s="88"/>
      <c r="CF448" s="88">
        <v>0</v>
      </c>
      <c r="CG448" s="88">
        <v>0</v>
      </c>
      <c r="CH448" s="88">
        <v>5</v>
      </c>
      <c r="CI448" s="88">
        <v>0</v>
      </c>
      <c r="CJ448" s="88">
        <v>0</v>
      </c>
      <c r="CK448" s="88">
        <v>32</v>
      </c>
      <c r="CL448" s="88">
        <v>0</v>
      </c>
      <c r="CM448" s="88">
        <v>0</v>
      </c>
      <c r="CN448" s="88">
        <v>0</v>
      </c>
      <c r="CO448" s="88">
        <v>0</v>
      </c>
      <c r="CP448" s="88">
        <v>0</v>
      </c>
      <c r="CQ448" s="88">
        <v>4</v>
      </c>
      <c r="CR448" s="88">
        <v>0</v>
      </c>
      <c r="CS448" s="88">
        <v>0</v>
      </c>
      <c r="CT448" s="88">
        <v>0</v>
      </c>
      <c r="CU448" s="88">
        <v>0</v>
      </c>
      <c r="CV448" s="88">
        <v>0</v>
      </c>
      <c r="CW448" s="88">
        <v>348</v>
      </c>
      <c r="CX448" s="88">
        <v>0</v>
      </c>
      <c r="CY448" s="88">
        <v>0</v>
      </c>
      <c r="CZ448" s="88">
        <v>1</v>
      </c>
      <c r="DA448" s="88">
        <v>0</v>
      </c>
      <c r="DB448" s="88">
        <v>0</v>
      </c>
      <c r="DC448" s="88">
        <v>0</v>
      </c>
      <c r="DD448" s="88">
        <v>0</v>
      </c>
      <c r="DE448" s="88">
        <v>0</v>
      </c>
      <c r="DF448" s="88">
        <v>0</v>
      </c>
      <c r="DG448" s="88">
        <v>0</v>
      </c>
      <c r="DH448" s="88">
        <v>0</v>
      </c>
      <c r="DI448" s="88">
        <v>5</v>
      </c>
      <c r="DJ448" s="88">
        <v>0</v>
      </c>
      <c r="DK448" s="88">
        <v>0</v>
      </c>
      <c r="DL448" s="88">
        <v>0</v>
      </c>
      <c r="DM448" s="88">
        <v>0</v>
      </c>
      <c r="DN448" s="88">
        <v>0</v>
      </c>
      <c r="DO448" s="88">
        <v>0</v>
      </c>
      <c r="DP448" s="88">
        <v>0</v>
      </c>
      <c r="DQ448" s="88">
        <v>0</v>
      </c>
      <c r="DR448" s="87">
        <v>9</v>
      </c>
      <c r="DS448" s="87">
        <v>0</v>
      </c>
      <c r="DT448" s="87">
        <v>0</v>
      </c>
      <c r="DU448" s="87">
        <v>53</v>
      </c>
      <c r="DV448" s="87">
        <v>0</v>
      </c>
      <c r="DW448" s="87">
        <v>0</v>
      </c>
      <c r="DX448" s="87">
        <v>0</v>
      </c>
      <c r="DY448" s="88">
        <v>0</v>
      </c>
      <c r="DZ448" s="88">
        <v>0</v>
      </c>
      <c r="EA448" s="88">
        <v>1758</v>
      </c>
      <c r="EB448" s="88">
        <v>0</v>
      </c>
      <c r="EC448" s="88">
        <v>0</v>
      </c>
      <c r="ED448" s="88">
        <v>0</v>
      </c>
      <c r="EE448" s="88">
        <v>0</v>
      </c>
      <c r="EF448" s="88">
        <v>0</v>
      </c>
      <c r="EG448" s="88">
        <v>784</v>
      </c>
      <c r="EH448" s="88">
        <v>0</v>
      </c>
      <c r="EI448" s="88">
        <v>0</v>
      </c>
      <c r="EJ448" s="88">
        <v>91</v>
      </c>
      <c r="EK448" s="88">
        <v>0</v>
      </c>
      <c r="EL448" s="88">
        <v>0</v>
      </c>
      <c r="EM448" s="88">
        <v>444</v>
      </c>
      <c r="EN448" s="88">
        <v>0</v>
      </c>
      <c r="EO448" s="88">
        <v>0</v>
      </c>
      <c r="EP448" s="88">
        <v>187</v>
      </c>
      <c r="EQ448" s="88">
        <v>0</v>
      </c>
      <c r="ER448" s="88">
        <v>0</v>
      </c>
      <c r="ES448" s="88">
        <v>26</v>
      </c>
      <c r="ET448" s="88">
        <v>0</v>
      </c>
      <c r="EU448" s="88">
        <v>0</v>
      </c>
      <c r="EV448" s="88">
        <v>26</v>
      </c>
      <c r="EW448" s="88">
        <v>0</v>
      </c>
      <c r="EX448" s="88">
        <v>0</v>
      </c>
      <c r="EY448" s="88">
        <v>3</v>
      </c>
      <c r="EZ448" s="88">
        <v>0</v>
      </c>
      <c r="FA448" s="88">
        <v>0</v>
      </c>
      <c r="FB448" s="88">
        <v>2</v>
      </c>
      <c r="FC448" s="88">
        <v>0</v>
      </c>
      <c r="FD448" s="88">
        <v>0</v>
      </c>
      <c r="FE448" s="88">
        <v>6</v>
      </c>
      <c r="FF448" s="88">
        <v>0</v>
      </c>
      <c r="FG448" s="88">
        <v>0</v>
      </c>
      <c r="FH448" s="88">
        <v>0</v>
      </c>
      <c r="FI448" s="88">
        <v>0</v>
      </c>
      <c r="FJ448" s="88">
        <v>0</v>
      </c>
      <c r="FK448" s="32">
        <v>21</v>
      </c>
      <c r="FL448" s="88">
        <v>0</v>
      </c>
      <c r="FM448" s="88">
        <v>0</v>
      </c>
      <c r="FN448" s="88">
        <v>4216</v>
      </c>
      <c r="FO448" s="88">
        <v>0</v>
      </c>
      <c r="FP448" s="88">
        <v>0</v>
      </c>
      <c r="FQ448" s="88">
        <v>587</v>
      </c>
      <c r="FR448" s="88">
        <v>0</v>
      </c>
      <c r="FS448" s="88">
        <v>0</v>
      </c>
      <c r="FT448" s="88">
        <v>0</v>
      </c>
      <c r="FU448" s="88">
        <v>0</v>
      </c>
      <c r="FV448" s="88">
        <v>0</v>
      </c>
      <c r="FW448" s="88">
        <v>192</v>
      </c>
      <c r="FX448" s="32">
        <v>0</v>
      </c>
      <c r="FY448" s="32">
        <v>0</v>
      </c>
      <c r="FZ448" s="32">
        <v>303</v>
      </c>
      <c r="GB448" s="46">
        <f t="shared" si="37"/>
        <v>10685</v>
      </c>
    </row>
    <row r="449" spans="1:184" s="22" customFormat="1" x14ac:dyDescent="0.2">
      <c r="A449" s="41">
        <v>45231</v>
      </c>
      <c r="B449" s="100">
        <f t="shared" si="35"/>
        <v>98745493.150000006</v>
      </c>
      <c r="C449" s="42">
        <v>21508.19</v>
      </c>
      <c r="D449" s="42">
        <v>330652.20999999996</v>
      </c>
      <c r="E449" s="43">
        <f t="shared" si="29"/>
        <v>352160.39999999997</v>
      </c>
      <c r="F449" s="42">
        <v>7515951.4399999995</v>
      </c>
      <c r="G449" s="42">
        <v>6155859.7799999993</v>
      </c>
      <c r="H449" s="32">
        <f t="shared" si="28"/>
        <v>13671811.219999999</v>
      </c>
      <c r="I449" s="42"/>
      <c r="J449" s="42"/>
      <c r="K449" s="98">
        <v>16670580.08</v>
      </c>
      <c r="L449" s="42"/>
      <c r="M449" s="42"/>
      <c r="N449" s="98">
        <v>28933291.109999999</v>
      </c>
      <c r="O449" s="42"/>
      <c r="P449" s="42"/>
      <c r="Q449" s="98">
        <v>37705210.260000005</v>
      </c>
      <c r="R449" s="42"/>
      <c r="S449" s="42"/>
      <c r="T449" s="42">
        <v>131941.19</v>
      </c>
      <c r="U449" s="42">
        <v>11314.4</v>
      </c>
      <c r="V449" s="42">
        <v>15774.960000000001</v>
      </c>
      <c r="W449" s="42">
        <f t="shared" si="30"/>
        <v>27089.360000000001</v>
      </c>
      <c r="X449" s="42">
        <v>42449</v>
      </c>
      <c r="Y449" s="42">
        <v>11701.44</v>
      </c>
      <c r="Z449" s="32">
        <f t="shared" si="31"/>
        <v>54150.44</v>
      </c>
      <c r="AA449" s="42">
        <v>32803.53</v>
      </c>
      <c r="AB449" s="42">
        <v>135864.63000000003</v>
      </c>
      <c r="AC449" s="32">
        <f t="shared" si="32"/>
        <v>168668.16000000003</v>
      </c>
      <c r="AD449" s="42">
        <v>2350.75</v>
      </c>
      <c r="AE449" s="42">
        <v>49329.25</v>
      </c>
      <c r="AF449" s="32">
        <f t="shared" si="33"/>
        <v>51680</v>
      </c>
      <c r="AG449" s="32">
        <v>11242.55</v>
      </c>
      <c r="AH449" s="32">
        <v>144440.49</v>
      </c>
      <c r="AI449" s="32">
        <f t="shared" si="34"/>
        <v>155683.03999999998</v>
      </c>
      <c r="AJ449" s="42"/>
      <c r="AK449" s="42"/>
      <c r="AL449" s="42">
        <v>45094.05</v>
      </c>
      <c r="AM449" s="42">
        <v>150557.72</v>
      </c>
      <c r="AN449" s="42">
        <v>27008.120000000003</v>
      </c>
      <c r="AO449" s="42">
        <f t="shared" si="36"/>
        <v>177565.84</v>
      </c>
      <c r="AP449" s="42"/>
      <c r="AQ449" s="42"/>
      <c r="AR449" s="42">
        <v>600567.99999999988</v>
      </c>
      <c r="AS449" s="42"/>
      <c r="AT449" s="42"/>
      <c r="AU449" s="42">
        <v>1616213.39</v>
      </c>
      <c r="AV449" s="42"/>
      <c r="AW449" s="42"/>
      <c r="AX449" s="42">
        <v>41436.230000000003</v>
      </c>
      <c r="AY449" s="42">
        <v>6563830.7999999998</v>
      </c>
      <c r="AZ449" s="42">
        <v>1542080</v>
      </c>
      <c r="BA449" s="43">
        <f t="shared" si="38"/>
        <v>8105910.7999999998</v>
      </c>
      <c r="BB449" s="42"/>
      <c r="BC449" s="42"/>
      <c r="BD449" s="42">
        <v>1967188.5555555555</v>
      </c>
      <c r="BE449" s="88">
        <v>0</v>
      </c>
      <c r="BF449" s="88">
        <v>0</v>
      </c>
      <c r="BG449" s="88">
        <v>79</v>
      </c>
      <c r="BH449" s="88">
        <v>0</v>
      </c>
      <c r="BI449" s="88">
        <v>0</v>
      </c>
      <c r="BJ449" s="88">
        <v>4</v>
      </c>
      <c r="BK449" s="88">
        <v>0</v>
      </c>
      <c r="BL449" s="88">
        <v>0</v>
      </c>
      <c r="BM449" s="88">
        <v>220</v>
      </c>
      <c r="BN449" s="88">
        <v>0</v>
      </c>
      <c r="BO449" s="88">
        <v>0</v>
      </c>
      <c r="BP449" s="88">
        <v>0</v>
      </c>
      <c r="BQ449" s="88">
        <v>0</v>
      </c>
      <c r="BR449" s="88">
        <v>0</v>
      </c>
      <c r="BS449" s="88">
        <v>1007</v>
      </c>
      <c r="BT449" s="88">
        <v>0</v>
      </c>
      <c r="BU449" s="88">
        <v>0</v>
      </c>
      <c r="BV449" s="88">
        <v>0</v>
      </c>
      <c r="BW449" s="88"/>
      <c r="BX449" s="88"/>
      <c r="BY449" s="88"/>
      <c r="BZ449" s="88">
        <v>0</v>
      </c>
      <c r="CA449" s="88">
        <v>0</v>
      </c>
      <c r="CB449" s="88">
        <v>246</v>
      </c>
      <c r="CC449" s="88"/>
      <c r="CD449" s="88"/>
      <c r="CE449" s="88"/>
      <c r="CF449" s="88">
        <v>0</v>
      </c>
      <c r="CG449" s="88">
        <v>0</v>
      </c>
      <c r="CH449" s="88">
        <v>0</v>
      </c>
      <c r="CI449" s="88">
        <v>0</v>
      </c>
      <c r="CJ449" s="88">
        <v>0</v>
      </c>
      <c r="CK449" s="88">
        <v>43</v>
      </c>
      <c r="CL449" s="88">
        <v>0</v>
      </c>
      <c r="CM449" s="88">
        <v>0</v>
      </c>
      <c r="CN449" s="88">
        <v>0</v>
      </c>
      <c r="CO449" s="88">
        <v>0</v>
      </c>
      <c r="CP449" s="88">
        <v>0</v>
      </c>
      <c r="CQ449" s="88">
        <v>43</v>
      </c>
      <c r="CR449" s="88">
        <v>0</v>
      </c>
      <c r="CS449" s="88">
        <v>0</v>
      </c>
      <c r="CT449" s="88">
        <v>2</v>
      </c>
      <c r="CU449" s="88">
        <v>0</v>
      </c>
      <c r="CV449" s="88">
        <v>0</v>
      </c>
      <c r="CW449" s="88">
        <v>260</v>
      </c>
      <c r="CX449" s="88">
        <v>0</v>
      </c>
      <c r="CY449" s="88">
        <v>0</v>
      </c>
      <c r="CZ449" s="88">
        <v>2</v>
      </c>
      <c r="DA449" s="88">
        <v>0</v>
      </c>
      <c r="DB449" s="88">
        <v>0</v>
      </c>
      <c r="DC449" s="88">
        <v>0</v>
      </c>
      <c r="DD449" s="88">
        <v>0</v>
      </c>
      <c r="DE449" s="88">
        <v>0</v>
      </c>
      <c r="DF449" s="88">
        <v>0</v>
      </c>
      <c r="DG449" s="88">
        <v>0</v>
      </c>
      <c r="DH449" s="88">
        <v>0</v>
      </c>
      <c r="DI449" s="88">
        <v>4</v>
      </c>
      <c r="DJ449" s="88">
        <v>0</v>
      </c>
      <c r="DK449" s="88">
        <v>0</v>
      </c>
      <c r="DL449" s="88">
        <v>0</v>
      </c>
      <c r="DM449" s="88">
        <v>0</v>
      </c>
      <c r="DN449" s="88">
        <v>0</v>
      </c>
      <c r="DO449" s="88">
        <v>0</v>
      </c>
      <c r="DP449" s="88">
        <v>0</v>
      </c>
      <c r="DQ449" s="88">
        <v>0</v>
      </c>
      <c r="DR449" s="87">
        <v>7</v>
      </c>
      <c r="DS449" s="87">
        <v>0</v>
      </c>
      <c r="DT449" s="87">
        <v>0</v>
      </c>
      <c r="DU449" s="87">
        <v>133</v>
      </c>
      <c r="DV449" s="87">
        <v>0</v>
      </c>
      <c r="DW449" s="87">
        <v>0</v>
      </c>
      <c r="DX449" s="87">
        <v>0</v>
      </c>
      <c r="DY449" s="88">
        <v>0</v>
      </c>
      <c r="DZ449" s="88">
        <v>0</v>
      </c>
      <c r="EA449" s="88">
        <v>1757</v>
      </c>
      <c r="EB449" s="88">
        <v>0</v>
      </c>
      <c r="EC449" s="88">
        <v>0</v>
      </c>
      <c r="ED449" s="88">
        <v>0</v>
      </c>
      <c r="EE449" s="88">
        <v>0</v>
      </c>
      <c r="EF449" s="88">
        <v>0</v>
      </c>
      <c r="EG449" s="88">
        <v>667</v>
      </c>
      <c r="EH449" s="88">
        <v>0</v>
      </c>
      <c r="EI449" s="88">
        <v>0</v>
      </c>
      <c r="EJ449" s="88">
        <v>73</v>
      </c>
      <c r="EK449" s="88">
        <v>0</v>
      </c>
      <c r="EL449" s="88">
        <v>0</v>
      </c>
      <c r="EM449" s="88">
        <v>415</v>
      </c>
      <c r="EN449" s="88">
        <v>0</v>
      </c>
      <c r="EO449" s="88">
        <v>0</v>
      </c>
      <c r="EP449" s="88">
        <v>178</v>
      </c>
      <c r="EQ449" s="88">
        <v>0</v>
      </c>
      <c r="ER449" s="88">
        <v>0</v>
      </c>
      <c r="ES449" s="88">
        <v>11</v>
      </c>
      <c r="ET449" s="88">
        <v>0</v>
      </c>
      <c r="EU449" s="88">
        <v>0</v>
      </c>
      <c r="EV449" s="88">
        <v>14</v>
      </c>
      <c r="EW449" s="88">
        <v>0</v>
      </c>
      <c r="EX449" s="88">
        <v>0</v>
      </c>
      <c r="EY449" s="88">
        <v>7</v>
      </c>
      <c r="EZ449" s="88">
        <v>0</v>
      </c>
      <c r="FA449" s="88">
        <v>0</v>
      </c>
      <c r="FB449" s="88">
        <v>2</v>
      </c>
      <c r="FC449" s="88">
        <v>0</v>
      </c>
      <c r="FD449" s="88">
        <v>0</v>
      </c>
      <c r="FE449" s="88">
        <v>2</v>
      </c>
      <c r="FF449" s="88">
        <v>0</v>
      </c>
      <c r="FG449" s="88">
        <v>0</v>
      </c>
      <c r="FH449" s="88">
        <v>0</v>
      </c>
      <c r="FI449" s="88">
        <v>0</v>
      </c>
      <c r="FJ449" s="88">
        <v>0</v>
      </c>
      <c r="FK449" s="32">
        <v>20</v>
      </c>
      <c r="FL449" s="88">
        <v>0</v>
      </c>
      <c r="FM449" s="88">
        <v>0</v>
      </c>
      <c r="FN449" s="88">
        <v>4816</v>
      </c>
      <c r="FO449" s="88">
        <v>0</v>
      </c>
      <c r="FP449" s="88">
        <v>0</v>
      </c>
      <c r="FQ449" s="88">
        <v>778</v>
      </c>
      <c r="FR449" s="88">
        <v>0</v>
      </c>
      <c r="FS449" s="88">
        <v>0</v>
      </c>
      <c r="FT449" s="88">
        <v>0</v>
      </c>
      <c r="FU449" s="88">
        <v>0</v>
      </c>
      <c r="FV449" s="88">
        <v>0</v>
      </c>
      <c r="FW449" s="88">
        <v>216</v>
      </c>
      <c r="FX449" s="32">
        <v>0</v>
      </c>
      <c r="FY449" s="32">
        <v>0</v>
      </c>
      <c r="FZ449" s="32">
        <v>122</v>
      </c>
      <c r="GB449" s="46">
        <f t="shared" si="37"/>
        <v>11128</v>
      </c>
    </row>
    <row r="450" spans="1:184" s="97" customFormat="1" x14ac:dyDescent="0.2">
      <c r="A450" s="92">
        <v>45261</v>
      </c>
      <c r="B450" s="93">
        <f t="shared" si="35"/>
        <v>107841496.78999998</v>
      </c>
      <c r="C450" s="94">
        <v>19021.939999999999</v>
      </c>
      <c r="D450" s="94">
        <v>430212.94</v>
      </c>
      <c r="E450" s="93">
        <f t="shared" si="29"/>
        <v>449234.88</v>
      </c>
      <c r="F450" s="94">
        <v>6817966.4699999997</v>
      </c>
      <c r="G450" s="94">
        <v>7174613.9299999978</v>
      </c>
      <c r="H450" s="95">
        <f t="shared" si="28"/>
        <v>13992580.399999999</v>
      </c>
      <c r="I450" s="94"/>
      <c r="J450" s="94"/>
      <c r="K450" s="99">
        <v>18710220.809999999</v>
      </c>
      <c r="L450" s="94"/>
      <c r="M450" s="94"/>
      <c r="N450" s="99">
        <v>35192926.450000003</v>
      </c>
      <c r="O450" s="94"/>
      <c r="P450" s="94"/>
      <c r="Q450" s="99">
        <v>37811533.079999998</v>
      </c>
      <c r="R450" s="94"/>
      <c r="S450" s="94"/>
      <c r="T450" s="94">
        <v>83147.33</v>
      </c>
      <c r="U450" s="94">
        <v>16572.75</v>
      </c>
      <c r="V450" s="94">
        <v>39625.1</v>
      </c>
      <c r="W450" s="94">
        <f t="shared" si="30"/>
        <v>56197.85</v>
      </c>
      <c r="X450" s="94">
        <v>67351.5</v>
      </c>
      <c r="Y450" s="94">
        <v>19143.289999999997</v>
      </c>
      <c r="Z450" s="95">
        <f t="shared" si="31"/>
        <v>86494.79</v>
      </c>
      <c r="AA450" s="94">
        <v>21774.799999999999</v>
      </c>
      <c r="AB450" s="94">
        <v>198918.59000000003</v>
      </c>
      <c r="AC450" s="95">
        <f t="shared" si="32"/>
        <v>220693.39</v>
      </c>
      <c r="AD450" s="94">
        <v>2956.75</v>
      </c>
      <c r="AE450" s="94">
        <v>75439.39</v>
      </c>
      <c r="AF450" s="95">
        <f t="shared" si="33"/>
        <v>78396.14</v>
      </c>
      <c r="AG450" s="95">
        <v>9989.33</v>
      </c>
      <c r="AH450" s="95">
        <v>235643.8</v>
      </c>
      <c r="AI450" s="95">
        <f t="shared" si="34"/>
        <v>245633.12999999998</v>
      </c>
      <c r="AJ450" s="94"/>
      <c r="AK450" s="94"/>
      <c r="AL450" s="94">
        <v>38626.199999999997</v>
      </c>
      <c r="AM450" s="94">
        <v>13460.3</v>
      </c>
      <c r="AN450" s="94">
        <v>67040.02</v>
      </c>
      <c r="AO450" s="94">
        <f t="shared" si="36"/>
        <v>80500.320000000007</v>
      </c>
      <c r="AP450" s="94"/>
      <c r="AQ450" s="94"/>
      <c r="AR450" s="94">
        <v>795312.02</v>
      </c>
      <c r="AS450" s="94"/>
      <c r="AT450" s="94"/>
      <c r="AU450" s="94">
        <v>1456698.0999999996</v>
      </c>
      <c r="AV450" s="94"/>
      <c r="AW450" s="94"/>
      <c r="AX450" s="94">
        <v>36224.17</v>
      </c>
      <c r="AY450" s="94">
        <v>11590623.800000001</v>
      </c>
      <c r="AZ450" s="94">
        <v>1028980</v>
      </c>
      <c r="BA450" s="93">
        <f t="shared" si="38"/>
        <v>12619603.800000001</v>
      </c>
      <c r="BB450" s="94"/>
      <c r="BC450" s="94"/>
      <c r="BD450" s="94">
        <v>2316499.4666666663</v>
      </c>
      <c r="BE450" s="117">
        <v>0</v>
      </c>
      <c r="BF450" s="117">
        <v>0</v>
      </c>
      <c r="BG450" s="117">
        <v>71</v>
      </c>
      <c r="BH450" s="117">
        <v>0</v>
      </c>
      <c r="BI450" s="117">
        <v>0</v>
      </c>
      <c r="BJ450" s="117">
        <v>6</v>
      </c>
      <c r="BK450" s="117">
        <v>0</v>
      </c>
      <c r="BL450" s="117">
        <v>0</v>
      </c>
      <c r="BM450" s="117">
        <v>293</v>
      </c>
      <c r="BN450" s="117">
        <v>0</v>
      </c>
      <c r="BO450" s="117">
        <v>0</v>
      </c>
      <c r="BP450" s="117">
        <v>1</v>
      </c>
      <c r="BQ450" s="117">
        <v>0</v>
      </c>
      <c r="BR450" s="117">
        <v>0</v>
      </c>
      <c r="BS450" s="117">
        <v>1200</v>
      </c>
      <c r="BT450" s="117">
        <v>0</v>
      </c>
      <c r="BU450" s="117">
        <v>0</v>
      </c>
      <c r="BV450" s="117">
        <v>0</v>
      </c>
      <c r="BW450" s="117"/>
      <c r="BX450" s="117"/>
      <c r="BY450" s="117"/>
      <c r="BZ450" s="117">
        <v>0</v>
      </c>
      <c r="CA450" s="117">
        <v>0</v>
      </c>
      <c r="CB450" s="117">
        <v>556</v>
      </c>
      <c r="CC450" s="117"/>
      <c r="CD450" s="117"/>
      <c r="CE450" s="117"/>
      <c r="CF450" s="117">
        <v>0</v>
      </c>
      <c r="CG450" s="117">
        <v>0</v>
      </c>
      <c r="CH450" s="117">
        <v>2</v>
      </c>
      <c r="CI450" s="117">
        <v>0</v>
      </c>
      <c r="CJ450" s="117">
        <v>0</v>
      </c>
      <c r="CK450" s="117">
        <v>14</v>
      </c>
      <c r="CL450" s="117">
        <v>0</v>
      </c>
      <c r="CM450" s="117">
        <v>0</v>
      </c>
      <c r="CN450" s="117">
        <v>0</v>
      </c>
      <c r="CO450" s="117">
        <v>0</v>
      </c>
      <c r="CP450" s="117">
        <v>0</v>
      </c>
      <c r="CQ450" s="117">
        <v>8</v>
      </c>
      <c r="CR450" s="117">
        <v>0</v>
      </c>
      <c r="CS450" s="117">
        <v>0</v>
      </c>
      <c r="CT450" s="117">
        <v>0</v>
      </c>
      <c r="CU450" s="117">
        <v>0</v>
      </c>
      <c r="CV450" s="117">
        <v>0</v>
      </c>
      <c r="CW450" s="117">
        <v>119</v>
      </c>
      <c r="CX450" s="117">
        <v>0</v>
      </c>
      <c r="CY450" s="117">
        <v>0</v>
      </c>
      <c r="CZ450" s="117">
        <v>0</v>
      </c>
      <c r="DA450" s="117">
        <v>0</v>
      </c>
      <c r="DB450" s="117">
        <v>0</v>
      </c>
      <c r="DC450" s="117">
        <v>0</v>
      </c>
      <c r="DD450" s="117">
        <v>0</v>
      </c>
      <c r="DE450" s="117">
        <v>0</v>
      </c>
      <c r="DF450" s="117">
        <v>0</v>
      </c>
      <c r="DG450" s="117">
        <v>0</v>
      </c>
      <c r="DH450" s="117">
        <v>0</v>
      </c>
      <c r="DI450" s="117">
        <v>4</v>
      </c>
      <c r="DJ450" s="117">
        <v>0</v>
      </c>
      <c r="DK450" s="117">
        <v>0</v>
      </c>
      <c r="DL450" s="117">
        <v>0</v>
      </c>
      <c r="DM450" s="117">
        <v>0</v>
      </c>
      <c r="DN450" s="117">
        <v>0</v>
      </c>
      <c r="DO450" s="117">
        <v>0</v>
      </c>
      <c r="DP450" s="117">
        <v>0</v>
      </c>
      <c r="DQ450" s="117">
        <v>0</v>
      </c>
      <c r="DR450" s="95">
        <v>11</v>
      </c>
      <c r="DS450" s="95">
        <v>0</v>
      </c>
      <c r="DT450" s="95">
        <v>0</v>
      </c>
      <c r="DU450" s="95">
        <v>127</v>
      </c>
      <c r="DV450" s="95">
        <v>0</v>
      </c>
      <c r="DW450" s="95">
        <v>0</v>
      </c>
      <c r="DX450" s="95">
        <v>0</v>
      </c>
      <c r="DY450" s="117">
        <v>0</v>
      </c>
      <c r="DZ450" s="117">
        <v>0</v>
      </c>
      <c r="EA450" s="117">
        <v>1846</v>
      </c>
      <c r="EB450" s="117">
        <v>0</v>
      </c>
      <c r="EC450" s="117">
        <v>0</v>
      </c>
      <c r="ED450" s="117">
        <v>0</v>
      </c>
      <c r="EE450" s="117">
        <v>0</v>
      </c>
      <c r="EF450" s="117">
        <v>0</v>
      </c>
      <c r="EG450" s="117">
        <v>543</v>
      </c>
      <c r="EH450" s="117">
        <v>0</v>
      </c>
      <c r="EI450" s="117">
        <v>0</v>
      </c>
      <c r="EJ450" s="117">
        <v>130</v>
      </c>
      <c r="EK450" s="117">
        <v>0</v>
      </c>
      <c r="EL450" s="117">
        <v>0</v>
      </c>
      <c r="EM450" s="117">
        <v>506</v>
      </c>
      <c r="EN450" s="117">
        <v>0</v>
      </c>
      <c r="EO450" s="117">
        <v>0</v>
      </c>
      <c r="EP450" s="117">
        <v>297</v>
      </c>
      <c r="EQ450" s="117">
        <v>0</v>
      </c>
      <c r="ER450" s="117">
        <v>0</v>
      </c>
      <c r="ES450" s="117">
        <v>11</v>
      </c>
      <c r="ET450" s="117">
        <v>0</v>
      </c>
      <c r="EU450" s="117">
        <v>0</v>
      </c>
      <c r="EV450" s="117">
        <v>23</v>
      </c>
      <c r="EW450" s="117">
        <v>0</v>
      </c>
      <c r="EX450" s="117">
        <v>0</v>
      </c>
      <c r="EY450" s="117">
        <v>4</v>
      </c>
      <c r="EZ450" s="117">
        <v>0</v>
      </c>
      <c r="FA450" s="117">
        <v>0</v>
      </c>
      <c r="FB450" s="117">
        <v>3</v>
      </c>
      <c r="FC450" s="117">
        <v>0</v>
      </c>
      <c r="FD450" s="117">
        <v>0</v>
      </c>
      <c r="FE450" s="117">
        <v>4</v>
      </c>
      <c r="FF450" s="117">
        <v>0</v>
      </c>
      <c r="FG450" s="117">
        <v>0</v>
      </c>
      <c r="FH450" s="117">
        <v>0</v>
      </c>
      <c r="FI450" s="117">
        <v>0</v>
      </c>
      <c r="FJ450" s="117">
        <v>0</v>
      </c>
      <c r="FK450" s="95">
        <v>14</v>
      </c>
      <c r="FL450" s="117">
        <v>0</v>
      </c>
      <c r="FM450" s="117">
        <v>0</v>
      </c>
      <c r="FN450" s="117">
        <v>5317</v>
      </c>
      <c r="FO450" s="117">
        <v>0</v>
      </c>
      <c r="FP450" s="117">
        <v>0</v>
      </c>
      <c r="FQ450" s="117">
        <v>857</v>
      </c>
      <c r="FR450" s="117">
        <v>0</v>
      </c>
      <c r="FS450" s="117">
        <v>0</v>
      </c>
      <c r="FT450" s="117">
        <v>0</v>
      </c>
      <c r="FU450" s="117">
        <v>0</v>
      </c>
      <c r="FV450" s="117">
        <v>0</v>
      </c>
      <c r="FW450" s="117">
        <v>232</v>
      </c>
      <c r="FX450" s="95">
        <v>0</v>
      </c>
      <c r="FY450" s="95">
        <v>0</v>
      </c>
      <c r="FZ450" s="95">
        <v>126</v>
      </c>
      <c r="GB450" s="46">
        <f t="shared" si="37"/>
        <v>12325</v>
      </c>
    </row>
    <row r="451" spans="1:184" s="22" customFormat="1" x14ac:dyDescent="0.2">
      <c r="A451" s="41">
        <v>45292</v>
      </c>
      <c r="B451" s="100">
        <f t="shared" si="35"/>
        <v>89307754.160000011</v>
      </c>
      <c r="C451" s="42">
        <v>12244.85</v>
      </c>
      <c r="D451" s="42">
        <v>145222.34</v>
      </c>
      <c r="E451" s="43">
        <f t="shared" si="29"/>
        <v>157467.19</v>
      </c>
      <c r="F451" s="42">
        <v>4009945.24</v>
      </c>
      <c r="G451" s="42">
        <v>3512692.47</v>
      </c>
      <c r="H451" s="32">
        <f t="shared" si="28"/>
        <v>7522637.7100000009</v>
      </c>
      <c r="I451" s="42"/>
      <c r="J451" s="42"/>
      <c r="K451" s="98">
        <v>18814507.900000002</v>
      </c>
      <c r="L451" s="42"/>
      <c r="M451" s="42"/>
      <c r="N451" s="98">
        <v>23864644.280000001</v>
      </c>
      <c r="O451" s="42"/>
      <c r="P451" s="42"/>
      <c r="Q451" s="98">
        <v>37669504.25</v>
      </c>
      <c r="R451" s="42"/>
      <c r="S451" s="42"/>
      <c r="T451" s="42">
        <v>216329.77</v>
      </c>
      <c r="U451" s="42">
        <v>8240.85</v>
      </c>
      <c r="V451" s="42">
        <v>3229.6</v>
      </c>
      <c r="W451" s="42">
        <f t="shared" si="30"/>
        <v>11470.45</v>
      </c>
      <c r="X451" s="42">
        <v>15480</v>
      </c>
      <c r="Y451" s="42">
        <v>9417.39</v>
      </c>
      <c r="Z451" s="32">
        <f t="shared" si="31"/>
        <v>24897.39</v>
      </c>
      <c r="AA451" s="42">
        <v>42573.2</v>
      </c>
      <c r="AB451" s="42">
        <v>130135.35999999999</v>
      </c>
      <c r="AC451" s="32">
        <f t="shared" si="32"/>
        <v>172708.56</v>
      </c>
      <c r="AD451" s="42">
        <v>3197.2</v>
      </c>
      <c r="AE451" s="42">
        <v>16939.740000000002</v>
      </c>
      <c r="AF451" s="32">
        <f t="shared" si="33"/>
        <v>20136.940000000002</v>
      </c>
      <c r="AG451" s="32">
        <v>7827.6500000000005</v>
      </c>
      <c r="AH451" s="32">
        <v>123522.77000000002</v>
      </c>
      <c r="AI451" s="32">
        <f t="shared" si="34"/>
        <v>131350.42000000001</v>
      </c>
      <c r="AJ451" s="42"/>
      <c r="AK451" s="42"/>
      <c r="AL451" s="42">
        <v>42823.35</v>
      </c>
      <c r="AM451" s="42">
        <v>342.72</v>
      </c>
      <c r="AN451" s="42">
        <v>38379.469999999994</v>
      </c>
      <c r="AO451" s="42">
        <f t="shared" ref="AO451:AO473" si="39">+AM451+AN451</f>
        <v>38722.189999999995</v>
      </c>
      <c r="AP451" s="42"/>
      <c r="AQ451" s="42"/>
      <c r="AR451" s="42">
        <v>620553.75999999989</v>
      </c>
      <c r="AS451" s="42"/>
      <c r="AT451" s="42"/>
      <c r="AU451" s="42">
        <v>1282441.6100000003</v>
      </c>
      <c r="AV451" s="42"/>
      <c r="AW451" s="42"/>
      <c r="AX451" s="42">
        <v>27669.759999999998</v>
      </c>
      <c r="AY451" s="42">
        <v>2533265</v>
      </c>
      <c r="AZ451" s="42">
        <v>1007252.2115</v>
      </c>
      <c r="BA451" s="43">
        <f t="shared" si="38"/>
        <v>3540517.2115000002</v>
      </c>
      <c r="BB451" s="42"/>
      <c r="BC451" s="42"/>
      <c r="BD451" s="42">
        <v>872994.11111111112</v>
      </c>
      <c r="BE451" s="88">
        <v>0</v>
      </c>
      <c r="BF451" s="88">
        <v>0</v>
      </c>
      <c r="BG451" s="88">
        <v>96</v>
      </c>
      <c r="BH451" s="88">
        <v>0</v>
      </c>
      <c r="BI451" s="88">
        <v>0</v>
      </c>
      <c r="BJ451" s="88">
        <v>0</v>
      </c>
      <c r="BK451" s="88">
        <v>0</v>
      </c>
      <c r="BL451" s="88">
        <v>0</v>
      </c>
      <c r="BM451" s="88">
        <v>247</v>
      </c>
      <c r="BN451" s="88">
        <v>0</v>
      </c>
      <c r="BO451" s="88">
        <v>0</v>
      </c>
      <c r="BP451" s="88">
        <v>1</v>
      </c>
      <c r="BQ451" s="88">
        <v>0</v>
      </c>
      <c r="BR451" s="88">
        <v>0</v>
      </c>
      <c r="BS451" s="88">
        <v>922</v>
      </c>
      <c r="BT451" s="88">
        <v>0</v>
      </c>
      <c r="BU451" s="88">
        <v>0</v>
      </c>
      <c r="BV451" s="88">
        <v>0</v>
      </c>
      <c r="BW451" s="88">
        <v>0</v>
      </c>
      <c r="BX451" s="88">
        <v>0</v>
      </c>
      <c r="BY451" s="88">
        <v>0</v>
      </c>
      <c r="BZ451" s="88">
        <v>0</v>
      </c>
      <c r="CA451" s="88">
        <v>0</v>
      </c>
      <c r="CB451" s="88">
        <v>218</v>
      </c>
      <c r="CC451" s="88"/>
      <c r="CD451" s="88"/>
      <c r="CE451" s="88"/>
      <c r="CF451" s="88">
        <v>0</v>
      </c>
      <c r="CG451" s="88">
        <v>0</v>
      </c>
      <c r="CH451" s="88">
        <v>4</v>
      </c>
      <c r="CI451" s="88">
        <v>0</v>
      </c>
      <c r="CJ451" s="88">
        <v>0</v>
      </c>
      <c r="CK451" s="88">
        <v>45</v>
      </c>
      <c r="CL451" s="88">
        <v>0</v>
      </c>
      <c r="CM451" s="88">
        <v>0</v>
      </c>
      <c r="CN451" s="88">
        <v>1</v>
      </c>
      <c r="CO451" s="88">
        <v>0</v>
      </c>
      <c r="CP451" s="88">
        <v>0</v>
      </c>
      <c r="CQ451" s="88">
        <v>9</v>
      </c>
      <c r="CR451" s="88">
        <v>0</v>
      </c>
      <c r="CS451" s="88">
        <v>0</v>
      </c>
      <c r="CT451" s="88">
        <v>0</v>
      </c>
      <c r="CU451" s="88">
        <v>0</v>
      </c>
      <c r="CV451" s="88">
        <v>0</v>
      </c>
      <c r="CW451" s="88">
        <v>225</v>
      </c>
      <c r="CX451" s="88">
        <v>0</v>
      </c>
      <c r="CY451" s="88">
        <v>0</v>
      </c>
      <c r="CZ451" s="88">
        <v>0</v>
      </c>
      <c r="DA451" s="88">
        <v>0</v>
      </c>
      <c r="DB451" s="88">
        <v>0</v>
      </c>
      <c r="DC451" s="88">
        <v>0</v>
      </c>
      <c r="DD451" s="88">
        <v>0</v>
      </c>
      <c r="DE451" s="88">
        <v>0</v>
      </c>
      <c r="DF451" s="88">
        <v>0</v>
      </c>
      <c r="DG451" s="88">
        <v>0</v>
      </c>
      <c r="DH451" s="88">
        <v>0</v>
      </c>
      <c r="DI451" s="88">
        <v>4</v>
      </c>
      <c r="DJ451" s="88">
        <v>0</v>
      </c>
      <c r="DK451" s="88">
        <v>0</v>
      </c>
      <c r="DL451" s="88">
        <v>0</v>
      </c>
      <c r="DM451" s="88">
        <v>0</v>
      </c>
      <c r="DN451" s="88">
        <v>0</v>
      </c>
      <c r="DO451" s="88">
        <v>0</v>
      </c>
      <c r="DP451" s="88">
        <v>0</v>
      </c>
      <c r="DQ451" s="88">
        <v>0</v>
      </c>
      <c r="DR451" s="87">
        <v>5</v>
      </c>
      <c r="DS451" s="87">
        <v>0</v>
      </c>
      <c r="DT451" s="87">
        <v>0</v>
      </c>
      <c r="DU451" s="87">
        <v>114</v>
      </c>
      <c r="DV451" s="87">
        <v>0</v>
      </c>
      <c r="DW451" s="87">
        <v>0</v>
      </c>
      <c r="DX451" s="87">
        <v>0</v>
      </c>
      <c r="DY451" s="88">
        <v>0</v>
      </c>
      <c r="DZ451" s="88">
        <v>0</v>
      </c>
      <c r="EA451" s="88">
        <v>943</v>
      </c>
      <c r="EB451" s="88">
        <v>0</v>
      </c>
      <c r="EC451" s="88">
        <v>0</v>
      </c>
      <c r="ED451" s="88">
        <v>5</v>
      </c>
      <c r="EE451" s="88">
        <v>0</v>
      </c>
      <c r="EF451" s="88">
        <v>0</v>
      </c>
      <c r="EG451" s="88">
        <v>499</v>
      </c>
      <c r="EH451" s="88">
        <v>0</v>
      </c>
      <c r="EI451" s="88">
        <v>0</v>
      </c>
      <c r="EJ451" s="88">
        <v>90</v>
      </c>
      <c r="EK451" s="88">
        <v>0</v>
      </c>
      <c r="EL451" s="88">
        <v>0</v>
      </c>
      <c r="EM451" s="88">
        <v>522</v>
      </c>
      <c r="EN451" s="88">
        <v>0</v>
      </c>
      <c r="EO451" s="88">
        <v>0</v>
      </c>
      <c r="EP451" s="88">
        <v>139</v>
      </c>
      <c r="EQ451" s="88">
        <v>0</v>
      </c>
      <c r="ER451" s="88">
        <v>0</v>
      </c>
      <c r="ES451" s="88">
        <v>4</v>
      </c>
      <c r="ET451" s="88">
        <v>0</v>
      </c>
      <c r="EU451" s="88">
        <v>0</v>
      </c>
      <c r="EV451" s="88">
        <v>32</v>
      </c>
      <c r="EW451" s="88">
        <v>0</v>
      </c>
      <c r="EX451" s="88">
        <v>0</v>
      </c>
      <c r="EY451" s="88">
        <v>1</v>
      </c>
      <c r="EZ451" s="88">
        <v>0</v>
      </c>
      <c r="FA451" s="88">
        <v>0</v>
      </c>
      <c r="FB451" s="88">
        <v>2</v>
      </c>
      <c r="FC451" s="88">
        <v>0</v>
      </c>
      <c r="FD451" s="88">
        <v>0</v>
      </c>
      <c r="FE451" s="88">
        <v>1</v>
      </c>
      <c r="FF451" s="88">
        <v>0</v>
      </c>
      <c r="FG451" s="88">
        <v>0</v>
      </c>
      <c r="FH451" s="88">
        <v>0</v>
      </c>
      <c r="FI451" s="88">
        <v>0</v>
      </c>
      <c r="FJ451" s="88">
        <v>0</v>
      </c>
      <c r="FK451" s="32">
        <v>80</v>
      </c>
      <c r="FL451" s="88">
        <v>0</v>
      </c>
      <c r="FM451" s="88">
        <v>0</v>
      </c>
      <c r="FN451" s="88">
        <v>4385</v>
      </c>
      <c r="FO451" s="88">
        <v>0</v>
      </c>
      <c r="FP451" s="88">
        <v>0</v>
      </c>
      <c r="FQ451" s="88">
        <v>970</v>
      </c>
      <c r="FR451" s="88">
        <v>0</v>
      </c>
      <c r="FS451" s="88">
        <v>0</v>
      </c>
      <c r="FT451" s="88">
        <v>0</v>
      </c>
      <c r="FU451" s="88">
        <v>0</v>
      </c>
      <c r="FV451" s="88">
        <v>0</v>
      </c>
      <c r="FW451" s="88">
        <v>267</v>
      </c>
      <c r="FX451" s="32">
        <v>0</v>
      </c>
      <c r="FY451" s="32">
        <v>0</v>
      </c>
      <c r="FZ451" s="32">
        <v>30</v>
      </c>
      <c r="GB451" s="46">
        <f t="shared" si="37"/>
        <v>9861</v>
      </c>
    </row>
    <row r="452" spans="1:184" s="22" customFormat="1" x14ac:dyDescent="0.2">
      <c r="A452" s="41">
        <v>45323</v>
      </c>
      <c r="B452" s="100">
        <f t="shared" si="35"/>
        <v>92908217.820000023</v>
      </c>
      <c r="C452" s="42">
        <v>22325.16</v>
      </c>
      <c r="D452" s="42">
        <v>181482.84</v>
      </c>
      <c r="E452" s="43">
        <f t="shared" si="29"/>
        <v>203808</v>
      </c>
      <c r="F452" s="42">
        <v>4562009.7799999993</v>
      </c>
      <c r="G452" s="42">
        <v>4544211.0200000014</v>
      </c>
      <c r="H452" s="32">
        <f t="shared" si="28"/>
        <v>9106220.8000000007</v>
      </c>
      <c r="I452" s="42"/>
      <c r="J452" s="42"/>
      <c r="K452" s="98">
        <v>18971597.250000004</v>
      </c>
      <c r="L452" s="42"/>
      <c r="M452" s="42"/>
      <c r="N452" s="98">
        <v>25799475.040000007</v>
      </c>
      <c r="O452" s="42"/>
      <c r="P452" s="42"/>
      <c r="Q452" s="98">
        <v>37550937.25</v>
      </c>
      <c r="R452" s="42"/>
      <c r="S452" s="42"/>
      <c r="T452" s="42">
        <v>242687.27</v>
      </c>
      <c r="U452" s="42">
        <v>3421.64</v>
      </c>
      <c r="V452" s="42">
        <v>12750.2</v>
      </c>
      <c r="W452" s="42">
        <f t="shared" si="30"/>
        <v>16171.84</v>
      </c>
      <c r="X452" s="42">
        <v>10865</v>
      </c>
      <c r="Y452" s="42">
        <v>7074.7</v>
      </c>
      <c r="Z452" s="32">
        <f t="shared" si="31"/>
        <v>17939.7</v>
      </c>
      <c r="AA452" s="42">
        <v>19753.57</v>
      </c>
      <c r="AB452" s="42">
        <v>114899.32999999999</v>
      </c>
      <c r="AC452" s="32">
        <f t="shared" si="32"/>
        <v>134652.9</v>
      </c>
      <c r="AD452" s="42">
        <v>1222.5</v>
      </c>
      <c r="AE452" s="42">
        <v>13887.45</v>
      </c>
      <c r="AF452" s="32">
        <f t="shared" si="33"/>
        <v>15109.95</v>
      </c>
      <c r="AG452" s="32">
        <v>5499.26</v>
      </c>
      <c r="AH452" s="32">
        <v>95758.499999999985</v>
      </c>
      <c r="AI452" s="32">
        <f t="shared" si="34"/>
        <v>101257.75999999998</v>
      </c>
      <c r="AJ452" s="42"/>
      <c r="AK452" s="42"/>
      <c r="AL452" s="42">
        <v>24422.85</v>
      </c>
      <c r="AM452" s="42">
        <v>117642.65</v>
      </c>
      <c r="AN452" s="42">
        <v>29292.11</v>
      </c>
      <c r="AO452" s="42">
        <f t="shared" si="39"/>
        <v>146934.76</v>
      </c>
      <c r="AP452" s="42"/>
      <c r="AQ452" s="42"/>
      <c r="AR452" s="42">
        <v>577002.45000000007</v>
      </c>
      <c r="AS452" s="42"/>
      <c r="AT452" s="42"/>
      <c r="AU452" s="42">
        <v>1313921.4100000004</v>
      </c>
      <c r="AV452" s="42"/>
      <c r="AW452" s="42"/>
      <c r="AX452" s="42">
        <v>45603.850000000006</v>
      </c>
      <c r="AY452" s="42">
        <v>3633345.5</v>
      </c>
      <c r="AZ452" s="42">
        <v>488180</v>
      </c>
      <c r="BA452" s="43">
        <f t="shared" si="38"/>
        <v>4121525.5</v>
      </c>
      <c r="BB452" s="42"/>
      <c r="BC452" s="42"/>
      <c r="BD452" s="42">
        <v>1251993</v>
      </c>
      <c r="BE452" s="88">
        <v>0</v>
      </c>
      <c r="BF452" s="88">
        <v>0</v>
      </c>
      <c r="BG452" s="88">
        <v>96</v>
      </c>
      <c r="BH452" s="88">
        <v>0</v>
      </c>
      <c r="BI452" s="88">
        <v>0</v>
      </c>
      <c r="BJ452" s="88">
        <v>0</v>
      </c>
      <c r="BK452" s="88">
        <v>0</v>
      </c>
      <c r="BL452" s="88">
        <v>0</v>
      </c>
      <c r="BM452" s="88">
        <v>177</v>
      </c>
      <c r="BN452" s="88">
        <v>0</v>
      </c>
      <c r="BO452" s="88">
        <v>0</v>
      </c>
      <c r="BP452" s="88">
        <v>0</v>
      </c>
      <c r="BQ452" s="88">
        <v>0</v>
      </c>
      <c r="BR452" s="88">
        <v>0</v>
      </c>
      <c r="BS452" s="88">
        <v>904</v>
      </c>
      <c r="BT452" s="88">
        <v>0</v>
      </c>
      <c r="BU452" s="88">
        <v>0</v>
      </c>
      <c r="BV452" s="88">
        <v>0</v>
      </c>
      <c r="BW452" s="88">
        <v>0</v>
      </c>
      <c r="BX452" s="88">
        <v>0</v>
      </c>
      <c r="BY452" s="88">
        <v>0</v>
      </c>
      <c r="BZ452" s="88">
        <v>0</v>
      </c>
      <c r="CA452" s="88">
        <v>0</v>
      </c>
      <c r="CB452" s="88">
        <v>164</v>
      </c>
      <c r="CC452" s="88">
        <v>0</v>
      </c>
      <c r="CD452" s="88">
        <v>0</v>
      </c>
      <c r="CE452" s="88">
        <v>0</v>
      </c>
      <c r="CF452" s="88">
        <v>0</v>
      </c>
      <c r="CG452" s="88">
        <v>0</v>
      </c>
      <c r="CH452" s="88">
        <v>2</v>
      </c>
      <c r="CI452" s="88">
        <v>0</v>
      </c>
      <c r="CJ452" s="88">
        <v>0</v>
      </c>
      <c r="CK452" s="88">
        <v>26</v>
      </c>
      <c r="CL452" s="88">
        <v>0</v>
      </c>
      <c r="CM452" s="88">
        <v>0</v>
      </c>
      <c r="CN452" s="88">
        <v>0</v>
      </c>
      <c r="CO452" s="88">
        <v>0</v>
      </c>
      <c r="CP452" s="88">
        <v>0</v>
      </c>
      <c r="CQ452" s="88">
        <v>35</v>
      </c>
      <c r="CR452" s="88">
        <v>0</v>
      </c>
      <c r="CS452" s="88">
        <v>0</v>
      </c>
      <c r="CT452" s="88">
        <v>0</v>
      </c>
      <c r="CU452" s="88">
        <v>0</v>
      </c>
      <c r="CV452" s="88">
        <v>0</v>
      </c>
      <c r="CW452" s="88">
        <v>271</v>
      </c>
      <c r="CX452" s="88">
        <v>0</v>
      </c>
      <c r="CY452" s="88">
        <v>0</v>
      </c>
      <c r="CZ452" s="88">
        <v>0</v>
      </c>
      <c r="DA452" s="88">
        <v>0</v>
      </c>
      <c r="DB452" s="88">
        <v>0</v>
      </c>
      <c r="DC452" s="88">
        <v>0</v>
      </c>
      <c r="DD452" s="88">
        <v>0</v>
      </c>
      <c r="DE452" s="88">
        <v>0</v>
      </c>
      <c r="DF452" s="88">
        <v>0</v>
      </c>
      <c r="DG452" s="88">
        <v>0</v>
      </c>
      <c r="DH452" s="88">
        <v>0</v>
      </c>
      <c r="DI452" s="88">
        <v>13</v>
      </c>
      <c r="DJ452" s="88">
        <v>0</v>
      </c>
      <c r="DK452" s="88">
        <v>0</v>
      </c>
      <c r="DL452" s="88">
        <v>0</v>
      </c>
      <c r="DM452" s="88">
        <v>0</v>
      </c>
      <c r="DN452" s="88">
        <v>0</v>
      </c>
      <c r="DO452" s="88">
        <v>0</v>
      </c>
      <c r="DP452" s="88">
        <v>0</v>
      </c>
      <c r="DQ452" s="88">
        <v>0</v>
      </c>
      <c r="DR452" s="87">
        <v>11</v>
      </c>
      <c r="DS452" s="87">
        <v>0</v>
      </c>
      <c r="DT452" s="87">
        <v>0</v>
      </c>
      <c r="DU452" s="87">
        <v>183</v>
      </c>
      <c r="DV452" s="87">
        <v>0</v>
      </c>
      <c r="DW452" s="87">
        <v>0</v>
      </c>
      <c r="DX452" s="87">
        <v>0</v>
      </c>
      <c r="DY452" s="88">
        <v>0</v>
      </c>
      <c r="DZ452" s="88">
        <v>0</v>
      </c>
      <c r="EA452" s="88">
        <v>1280</v>
      </c>
      <c r="EB452" s="88">
        <v>0</v>
      </c>
      <c r="EC452" s="88">
        <v>0</v>
      </c>
      <c r="ED452" s="88">
        <v>1</v>
      </c>
      <c r="EE452" s="88">
        <v>0</v>
      </c>
      <c r="EF452" s="88">
        <v>0</v>
      </c>
      <c r="EG452" s="88">
        <v>552</v>
      </c>
      <c r="EH452" s="88">
        <v>0</v>
      </c>
      <c r="EI452" s="88">
        <v>0</v>
      </c>
      <c r="EJ452" s="88">
        <v>111</v>
      </c>
      <c r="EK452" s="88">
        <v>0</v>
      </c>
      <c r="EL452" s="88">
        <v>0</v>
      </c>
      <c r="EM452" s="88">
        <v>357</v>
      </c>
      <c r="EN452" s="88">
        <v>0</v>
      </c>
      <c r="EO452" s="88">
        <v>0</v>
      </c>
      <c r="EP452" s="88">
        <v>314</v>
      </c>
      <c r="EQ452" s="88">
        <v>0</v>
      </c>
      <c r="ER452" s="88">
        <v>0</v>
      </c>
      <c r="ES452" s="88">
        <v>12</v>
      </c>
      <c r="ET452" s="88">
        <v>0</v>
      </c>
      <c r="EU452" s="88">
        <v>0</v>
      </c>
      <c r="EV452" s="88">
        <v>10</v>
      </c>
      <c r="EW452" s="88">
        <v>0</v>
      </c>
      <c r="EX452" s="88">
        <v>0</v>
      </c>
      <c r="EY452" s="88">
        <v>4</v>
      </c>
      <c r="EZ452" s="88">
        <v>0</v>
      </c>
      <c r="FA452" s="88">
        <v>0</v>
      </c>
      <c r="FB452" s="88">
        <v>2</v>
      </c>
      <c r="FC452" s="88">
        <v>0</v>
      </c>
      <c r="FD452" s="88">
        <v>0</v>
      </c>
      <c r="FE452" s="88">
        <v>6</v>
      </c>
      <c r="FF452" s="88">
        <v>0</v>
      </c>
      <c r="FG452" s="88">
        <v>0</v>
      </c>
      <c r="FH452" s="88">
        <v>0</v>
      </c>
      <c r="FI452" s="88">
        <v>0</v>
      </c>
      <c r="FJ452" s="88">
        <v>0</v>
      </c>
      <c r="FK452" s="32">
        <v>87</v>
      </c>
      <c r="FL452" s="88">
        <v>0</v>
      </c>
      <c r="FM452" s="88">
        <v>0</v>
      </c>
      <c r="FN452" s="88">
        <v>4438</v>
      </c>
      <c r="FO452" s="88">
        <v>0</v>
      </c>
      <c r="FP452" s="88">
        <v>0</v>
      </c>
      <c r="FQ452" s="88">
        <v>947</v>
      </c>
      <c r="FR452" s="88">
        <v>0</v>
      </c>
      <c r="FS452" s="88">
        <v>0</v>
      </c>
      <c r="FT452" s="88">
        <v>0</v>
      </c>
      <c r="FU452" s="88">
        <v>0</v>
      </c>
      <c r="FV452" s="88">
        <v>0</v>
      </c>
      <c r="FW452" s="88">
        <v>178</v>
      </c>
      <c r="FX452" s="32">
        <v>0</v>
      </c>
      <c r="FY452" s="32">
        <v>0</v>
      </c>
      <c r="FZ452" s="32">
        <v>17</v>
      </c>
      <c r="GB452" s="46">
        <f t="shared" si="37"/>
        <v>10198</v>
      </c>
    </row>
    <row r="453" spans="1:184" s="22" customFormat="1" x14ac:dyDescent="0.2">
      <c r="A453" s="41">
        <v>45352</v>
      </c>
      <c r="B453" s="100">
        <f t="shared" si="35"/>
        <v>81720405.709999993</v>
      </c>
      <c r="C453" s="42">
        <v>14961.94</v>
      </c>
      <c r="D453" s="42">
        <v>189691.58999999997</v>
      </c>
      <c r="E453" s="43">
        <f t="shared" si="29"/>
        <v>204653.52999999997</v>
      </c>
      <c r="F453" s="42">
        <v>4927609.0199999996</v>
      </c>
      <c r="G453" s="42">
        <v>3419458.2100000004</v>
      </c>
      <c r="H453" s="32">
        <f t="shared" si="28"/>
        <v>8347067.2300000004</v>
      </c>
      <c r="I453" s="42"/>
      <c r="J453" s="42"/>
      <c r="K453" s="98">
        <v>11957746.75</v>
      </c>
      <c r="L453" s="42"/>
      <c r="M453" s="42"/>
      <c r="N453" s="98">
        <v>26742247.699999999</v>
      </c>
      <c r="O453" s="42"/>
      <c r="P453" s="42"/>
      <c r="Q453" s="98">
        <v>33151307.430000003</v>
      </c>
      <c r="R453" s="42"/>
      <c r="S453" s="42"/>
      <c r="T453" s="42">
        <v>237890.37999999998</v>
      </c>
      <c r="U453" s="42">
        <v>2836.2700000000004</v>
      </c>
      <c r="V453" s="42">
        <v>458.90000000000003</v>
      </c>
      <c r="W453" s="42">
        <f t="shared" si="30"/>
        <v>3295.1700000000005</v>
      </c>
      <c r="X453" s="42">
        <v>18393.25</v>
      </c>
      <c r="Y453" s="42">
        <v>10453.31</v>
      </c>
      <c r="Z453" s="32">
        <f t="shared" si="31"/>
        <v>28846.559999999998</v>
      </c>
      <c r="AA453" s="42">
        <v>163461.04999999999</v>
      </c>
      <c r="AB453" s="42">
        <v>107320.91</v>
      </c>
      <c r="AC453" s="32">
        <f t="shared" si="32"/>
        <v>270781.95999999996</v>
      </c>
      <c r="AD453" s="42">
        <v>1215.3600000000001</v>
      </c>
      <c r="AE453" s="42">
        <v>5195.3500000000004</v>
      </c>
      <c r="AF453" s="32">
        <f t="shared" si="33"/>
        <v>6410.7100000000009</v>
      </c>
      <c r="AG453" s="32">
        <v>5879.9899999999989</v>
      </c>
      <c r="AH453" s="32">
        <v>74725.41</v>
      </c>
      <c r="AI453" s="32">
        <f t="shared" si="34"/>
        <v>80605.400000000009</v>
      </c>
      <c r="AJ453" s="42"/>
      <c r="AK453" s="42"/>
      <c r="AL453" s="42">
        <v>29123.55</v>
      </c>
      <c r="AM453" s="42">
        <v>129637.89</v>
      </c>
      <c r="AN453" s="42">
        <v>18237.690000000002</v>
      </c>
      <c r="AO453" s="42">
        <f t="shared" si="39"/>
        <v>147875.58000000002</v>
      </c>
      <c r="AP453" s="42"/>
      <c r="AQ453" s="42"/>
      <c r="AR453" s="42">
        <v>512553.75999999995</v>
      </c>
      <c r="AS453" s="42"/>
      <c r="AT453" s="42"/>
      <c r="AU453" s="42">
        <v>1329529.23</v>
      </c>
      <c r="AV453" s="42"/>
      <c r="AW453" s="42"/>
      <c r="AX453" s="42">
        <v>49841.63</v>
      </c>
      <c r="AY453" s="42">
        <v>5874293.7000000002</v>
      </c>
      <c r="AZ453" s="42">
        <v>1045980</v>
      </c>
      <c r="BA453" s="43">
        <f t="shared" si="38"/>
        <v>6920273.7000000002</v>
      </c>
      <c r="BB453" s="42"/>
      <c r="BC453" s="42"/>
      <c r="BD453" s="42">
        <v>1324306.6666666665</v>
      </c>
      <c r="BE453" s="88">
        <v>0</v>
      </c>
      <c r="BF453" s="88">
        <v>0</v>
      </c>
      <c r="BG453" s="88">
        <v>94</v>
      </c>
      <c r="BH453" s="88">
        <v>0</v>
      </c>
      <c r="BI453" s="88">
        <v>0</v>
      </c>
      <c r="BJ453" s="88">
        <v>0</v>
      </c>
      <c r="BK453" s="88">
        <v>0</v>
      </c>
      <c r="BL453" s="88">
        <v>0</v>
      </c>
      <c r="BM453" s="88">
        <v>237</v>
      </c>
      <c r="BN453" s="88">
        <v>0</v>
      </c>
      <c r="BO453" s="88">
        <v>0</v>
      </c>
      <c r="BP453" s="88">
        <v>0</v>
      </c>
      <c r="BQ453" s="88">
        <v>0</v>
      </c>
      <c r="BR453" s="88">
        <v>0</v>
      </c>
      <c r="BS453" s="88">
        <v>728</v>
      </c>
      <c r="BT453" s="88">
        <v>0</v>
      </c>
      <c r="BU453" s="88">
        <v>0</v>
      </c>
      <c r="BV453" s="88">
        <v>0</v>
      </c>
      <c r="BW453" s="88">
        <v>0</v>
      </c>
      <c r="BX453" s="88">
        <v>0</v>
      </c>
      <c r="BY453" s="88">
        <v>0</v>
      </c>
      <c r="BZ453" s="88">
        <v>0</v>
      </c>
      <c r="CA453" s="88">
        <v>0</v>
      </c>
      <c r="CB453" s="88">
        <v>190</v>
      </c>
      <c r="CC453" s="88">
        <v>0</v>
      </c>
      <c r="CD453" s="88">
        <v>0</v>
      </c>
      <c r="CE453" s="88">
        <v>0</v>
      </c>
      <c r="CF453" s="88">
        <v>0</v>
      </c>
      <c r="CG453" s="88">
        <v>0</v>
      </c>
      <c r="CH453" s="88">
        <v>2</v>
      </c>
      <c r="CI453" s="88">
        <v>0</v>
      </c>
      <c r="CJ453" s="88">
        <v>0</v>
      </c>
      <c r="CK453" s="88">
        <v>16</v>
      </c>
      <c r="CL453" s="88">
        <v>0</v>
      </c>
      <c r="CM453" s="88">
        <v>0</v>
      </c>
      <c r="CN453" s="88">
        <v>0</v>
      </c>
      <c r="CO453" s="88">
        <v>0</v>
      </c>
      <c r="CP453" s="88">
        <v>0</v>
      </c>
      <c r="CQ453" s="88">
        <v>8</v>
      </c>
      <c r="CR453" s="88">
        <v>0</v>
      </c>
      <c r="CS453" s="88">
        <v>0</v>
      </c>
      <c r="CT453" s="88">
        <v>0</v>
      </c>
      <c r="CU453" s="88">
        <v>0</v>
      </c>
      <c r="CV453" s="88">
        <v>0</v>
      </c>
      <c r="CW453" s="88">
        <v>287</v>
      </c>
      <c r="CX453" s="88">
        <v>0</v>
      </c>
      <c r="CY453" s="88">
        <v>0</v>
      </c>
      <c r="CZ453" s="88">
        <v>2</v>
      </c>
      <c r="DA453" s="88">
        <v>0</v>
      </c>
      <c r="DB453" s="88">
        <v>0</v>
      </c>
      <c r="DC453" s="88">
        <v>0</v>
      </c>
      <c r="DD453" s="88">
        <v>0</v>
      </c>
      <c r="DE453" s="88">
        <v>0</v>
      </c>
      <c r="DF453" s="88">
        <v>0</v>
      </c>
      <c r="DG453" s="88">
        <v>0</v>
      </c>
      <c r="DH453" s="88">
        <v>0</v>
      </c>
      <c r="DI453" s="88">
        <v>4</v>
      </c>
      <c r="DJ453" s="88">
        <v>0</v>
      </c>
      <c r="DK453" s="88">
        <v>0</v>
      </c>
      <c r="DL453" s="88">
        <v>0</v>
      </c>
      <c r="DM453" s="88">
        <v>0</v>
      </c>
      <c r="DN453" s="88">
        <v>0</v>
      </c>
      <c r="DO453" s="88">
        <v>0</v>
      </c>
      <c r="DP453" s="88">
        <v>0</v>
      </c>
      <c r="DQ453" s="88">
        <v>0</v>
      </c>
      <c r="DR453" s="87">
        <v>6</v>
      </c>
      <c r="DS453" s="87">
        <v>0</v>
      </c>
      <c r="DT453" s="87">
        <v>0</v>
      </c>
      <c r="DU453" s="87">
        <v>257</v>
      </c>
      <c r="DV453" s="87">
        <v>0</v>
      </c>
      <c r="DW453" s="87">
        <v>0</v>
      </c>
      <c r="DX453" s="87">
        <v>0</v>
      </c>
      <c r="DY453" s="88">
        <v>0</v>
      </c>
      <c r="DZ453" s="88">
        <v>0</v>
      </c>
      <c r="EA453" s="88">
        <v>1380</v>
      </c>
      <c r="EB453" s="88">
        <v>0</v>
      </c>
      <c r="EC453" s="88">
        <v>0</v>
      </c>
      <c r="ED453" s="88">
        <v>0</v>
      </c>
      <c r="EE453" s="88">
        <v>0</v>
      </c>
      <c r="EF453" s="88">
        <v>0</v>
      </c>
      <c r="EG453" s="88">
        <v>520</v>
      </c>
      <c r="EH453" s="88">
        <v>0</v>
      </c>
      <c r="EI453" s="88">
        <v>0</v>
      </c>
      <c r="EJ453" s="88">
        <v>59</v>
      </c>
      <c r="EK453" s="88">
        <v>0</v>
      </c>
      <c r="EL453" s="88">
        <v>0</v>
      </c>
      <c r="EM453" s="88">
        <v>372</v>
      </c>
      <c r="EN453" s="88">
        <v>0</v>
      </c>
      <c r="EO453" s="88">
        <v>0</v>
      </c>
      <c r="EP453" s="88">
        <v>185</v>
      </c>
      <c r="EQ453" s="88">
        <v>0</v>
      </c>
      <c r="ER453" s="88">
        <v>0</v>
      </c>
      <c r="ES453" s="88">
        <v>6</v>
      </c>
      <c r="ET453" s="88">
        <v>0</v>
      </c>
      <c r="EU453" s="88">
        <v>0</v>
      </c>
      <c r="EV453" s="88">
        <v>5</v>
      </c>
      <c r="EW453" s="88">
        <v>0</v>
      </c>
      <c r="EX453" s="88">
        <v>0</v>
      </c>
      <c r="EY453" s="88">
        <v>5</v>
      </c>
      <c r="EZ453" s="88">
        <v>0</v>
      </c>
      <c r="FA453" s="88">
        <v>0</v>
      </c>
      <c r="FB453" s="88">
        <v>0</v>
      </c>
      <c r="FC453" s="88">
        <v>0</v>
      </c>
      <c r="FD453" s="88">
        <v>0</v>
      </c>
      <c r="FE453" s="88">
        <v>6</v>
      </c>
      <c r="FF453" s="88">
        <v>0</v>
      </c>
      <c r="FG453" s="88">
        <v>0</v>
      </c>
      <c r="FH453" s="88">
        <v>0</v>
      </c>
      <c r="FI453" s="88">
        <v>0</v>
      </c>
      <c r="FJ453" s="88">
        <v>0</v>
      </c>
      <c r="FK453" s="32">
        <v>57</v>
      </c>
      <c r="FL453" s="88">
        <v>0</v>
      </c>
      <c r="FM453" s="88">
        <v>0</v>
      </c>
      <c r="FN453" s="88">
        <v>4837</v>
      </c>
      <c r="FO453" s="88">
        <v>0</v>
      </c>
      <c r="FP453" s="88">
        <v>0</v>
      </c>
      <c r="FQ453" s="88">
        <v>950</v>
      </c>
      <c r="FR453" s="88">
        <v>0</v>
      </c>
      <c r="FS453" s="88">
        <v>0</v>
      </c>
      <c r="FT453" s="88">
        <v>0</v>
      </c>
      <c r="FU453" s="88">
        <v>0</v>
      </c>
      <c r="FV453" s="88">
        <v>0</v>
      </c>
      <c r="FW453" s="88">
        <v>260</v>
      </c>
      <c r="FX453" s="32">
        <v>0</v>
      </c>
      <c r="FY453" s="32">
        <v>0</v>
      </c>
      <c r="FZ453" s="32">
        <v>7</v>
      </c>
      <c r="GB453" s="46">
        <f t="shared" si="37"/>
        <v>10480</v>
      </c>
    </row>
    <row r="454" spans="1:184" s="22" customFormat="1" x14ac:dyDescent="0.2">
      <c r="A454" s="41">
        <v>45383</v>
      </c>
      <c r="B454" s="100">
        <f t="shared" si="35"/>
        <v>72704158.719999984</v>
      </c>
      <c r="C454" s="42">
        <v>24063.96</v>
      </c>
      <c r="D454" s="42">
        <v>214623.87999999998</v>
      </c>
      <c r="E454" s="43">
        <f t="shared" si="29"/>
        <v>238687.83999999997</v>
      </c>
      <c r="F454" s="42">
        <v>3099983.2199999997</v>
      </c>
      <c r="G454" s="42">
        <v>2655599.25</v>
      </c>
      <c r="H454" s="32">
        <f t="shared" si="28"/>
        <v>5755582.4699999997</v>
      </c>
      <c r="I454" s="42"/>
      <c r="J454" s="42"/>
      <c r="K454" s="98">
        <v>12498847.699999999</v>
      </c>
      <c r="L454" s="42"/>
      <c r="M454" s="42"/>
      <c r="N454" s="98">
        <v>23943098.91</v>
      </c>
      <c r="O454" s="42"/>
      <c r="P454" s="42"/>
      <c r="Q454" s="98">
        <v>29300605.68</v>
      </c>
      <c r="R454" s="42"/>
      <c r="S454" s="42"/>
      <c r="T454" s="42">
        <v>101431.99</v>
      </c>
      <c r="U454" s="42">
        <v>2846.7</v>
      </c>
      <c r="V454" s="42">
        <v>958.85</v>
      </c>
      <c r="W454" s="42">
        <f t="shared" si="30"/>
        <v>3805.5499999999997</v>
      </c>
      <c r="X454" s="42">
        <v>15945</v>
      </c>
      <c r="Y454" s="42">
        <v>8219.9399999999987</v>
      </c>
      <c r="Z454" s="32">
        <f t="shared" si="31"/>
        <v>24164.94</v>
      </c>
      <c r="AA454" s="42">
        <v>52548.359999999993</v>
      </c>
      <c r="AB454" s="42">
        <v>145861.73000000001</v>
      </c>
      <c r="AC454" s="32">
        <f t="shared" si="32"/>
        <v>198410.09</v>
      </c>
      <c r="AD454" s="42">
        <v>1046.3499999999999</v>
      </c>
      <c r="AE454" s="42">
        <v>11809.9</v>
      </c>
      <c r="AF454" s="32">
        <f t="shared" si="33"/>
        <v>12856.25</v>
      </c>
      <c r="AG454" s="32">
        <v>7828.1</v>
      </c>
      <c r="AH454" s="32">
        <v>74079.320000000007</v>
      </c>
      <c r="AI454" s="32">
        <f t="shared" si="34"/>
        <v>81907.420000000013</v>
      </c>
      <c r="AJ454" s="42"/>
      <c r="AK454" s="42"/>
      <c r="AL454" s="42">
        <v>28080</v>
      </c>
      <c r="AM454" s="42">
        <v>35718.94</v>
      </c>
      <c r="AN454" s="42">
        <v>40198.200000000004</v>
      </c>
      <c r="AO454" s="42">
        <f t="shared" si="39"/>
        <v>75917.140000000014</v>
      </c>
      <c r="AP454" s="42"/>
      <c r="AQ454" s="42"/>
      <c r="AR454" s="42">
        <v>440762.74</v>
      </c>
      <c r="AS454" s="42"/>
      <c r="AT454" s="42"/>
      <c r="AU454" s="42">
        <v>1616115.6300000004</v>
      </c>
      <c r="AV454" s="42"/>
      <c r="AW454" s="42"/>
      <c r="AX454" s="42">
        <v>57757.409999999989</v>
      </c>
      <c r="AY454" s="42">
        <v>4863264.9000000004</v>
      </c>
      <c r="AZ454" s="42">
        <v>1053680</v>
      </c>
      <c r="BA454" s="43">
        <f t="shared" si="38"/>
        <v>5916944.9000000004</v>
      </c>
      <c r="BB454" s="42"/>
      <c r="BC454" s="42"/>
      <c r="BD454" s="42">
        <v>1417550.8888888888</v>
      </c>
      <c r="BE454" s="88">
        <v>0</v>
      </c>
      <c r="BF454" s="88">
        <v>0</v>
      </c>
      <c r="BG454" s="88">
        <v>122</v>
      </c>
      <c r="BH454" s="88">
        <v>0</v>
      </c>
      <c r="BI454" s="88">
        <v>0</v>
      </c>
      <c r="BJ454" s="88">
        <v>0</v>
      </c>
      <c r="BK454" s="88">
        <v>0</v>
      </c>
      <c r="BL454" s="88">
        <v>0</v>
      </c>
      <c r="BM454" s="88">
        <v>262</v>
      </c>
      <c r="BN454" s="88">
        <v>0</v>
      </c>
      <c r="BO454" s="88">
        <v>0</v>
      </c>
      <c r="BP454" s="88">
        <v>0</v>
      </c>
      <c r="BQ454" s="88">
        <v>0</v>
      </c>
      <c r="BR454" s="88">
        <v>0</v>
      </c>
      <c r="BS454" s="88">
        <v>606</v>
      </c>
      <c r="BT454" s="88">
        <v>0</v>
      </c>
      <c r="BU454" s="88">
        <v>0</v>
      </c>
      <c r="BV454" s="88">
        <v>0</v>
      </c>
      <c r="BW454" s="88">
        <v>0</v>
      </c>
      <c r="BX454" s="88">
        <v>0</v>
      </c>
      <c r="BY454" s="88">
        <v>0</v>
      </c>
      <c r="BZ454" s="88">
        <v>0</v>
      </c>
      <c r="CA454" s="88">
        <v>0</v>
      </c>
      <c r="CB454" s="88">
        <v>233</v>
      </c>
      <c r="CC454" s="88">
        <v>0</v>
      </c>
      <c r="CD454" s="88">
        <v>0</v>
      </c>
      <c r="CE454" s="88">
        <v>0</v>
      </c>
      <c r="CF454" s="88">
        <v>0</v>
      </c>
      <c r="CG454" s="88">
        <v>0</v>
      </c>
      <c r="CH454" s="88">
        <v>1</v>
      </c>
      <c r="CI454" s="88">
        <v>0</v>
      </c>
      <c r="CJ454" s="88">
        <v>0</v>
      </c>
      <c r="CK454" s="88">
        <v>20</v>
      </c>
      <c r="CL454" s="88">
        <v>0</v>
      </c>
      <c r="CM454" s="88">
        <v>0</v>
      </c>
      <c r="CN454" s="88">
        <v>0</v>
      </c>
      <c r="CO454" s="88">
        <v>0</v>
      </c>
      <c r="CP454" s="88">
        <v>0</v>
      </c>
      <c r="CQ454" s="88">
        <v>6</v>
      </c>
      <c r="CR454" s="88">
        <v>0</v>
      </c>
      <c r="CS454" s="88">
        <v>0</v>
      </c>
      <c r="CT454" s="88">
        <v>0</v>
      </c>
      <c r="CU454" s="88">
        <v>0</v>
      </c>
      <c r="CV454" s="88">
        <v>0</v>
      </c>
      <c r="CW454" s="88">
        <v>316</v>
      </c>
      <c r="CX454" s="88">
        <v>0</v>
      </c>
      <c r="CY454" s="88">
        <v>0</v>
      </c>
      <c r="CZ454" s="88">
        <v>1</v>
      </c>
      <c r="DA454" s="88">
        <v>0</v>
      </c>
      <c r="DB454" s="88">
        <v>0</v>
      </c>
      <c r="DC454" s="88">
        <v>0</v>
      </c>
      <c r="DD454" s="88">
        <v>0</v>
      </c>
      <c r="DE454" s="88">
        <v>0</v>
      </c>
      <c r="DF454" s="88">
        <v>0</v>
      </c>
      <c r="DG454" s="88">
        <v>0</v>
      </c>
      <c r="DH454" s="88">
        <v>0</v>
      </c>
      <c r="DI454" s="88">
        <v>3</v>
      </c>
      <c r="DJ454" s="88">
        <v>0</v>
      </c>
      <c r="DK454" s="88">
        <v>0</v>
      </c>
      <c r="DL454" s="88">
        <v>0</v>
      </c>
      <c r="DM454" s="88">
        <v>0</v>
      </c>
      <c r="DN454" s="88">
        <v>0</v>
      </c>
      <c r="DO454" s="88">
        <v>0</v>
      </c>
      <c r="DP454" s="88">
        <v>0</v>
      </c>
      <c r="DQ454" s="88">
        <v>0</v>
      </c>
      <c r="DR454" s="87">
        <v>8</v>
      </c>
      <c r="DS454" s="87">
        <v>0</v>
      </c>
      <c r="DT454" s="87">
        <v>0</v>
      </c>
      <c r="DU454" s="87">
        <v>291</v>
      </c>
      <c r="DV454" s="87">
        <v>0</v>
      </c>
      <c r="DW454" s="87">
        <v>0</v>
      </c>
      <c r="DX454" s="87">
        <v>0</v>
      </c>
      <c r="DY454" s="88">
        <v>0</v>
      </c>
      <c r="DZ454" s="88">
        <v>0</v>
      </c>
      <c r="EA454" s="88">
        <v>1863</v>
      </c>
      <c r="EB454" s="88">
        <v>0</v>
      </c>
      <c r="EC454" s="88">
        <v>0</v>
      </c>
      <c r="ED454" s="88">
        <v>6</v>
      </c>
      <c r="EE454" s="88">
        <v>0</v>
      </c>
      <c r="EF454" s="88">
        <v>0</v>
      </c>
      <c r="EG454" s="88">
        <v>550</v>
      </c>
      <c r="EH454" s="88">
        <v>0</v>
      </c>
      <c r="EI454" s="88">
        <v>0</v>
      </c>
      <c r="EJ454" s="88">
        <v>148</v>
      </c>
      <c r="EK454" s="88">
        <v>0</v>
      </c>
      <c r="EL454" s="88">
        <v>0</v>
      </c>
      <c r="EM454" s="88">
        <v>436</v>
      </c>
      <c r="EN454" s="88">
        <v>0</v>
      </c>
      <c r="EO454" s="88">
        <v>0</v>
      </c>
      <c r="EP454" s="88">
        <v>258</v>
      </c>
      <c r="EQ454" s="88">
        <v>0</v>
      </c>
      <c r="ER454" s="88">
        <v>0</v>
      </c>
      <c r="ES454" s="88">
        <v>10</v>
      </c>
      <c r="ET454" s="88">
        <v>0</v>
      </c>
      <c r="EU454" s="88">
        <v>0</v>
      </c>
      <c r="EV454" s="88">
        <v>21</v>
      </c>
      <c r="EW454" s="88">
        <v>0</v>
      </c>
      <c r="EX454" s="88">
        <v>0</v>
      </c>
      <c r="EY454" s="88">
        <v>2</v>
      </c>
      <c r="EZ454" s="88">
        <v>0</v>
      </c>
      <c r="FA454" s="88">
        <v>0</v>
      </c>
      <c r="FB454" s="88">
        <v>0</v>
      </c>
      <c r="FC454" s="88">
        <v>0</v>
      </c>
      <c r="FD454" s="88">
        <v>0</v>
      </c>
      <c r="FE454" s="88">
        <v>2</v>
      </c>
      <c r="FF454" s="88">
        <v>0</v>
      </c>
      <c r="FG454" s="88">
        <v>0</v>
      </c>
      <c r="FH454" s="88">
        <v>0</v>
      </c>
      <c r="FI454" s="88">
        <v>0</v>
      </c>
      <c r="FJ454" s="88">
        <v>0</v>
      </c>
      <c r="FK454" s="32">
        <v>55</v>
      </c>
      <c r="FL454" s="88">
        <v>0</v>
      </c>
      <c r="FM454" s="88">
        <v>0</v>
      </c>
      <c r="FN454" s="88">
        <v>4895</v>
      </c>
      <c r="FO454" s="88">
        <v>0</v>
      </c>
      <c r="FP454" s="88">
        <v>0</v>
      </c>
      <c r="FQ454" s="88">
        <v>847</v>
      </c>
      <c r="FR454" s="88">
        <v>0</v>
      </c>
      <c r="FS454" s="88">
        <v>0</v>
      </c>
      <c r="FT454" s="88">
        <v>0</v>
      </c>
      <c r="FU454" s="88">
        <v>0</v>
      </c>
      <c r="FV454" s="88">
        <v>0</v>
      </c>
      <c r="FW454" s="88">
        <v>228</v>
      </c>
      <c r="FX454" s="32">
        <v>0</v>
      </c>
      <c r="FY454" s="32">
        <v>0</v>
      </c>
      <c r="FZ454" s="32">
        <v>16</v>
      </c>
      <c r="GB454" s="46">
        <f t="shared" si="37"/>
        <v>11206</v>
      </c>
    </row>
    <row r="455" spans="1:184" s="22" customFormat="1" x14ac:dyDescent="0.2">
      <c r="A455" s="41">
        <v>45413</v>
      </c>
      <c r="B455" s="100">
        <f t="shared" si="35"/>
        <v>64284202.030000009</v>
      </c>
      <c r="C455" s="42">
        <v>21270.87</v>
      </c>
      <c r="D455" s="42">
        <v>367085.98999999993</v>
      </c>
      <c r="E455" s="43">
        <f t="shared" si="29"/>
        <v>388356.85999999993</v>
      </c>
      <c r="F455" s="42">
        <v>2223519.7200000002</v>
      </c>
      <c r="G455" s="42">
        <v>1862759.51</v>
      </c>
      <c r="H455" s="32">
        <f t="shared" si="28"/>
        <v>4086279.2300000004</v>
      </c>
      <c r="I455" s="42"/>
      <c r="J455" s="42"/>
      <c r="K455" s="98">
        <v>11659897.379999999</v>
      </c>
      <c r="L455" s="42"/>
      <c r="M455" s="42"/>
      <c r="N455" s="98">
        <v>21134342.740000006</v>
      </c>
      <c r="O455" s="42"/>
      <c r="P455" s="42"/>
      <c r="Q455" s="98">
        <v>26164883.84</v>
      </c>
      <c r="R455" s="42"/>
      <c r="S455" s="42"/>
      <c r="T455" s="42">
        <v>110887.62</v>
      </c>
      <c r="U455" s="42">
        <v>2185.8199999999997</v>
      </c>
      <c r="V455" s="42">
        <v>1103.0999999999999</v>
      </c>
      <c r="W455" s="42">
        <f t="shared" si="30"/>
        <v>3288.9199999999996</v>
      </c>
      <c r="X455" s="42">
        <v>17912.5</v>
      </c>
      <c r="Y455" s="42">
        <v>7229.5599999999995</v>
      </c>
      <c r="Z455" s="32">
        <f t="shared" si="31"/>
        <v>25142.059999999998</v>
      </c>
      <c r="AA455" s="42">
        <v>126128.4</v>
      </c>
      <c r="AB455" s="42">
        <v>137921.16</v>
      </c>
      <c r="AC455" s="32">
        <f t="shared" si="32"/>
        <v>264049.56</v>
      </c>
      <c r="AD455" s="42">
        <v>1917.38</v>
      </c>
      <c r="AE455" s="42">
        <v>7786.9500000000007</v>
      </c>
      <c r="AF455" s="32">
        <f t="shared" si="33"/>
        <v>9704.3300000000017</v>
      </c>
      <c r="AG455" s="32">
        <v>6978.7899999999991</v>
      </c>
      <c r="AH455" s="32">
        <v>80995.87000000001</v>
      </c>
      <c r="AI455" s="32">
        <f t="shared" si="34"/>
        <v>87974.66</v>
      </c>
      <c r="AJ455" s="42"/>
      <c r="AK455" s="42"/>
      <c r="AL455" s="42">
        <v>25137</v>
      </c>
      <c r="AM455" s="42">
        <v>20881.759999999998</v>
      </c>
      <c r="AN455" s="42">
        <v>14962.16</v>
      </c>
      <c r="AO455" s="42">
        <f t="shared" si="39"/>
        <v>35843.919999999998</v>
      </c>
      <c r="AP455" s="42"/>
      <c r="AQ455" s="42"/>
      <c r="AR455" s="42">
        <v>288413.90999999997</v>
      </c>
      <c r="AS455" s="42"/>
      <c r="AT455" s="42"/>
      <c r="AU455" s="42">
        <v>1757898.1599999997</v>
      </c>
      <c r="AV455" s="42"/>
      <c r="AW455" s="42"/>
      <c r="AX455" s="42">
        <v>46755.48000000001</v>
      </c>
      <c r="AY455" s="42">
        <v>5341447.9000000004</v>
      </c>
      <c r="AZ455" s="42">
        <v>1049380</v>
      </c>
      <c r="BA455" s="43">
        <f t="shared" si="38"/>
        <v>6390827.9000000004</v>
      </c>
      <c r="BB455" s="42"/>
      <c r="BC455" s="42"/>
      <c r="BD455" s="42">
        <v>1500695.5555555557</v>
      </c>
      <c r="BE455" s="88">
        <v>0</v>
      </c>
      <c r="BF455" s="88">
        <v>0</v>
      </c>
      <c r="BG455" s="88">
        <v>94</v>
      </c>
      <c r="BH455" s="88">
        <v>0</v>
      </c>
      <c r="BI455" s="88">
        <v>0</v>
      </c>
      <c r="BJ455" s="88">
        <v>1</v>
      </c>
      <c r="BK455" s="88">
        <v>0</v>
      </c>
      <c r="BL455" s="88">
        <v>0</v>
      </c>
      <c r="BM455" s="88">
        <v>221</v>
      </c>
      <c r="BN455" s="88">
        <v>0</v>
      </c>
      <c r="BO455" s="88">
        <v>0</v>
      </c>
      <c r="BP455" s="88">
        <v>0</v>
      </c>
      <c r="BQ455" s="88">
        <v>0</v>
      </c>
      <c r="BR455" s="88">
        <v>0</v>
      </c>
      <c r="BS455" s="88">
        <v>949</v>
      </c>
      <c r="BT455" s="88">
        <v>0</v>
      </c>
      <c r="BU455" s="88">
        <v>0</v>
      </c>
      <c r="BV455" s="88">
        <v>0</v>
      </c>
      <c r="BW455" s="88">
        <v>0</v>
      </c>
      <c r="BX455" s="88">
        <v>0</v>
      </c>
      <c r="BY455" s="88">
        <v>0</v>
      </c>
      <c r="BZ455" s="88">
        <v>0</v>
      </c>
      <c r="CA455" s="88">
        <v>0</v>
      </c>
      <c r="CB455" s="88">
        <v>211</v>
      </c>
      <c r="CC455" s="88">
        <v>0</v>
      </c>
      <c r="CD455" s="88">
        <v>0</v>
      </c>
      <c r="CE455" s="88">
        <v>0</v>
      </c>
      <c r="CF455" s="88">
        <v>0</v>
      </c>
      <c r="CG455" s="88">
        <v>0</v>
      </c>
      <c r="CH455" s="88">
        <v>0</v>
      </c>
      <c r="CI455" s="88">
        <v>0</v>
      </c>
      <c r="CJ455" s="88">
        <v>0</v>
      </c>
      <c r="CK455" s="88">
        <v>10</v>
      </c>
      <c r="CL455" s="88">
        <v>0</v>
      </c>
      <c r="CM455" s="88">
        <v>0</v>
      </c>
      <c r="CN455" s="88">
        <v>0</v>
      </c>
      <c r="CO455" s="88">
        <v>0</v>
      </c>
      <c r="CP455" s="88">
        <v>0</v>
      </c>
      <c r="CQ455" s="88">
        <v>22</v>
      </c>
      <c r="CR455" s="88">
        <v>0</v>
      </c>
      <c r="CS455" s="88">
        <v>0</v>
      </c>
      <c r="CT455" s="88">
        <v>0</v>
      </c>
      <c r="CU455" s="88">
        <v>0</v>
      </c>
      <c r="CV455" s="88">
        <v>0</v>
      </c>
      <c r="CW455" s="88">
        <v>301</v>
      </c>
      <c r="CX455" s="88">
        <v>0</v>
      </c>
      <c r="CY455" s="88">
        <v>0</v>
      </c>
      <c r="CZ455" s="88">
        <v>1</v>
      </c>
      <c r="DA455" s="88">
        <v>0</v>
      </c>
      <c r="DB455" s="88">
        <v>0</v>
      </c>
      <c r="DC455" s="88">
        <v>0</v>
      </c>
      <c r="DD455" s="88">
        <v>0</v>
      </c>
      <c r="DE455" s="88">
        <v>0</v>
      </c>
      <c r="DF455" s="88">
        <v>0</v>
      </c>
      <c r="DG455" s="88">
        <v>0</v>
      </c>
      <c r="DH455" s="88">
        <v>0</v>
      </c>
      <c r="DI455" s="88">
        <v>12</v>
      </c>
      <c r="DJ455" s="88">
        <v>0</v>
      </c>
      <c r="DK455" s="88">
        <v>0</v>
      </c>
      <c r="DL455" s="88">
        <v>0</v>
      </c>
      <c r="DM455" s="88">
        <v>0</v>
      </c>
      <c r="DN455" s="88">
        <v>0</v>
      </c>
      <c r="DO455" s="88">
        <v>0</v>
      </c>
      <c r="DP455" s="88">
        <v>0</v>
      </c>
      <c r="DQ455" s="88">
        <v>0</v>
      </c>
      <c r="DR455" s="87">
        <v>12</v>
      </c>
      <c r="DS455" s="87">
        <v>0</v>
      </c>
      <c r="DT455" s="87">
        <v>0</v>
      </c>
      <c r="DU455" s="87">
        <v>373</v>
      </c>
      <c r="DV455" s="87">
        <v>0</v>
      </c>
      <c r="DW455" s="87">
        <v>0</v>
      </c>
      <c r="DX455" s="87">
        <v>0</v>
      </c>
      <c r="DY455" s="88">
        <v>0</v>
      </c>
      <c r="DZ455" s="88">
        <v>0</v>
      </c>
      <c r="EA455" s="88">
        <v>1354</v>
      </c>
      <c r="EB455" s="88">
        <v>0</v>
      </c>
      <c r="EC455" s="88">
        <v>0</v>
      </c>
      <c r="ED455" s="88">
        <v>24</v>
      </c>
      <c r="EE455" s="88">
        <v>0</v>
      </c>
      <c r="EF455" s="88">
        <v>0</v>
      </c>
      <c r="EG455" s="88">
        <v>455</v>
      </c>
      <c r="EH455" s="88">
        <v>0</v>
      </c>
      <c r="EI455" s="88">
        <v>0</v>
      </c>
      <c r="EJ455" s="88">
        <v>105</v>
      </c>
      <c r="EK455" s="88">
        <v>0</v>
      </c>
      <c r="EL455" s="88">
        <v>0</v>
      </c>
      <c r="EM455" s="88">
        <v>332</v>
      </c>
      <c r="EN455" s="88">
        <v>0</v>
      </c>
      <c r="EO455" s="88">
        <v>0</v>
      </c>
      <c r="EP455" s="88">
        <v>166</v>
      </c>
      <c r="EQ455" s="88">
        <v>0</v>
      </c>
      <c r="ER455" s="88">
        <v>0</v>
      </c>
      <c r="ES455" s="88">
        <v>16</v>
      </c>
      <c r="ET455" s="88">
        <v>0</v>
      </c>
      <c r="EU455" s="88">
        <v>0</v>
      </c>
      <c r="EV455" s="88">
        <v>21</v>
      </c>
      <c r="EW455" s="88">
        <v>0</v>
      </c>
      <c r="EX455" s="88">
        <v>0</v>
      </c>
      <c r="EY455" s="88">
        <v>4</v>
      </c>
      <c r="EZ455" s="88">
        <v>0</v>
      </c>
      <c r="FA455" s="88">
        <v>0</v>
      </c>
      <c r="FB455" s="88">
        <v>3</v>
      </c>
      <c r="FC455" s="88">
        <v>0</v>
      </c>
      <c r="FD455" s="88">
        <v>0</v>
      </c>
      <c r="FE455" s="88">
        <v>5</v>
      </c>
      <c r="FF455" s="88">
        <v>0</v>
      </c>
      <c r="FG455" s="88">
        <v>0</v>
      </c>
      <c r="FH455" s="88">
        <v>0</v>
      </c>
      <c r="FI455" s="88">
        <v>0</v>
      </c>
      <c r="FJ455" s="88">
        <v>0</v>
      </c>
      <c r="FK455" s="32">
        <v>54</v>
      </c>
      <c r="FL455" s="88">
        <v>0</v>
      </c>
      <c r="FM455" s="88">
        <v>0</v>
      </c>
      <c r="FN455" s="88">
        <v>2845</v>
      </c>
      <c r="FO455" s="88">
        <v>0</v>
      </c>
      <c r="FP455" s="88">
        <v>0</v>
      </c>
      <c r="FQ455" s="88">
        <v>1754</v>
      </c>
      <c r="FR455" s="88">
        <v>0</v>
      </c>
      <c r="FS455" s="88">
        <v>0</v>
      </c>
      <c r="FT455" s="88">
        <v>5</v>
      </c>
      <c r="FU455" s="88">
        <v>0</v>
      </c>
      <c r="FV455" s="88">
        <v>0</v>
      </c>
      <c r="FW455" s="88">
        <v>95</v>
      </c>
      <c r="FX455" s="32">
        <v>0</v>
      </c>
      <c r="FY455" s="32">
        <v>0</v>
      </c>
      <c r="FZ455" s="32">
        <v>8</v>
      </c>
      <c r="GB455" s="46">
        <f t="shared" si="37"/>
        <v>9453</v>
      </c>
    </row>
    <row r="456" spans="1:184" s="22" customFormat="1" x14ac:dyDescent="0.2">
      <c r="A456" s="41">
        <v>45444</v>
      </c>
      <c r="B456" s="100">
        <f t="shared" si="35"/>
        <v>63349744.899999991</v>
      </c>
      <c r="C456" s="42">
        <v>21224.93</v>
      </c>
      <c r="D456" s="42">
        <v>265090.44</v>
      </c>
      <c r="E456" s="43">
        <f t="shared" si="29"/>
        <v>286315.37</v>
      </c>
      <c r="F456" s="42">
        <v>1872582.92</v>
      </c>
      <c r="G456" s="42">
        <v>1975620.15</v>
      </c>
      <c r="H456" s="32">
        <f t="shared" si="28"/>
        <v>3848203.07</v>
      </c>
      <c r="I456" s="42"/>
      <c r="J456" s="42"/>
      <c r="K456" s="98">
        <v>11732381.460000001</v>
      </c>
      <c r="L456" s="42"/>
      <c r="M456" s="42"/>
      <c r="N456" s="98">
        <v>21096207.329999994</v>
      </c>
      <c r="O456" s="42"/>
      <c r="P456" s="42"/>
      <c r="Q456" s="98">
        <v>25449075.820000004</v>
      </c>
      <c r="R456" s="42"/>
      <c r="S456" s="42"/>
      <c r="T456" s="42">
        <v>138307.82999999999</v>
      </c>
      <c r="U456" s="42">
        <v>2266.59</v>
      </c>
      <c r="V456" s="42">
        <v>1244.3499999999999</v>
      </c>
      <c r="W456" s="42">
        <f t="shared" si="30"/>
        <v>3510.94</v>
      </c>
      <c r="X456" s="42">
        <v>17940.5</v>
      </c>
      <c r="Y456" s="42">
        <v>11187.740000000002</v>
      </c>
      <c r="Z456" s="32">
        <f t="shared" si="31"/>
        <v>29128.240000000002</v>
      </c>
      <c r="AA456" s="42">
        <v>123636.32999999999</v>
      </c>
      <c r="AB456" s="42">
        <v>132860.89999999997</v>
      </c>
      <c r="AC456" s="32">
        <f t="shared" si="32"/>
        <v>256497.22999999995</v>
      </c>
      <c r="AD456" s="42">
        <v>715.28</v>
      </c>
      <c r="AE456" s="42">
        <v>7878.8600000000006</v>
      </c>
      <c r="AF456" s="32">
        <f t="shared" si="33"/>
        <v>8594.1400000000012</v>
      </c>
      <c r="AG456" s="32">
        <v>4621.71</v>
      </c>
      <c r="AH456" s="32">
        <v>62596.149999999994</v>
      </c>
      <c r="AI456" s="32">
        <f t="shared" si="34"/>
        <v>67217.86</v>
      </c>
      <c r="AJ456" s="42"/>
      <c r="AK456" s="42"/>
      <c r="AL456" s="42">
        <v>21821.4</v>
      </c>
      <c r="AM456" s="42">
        <v>886.24</v>
      </c>
      <c r="AN456" s="42">
        <v>24589.999999999996</v>
      </c>
      <c r="AO456" s="42">
        <f t="shared" si="39"/>
        <v>25476.239999999998</v>
      </c>
      <c r="AP456" s="42"/>
      <c r="AQ456" s="42"/>
      <c r="AR456" s="42">
        <v>387007.97</v>
      </c>
      <c r="AS456" s="42"/>
      <c r="AT456" s="42"/>
      <c r="AU456" s="42">
        <v>1363346.31</v>
      </c>
      <c r="AV456" s="42"/>
      <c r="AW456" s="42"/>
      <c r="AX456" s="42">
        <v>46715.259999999995</v>
      </c>
      <c r="AY456" s="42">
        <v>4297794</v>
      </c>
      <c r="AZ456" s="42">
        <v>895682</v>
      </c>
      <c r="BA456" s="43">
        <f t="shared" si="38"/>
        <v>5193476</v>
      </c>
      <c r="BB456" s="42"/>
      <c r="BC456" s="42"/>
      <c r="BD456" s="42">
        <v>1192043.2000000002</v>
      </c>
      <c r="BE456" s="88">
        <v>0</v>
      </c>
      <c r="BF456" s="88">
        <v>0</v>
      </c>
      <c r="BG456" s="88">
        <v>88</v>
      </c>
      <c r="BH456" s="88">
        <v>0</v>
      </c>
      <c r="BI456" s="88">
        <v>0</v>
      </c>
      <c r="BJ456" s="88">
        <v>0</v>
      </c>
      <c r="BK456" s="88">
        <v>0</v>
      </c>
      <c r="BL456" s="88">
        <v>0</v>
      </c>
      <c r="BM456" s="88">
        <v>256</v>
      </c>
      <c r="BN456" s="88">
        <v>0</v>
      </c>
      <c r="BO456" s="88">
        <v>0</v>
      </c>
      <c r="BP456" s="88">
        <v>0</v>
      </c>
      <c r="BQ456" s="88">
        <v>0</v>
      </c>
      <c r="BR456" s="88">
        <v>0</v>
      </c>
      <c r="BS456" s="88">
        <v>646</v>
      </c>
      <c r="BT456" s="88">
        <v>0</v>
      </c>
      <c r="BU456" s="88">
        <v>0</v>
      </c>
      <c r="BV456" s="88">
        <v>0</v>
      </c>
      <c r="BW456" s="88">
        <v>0</v>
      </c>
      <c r="BX456" s="88">
        <v>0</v>
      </c>
      <c r="BY456" s="88">
        <v>0</v>
      </c>
      <c r="BZ456" s="88">
        <v>0</v>
      </c>
      <c r="CA456" s="88">
        <v>0</v>
      </c>
      <c r="CB456" s="88">
        <v>195</v>
      </c>
      <c r="CC456" s="88">
        <v>0</v>
      </c>
      <c r="CD456" s="88">
        <v>0</v>
      </c>
      <c r="CE456" s="88">
        <v>0</v>
      </c>
      <c r="CF456" s="88">
        <v>0</v>
      </c>
      <c r="CG456" s="88">
        <v>0</v>
      </c>
      <c r="CH456" s="88">
        <v>0</v>
      </c>
      <c r="CI456" s="88">
        <v>0</v>
      </c>
      <c r="CJ456" s="88">
        <v>0</v>
      </c>
      <c r="CK456" s="88">
        <v>11</v>
      </c>
      <c r="CL456" s="88">
        <v>0</v>
      </c>
      <c r="CM456" s="88">
        <v>0</v>
      </c>
      <c r="CN456" s="88">
        <v>0</v>
      </c>
      <c r="CO456" s="88">
        <v>0</v>
      </c>
      <c r="CP456" s="88">
        <v>0</v>
      </c>
      <c r="CQ456" s="88">
        <v>11</v>
      </c>
      <c r="CR456" s="88">
        <v>0</v>
      </c>
      <c r="CS456" s="88">
        <v>0</v>
      </c>
      <c r="CT456" s="88">
        <v>0</v>
      </c>
      <c r="CU456" s="88">
        <v>0</v>
      </c>
      <c r="CV456" s="88">
        <v>0</v>
      </c>
      <c r="CW456" s="88">
        <v>81</v>
      </c>
      <c r="CX456" s="88">
        <v>0</v>
      </c>
      <c r="CY456" s="88">
        <v>0</v>
      </c>
      <c r="CZ456" s="88">
        <v>1</v>
      </c>
      <c r="DA456" s="88">
        <v>0</v>
      </c>
      <c r="DB456" s="88">
        <v>0</v>
      </c>
      <c r="DC456" s="88">
        <v>0</v>
      </c>
      <c r="DD456" s="88">
        <v>0</v>
      </c>
      <c r="DE456" s="88">
        <v>0</v>
      </c>
      <c r="DF456" s="88">
        <v>0</v>
      </c>
      <c r="DG456" s="88">
        <v>0</v>
      </c>
      <c r="DH456" s="88">
        <v>0</v>
      </c>
      <c r="DI456" s="88">
        <v>13</v>
      </c>
      <c r="DJ456" s="88">
        <v>0</v>
      </c>
      <c r="DK456" s="88">
        <v>0</v>
      </c>
      <c r="DL456" s="88">
        <v>0</v>
      </c>
      <c r="DM456" s="88">
        <v>0</v>
      </c>
      <c r="DN456" s="88">
        <v>0</v>
      </c>
      <c r="DO456" s="88">
        <v>0</v>
      </c>
      <c r="DP456" s="88">
        <v>0</v>
      </c>
      <c r="DQ456" s="88">
        <v>0</v>
      </c>
      <c r="DR456" s="87">
        <v>3</v>
      </c>
      <c r="DS456" s="87">
        <v>0</v>
      </c>
      <c r="DT456" s="87">
        <v>0</v>
      </c>
      <c r="DU456" s="87">
        <v>422</v>
      </c>
      <c r="DV456" s="87">
        <v>0</v>
      </c>
      <c r="DW456" s="87">
        <v>0</v>
      </c>
      <c r="DX456" s="87">
        <v>0</v>
      </c>
      <c r="DY456" s="88">
        <v>0</v>
      </c>
      <c r="DZ456" s="88">
        <v>0</v>
      </c>
      <c r="EA456" s="88">
        <v>1561</v>
      </c>
      <c r="EB456" s="88">
        <v>0</v>
      </c>
      <c r="EC456" s="88">
        <v>0</v>
      </c>
      <c r="ED456" s="88">
        <v>0</v>
      </c>
      <c r="EE456" s="88">
        <v>0</v>
      </c>
      <c r="EF456" s="88">
        <v>0</v>
      </c>
      <c r="EG456" s="88">
        <v>617</v>
      </c>
      <c r="EH456" s="88">
        <v>0</v>
      </c>
      <c r="EI456" s="88">
        <v>0</v>
      </c>
      <c r="EJ456" s="88">
        <v>55</v>
      </c>
      <c r="EK456" s="88">
        <v>0</v>
      </c>
      <c r="EL456" s="88">
        <v>0</v>
      </c>
      <c r="EM456" s="88">
        <v>345</v>
      </c>
      <c r="EN456" s="88">
        <v>0</v>
      </c>
      <c r="EO456" s="88">
        <v>0</v>
      </c>
      <c r="EP456" s="88">
        <v>120</v>
      </c>
      <c r="EQ456" s="88">
        <v>0</v>
      </c>
      <c r="ER456" s="88">
        <v>0</v>
      </c>
      <c r="ES456" s="88">
        <v>7</v>
      </c>
      <c r="ET456" s="88">
        <v>0</v>
      </c>
      <c r="EU456" s="88">
        <v>0</v>
      </c>
      <c r="EV456" s="88">
        <v>35</v>
      </c>
      <c r="EW456" s="88">
        <v>0</v>
      </c>
      <c r="EX456" s="88">
        <v>0</v>
      </c>
      <c r="EY456" s="88">
        <v>2</v>
      </c>
      <c r="EZ456" s="88">
        <v>0</v>
      </c>
      <c r="FA456" s="88">
        <v>0</v>
      </c>
      <c r="FB456" s="88">
        <v>1</v>
      </c>
      <c r="FC456" s="88">
        <v>0</v>
      </c>
      <c r="FD456" s="88">
        <v>0</v>
      </c>
      <c r="FE456" s="88">
        <v>4</v>
      </c>
      <c r="FF456" s="88">
        <v>0</v>
      </c>
      <c r="FG456" s="88">
        <v>0</v>
      </c>
      <c r="FH456" s="88">
        <v>2</v>
      </c>
      <c r="FI456" s="88">
        <v>0</v>
      </c>
      <c r="FJ456" s="88">
        <v>0</v>
      </c>
      <c r="FK456" s="32">
        <v>42</v>
      </c>
      <c r="FL456" s="88">
        <v>0</v>
      </c>
      <c r="FM456" s="88">
        <v>0</v>
      </c>
      <c r="FN456" s="88">
        <v>3777</v>
      </c>
      <c r="FO456" s="88">
        <v>0</v>
      </c>
      <c r="FP456" s="88">
        <v>0</v>
      </c>
      <c r="FQ456" s="88">
        <v>523</v>
      </c>
      <c r="FR456" s="88">
        <v>0</v>
      </c>
      <c r="FS456" s="88">
        <v>0</v>
      </c>
      <c r="FT456" s="88">
        <v>0</v>
      </c>
      <c r="FU456" s="88">
        <v>0</v>
      </c>
      <c r="FV456" s="88">
        <v>0</v>
      </c>
      <c r="FW456" s="88">
        <v>67</v>
      </c>
      <c r="FX456" s="32">
        <v>0</v>
      </c>
      <c r="FY456" s="32">
        <v>0</v>
      </c>
      <c r="FZ456" s="32">
        <v>1</v>
      </c>
      <c r="GB456" s="46">
        <f t="shared" si="37"/>
        <v>8886</v>
      </c>
    </row>
    <row r="457" spans="1:184" s="22" customFormat="1" x14ac:dyDescent="0.2">
      <c r="A457" s="41">
        <v>45474</v>
      </c>
      <c r="B457" s="100">
        <f t="shared" si="35"/>
        <v>68492554.349999979</v>
      </c>
      <c r="C457" s="42">
        <v>23839.73</v>
      </c>
      <c r="D457" s="42">
        <v>171913.66999999998</v>
      </c>
      <c r="E457" s="43">
        <f t="shared" si="29"/>
        <v>195753.4</v>
      </c>
      <c r="F457" s="42">
        <v>3022877.46</v>
      </c>
      <c r="G457" s="42">
        <v>2106403.2999999998</v>
      </c>
      <c r="H457" s="32">
        <f t="shared" si="28"/>
        <v>5129280.76</v>
      </c>
      <c r="I457" s="42"/>
      <c r="J457" s="42"/>
      <c r="K457" s="98">
        <v>11140644.260000002</v>
      </c>
      <c r="L457" s="42"/>
      <c r="M457" s="42"/>
      <c r="N457" s="98">
        <v>23328429.899999995</v>
      </c>
      <c r="O457" s="42"/>
      <c r="P457" s="42"/>
      <c r="Q457" s="98">
        <v>27573208.52</v>
      </c>
      <c r="R457" s="42"/>
      <c r="S457" s="42"/>
      <c r="T457" s="42">
        <v>144197.25999999998</v>
      </c>
      <c r="U457" s="42">
        <v>1811.49</v>
      </c>
      <c r="V457" s="42">
        <v>1868.99</v>
      </c>
      <c r="W457" s="42">
        <f t="shared" si="30"/>
        <v>3680.48</v>
      </c>
      <c r="X457" s="42">
        <v>13474</v>
      </c>
      <c r="Y457" s="42">
        <v>8548.85</v>
      </c>
      <c r="Z457" s="32">
        <f t="shared" si="31"/>
        <v>22022.85</v>
      </c>
      <c r="AA457" s="42">
        <v>149587.27000000002</v>
      </c>
      <c r="AB457" s="42">
        <v>140853.10000000003</v>
      </c>
      <c r="AC457" s="32">
        <f t="shared" si="32"/>
        <v>290440.37000000005</v>
      </c>
      <c r="AD457" s="42">
        <v>2067.25</v>
      </c>
      <c r="AE457" s="42">
        <v>7179.07</v>
      </c>
      <c r="AF457" s="32">
        <f t="shared" si="33"/>
        <v>9246.32</v>
      </c>
      <c r="AG457" s="32">
        <v>6104.35</v>
      </c>
      <c r="AH457" s="32">
        <v>84660.320000000022</v>
      </c>
      <c r="AI457" s="32">
        <f t="shared" si="34"/>
        <v>90764.670000000027</v>
      </c>
      <c r="AJ457" s="42"/>
      <c r="AK457" s="42"/>
      <c r="AL457" s="42">
        <v>19228.05</v>
      </c>
      <c r="AM457" s="42">
        <v>66240.19</v>
      </c>
      <c r="AN457" s="42">
        <v>39460.129999999997</v>
      </c>
      <c r="AO457" s="42">
        <f t="shared" si="39"/>
        <v>105700.32</v>
      </c>
      <c r="AP457" s="42"/>
      <c r="AQ457" s="42"/>
      <c r="AR457" s="42">
        <v>439957.19000000006</v>
      </c>
      <c r="AS457" s="42"/>
      <c r="AT457" s="42"/>
      <c r="AU457" s="42">
        <v>1467792.2499999998</v>
      </c>
      <c r="AV457" s="42"/>
      <c r="AW457" s="42"/>
      <c r="AX457" s="42">
        <v>47012.880000000005</v>
      </c>
      <c r="AY457" s="42">
        <v>5213548.0999999996</v>
      </c>
      <c r="AZ457" s="42">
        <v>234610</v>
      </c>
      <c r="BA457" s="43">
        <f t="shared" si="38"/>
        <v>5448158.0999999996</v>
      </c>
      <c r="BB457" s="42"/>
      <c r="BC457" s="42"/>
      <c r="BD457" s="42">
        <v>1457417.3333333333</v>
      </c>
      <c r="BE457" s="88">
        <v>0</v>
      </c>
      <c r="BF457" s="88">
        <v>0</v>
      </c>
      <c r="BG457" s="88">
        <v>103</v>
      </c>
      <c r="BH457" s="88">
        <v>0</v>
      </c>
      <c r="BI457" s="88">
        <v>0</v>
      </c>
      <c r="BJ457" s="88">
        <v>0</v>
      </c>
      <c r="BK457" s="88">
        <v>0</v>
      </c>
      <c r="BL457" s="88">
        <v>0</v>
      </c>
      <c r="BM457" s="88">
        <v>206</v>
      </c>
      <c r="BN457" s="88">
        <v>0</v>
      </c>
      <c r="BO457" s="88">
        <v>0</v>
      </c>
      <c r="BP457" s="88">
        <v>9</v>
      </c>
      <c r="BQ457" s="88">
        <v>0</v>
      </c>
      <c r="BR457" s="88">
        <v>0</v>
      </c>
      <c r="BS457" s="88">
        <v>560</v>
      </c>
      <c r="BT457" s="88">
        <v>0</v>
      </c>
      <c r="BU457" s="88">
        <v>0</v>
      </c>
      <c r="BV457" s="88">
        <v>0</v>
      </c>
      <c r="BW457" s="88">
        <v>0</v>
      </c>
      <c r="BX457" s="88">
        <v>0</v>
      </c>
      <c r="BY457" s="88">
        <v>0</v>
      </c>
      <c r="BZ457" s="88">
        <v>0</v>
      </c>
      <c r="CA457" s="88">
        <v>0</v>
      </c>
      <c r="CB457" s="88">
        <v>251</v>
      </c>
      <c r="CC457" s="88">
        <v>0</v>
      </c>
      <c r="CD457" s="88">
        <v>0</v>
      </c>
      <c r="CE457" s="88">
        <v>3</v>
      </c>
      <c r="CF457" s="88">
        <v>0</v>
      </c>
      <c r="CG457" s="88">
        <v>0</v>
      </c>
      <c r="CH457" s="88">
        <v>0</v>
      </c>
      <c r="CI457" s="88">
        <v>0</v>
      </c>
      <c r="CJ457" s="88">
        <v>0</v>
      </c>
      <c r="CK457" s="88">
        <v>11</v>
      </c>
      <c r="CL457" s="88">
        <v>0</v>
      </c>
      <c r="CM457" s="88">
        <v>0</v>
      </c>
      <c r="CN457" s="88">
        <v>0</v>
      </c>
      <c r="CO457" s="88">
        <v>0</v>
      </c>
      <c r="CP457" s="88">
        <v>0</v>
      </c>
      <c r="CQ457" s="88">
        <v>10</v>
      </c>
      <c r="CR457" s="88">
        <v>0</v>
      </c>
      <c r="CS457" s="88">
        <v>0</v>
      </c>
      <c r="CT457" s="88">
        <v>1</v>
      </c>
      <c r="CU457" s="88">
        <v>0</v>
      </c>
      <c r="CV457" s="88">
        <v>0</v>
      </c>
      <c r="CW457" s="88">
        <v>268</v>
      </c>
      <c r="CX457" s="88">
        <v>0</v>
      </c>
      <c r="CY457" s="88">
        <v>0</v>
      </c>
      <c r="CZ457" s="88">
        <v>1</v>
      </c>
      <c r="DA457" s="88">
        <v>0</v>
      </c>
      <c r="DB457" s="88">
        <v>0</v>
      </c>
      <c r="DC457" s="88">
        <v>0</v>
      </c>
      <c r="DD457" s="88">
        <v>0</v>
      </c>
      <c r="DE457" s="88">
        <v>0</v>
      </c>
      <c r="DF457" s="88">
        <v>0</v>
      </c>
      <c r="DG457" s="88">
        <v>0</v>
      </c>
      <c r="DH457" s="88">
        <v>0</v>
      </c>
      <c r="DI457" s="88">
        <v>1</v>
      </c>
      <c r="DJ457" s="88">
        <v>0</v>
      </c>
      <c r="DK457" s="88">
        <v>0</v>
      </c>
      <c r="DL457" s="88">
        <v>0</v>
      </c>
      <c r="DM457" s="88">
        <v>0</v>
      </c>
      <c r="DN457" s="88">
        <v>0</v>
      </c>
      <c r="DO457" s="88">
        <v>0</v>
      </c>
      <c r="DP457" s="88">
        <v>0</v>
      </c>
      <c r="DQ457" s="88">
        <v>0</v>
      </c>
      <c r="DR457" s="87">
        <v>12</v>
      </c>
      <c r="DS457" s="87">
        <v>0</v>
      </c>
      <c r="DT457" s="87">
        <v>0</v>
      </c>
      <c r="DU457" s="87">
        <v>458</v>
      </c>
      <c r="DV457" s="87">
        <v>0</v>
      </c>
      <c r="DW457" s="87">
        <v>0</v>
      </c>
      <c r="DX457" s="87">
        <v>0</v>
      </c>
      <c r="DY457" s="88">
        <v>0</v>
      </c>
      <c r="DZ457" s="88">
        <v>0</v>
      </c>
      <c r="EA457" s="88">
        <v>1692</v>
      </c>
      <c r="EB457" s="88">
        <v>0</v>
      </c>
      <c r="EC457" s="88">
        <v>0</v>
      </c>
      <c r="ED457" s="88">
        <v>0</v>
      </c>
      <c r="EE457" s="88">
        <v>0</v>
      </c>
      <c r="EF457" s="88">
        <v>0</v>
      </c>
      <c r="EG457" s="88">
        <v>566</v>
      </c>
      <c r="EH457" s="88">
        <v>0</v>
      </c>
      <c r="EI457" s="88">
        <v>0</v>
      </c>
      <c r="EJ457" s="88">
        <v>44</v>
      </c>
      <c r="EK457" s="88">
        <v>0</v>
      </c>
      <c r="EL457" s="88">
        <v>0</v>
      </c>
      <c r="EM457" s="88">
        <v>345</v>
      </c>
      <c r="EN457" s="88">
        <v>0</v>
      </c>
      <c r="EO457" s="88">
        <v>0</v>
      </c>
      <c r="EP457" s="88">
        <v>322</v>
      </c>
      <c r="EQ457" s="88">
        <v>0</v>
      </c>
      <c r="ER457" s="88">
        <v>0</v>
      </c>
      <c r="ES457" s="88">
        <v>6</v>
      </c>
      <c r="ET457" s="88">
        <v>0</v>
      </c>
      <c r="EU457" s="88">
        <v>0</v>
      </c>
      <c r="EV457" s="88">
        <v>9</v>
      </c>
      <c r="EW457" s="88">
        <v>0</v>
      </c>
      <c r="EX457" s="88">
        <v>0</v>
      </c>
      <c r="EY457" s="88">
        <v>5</v>
      </c>
      <c r="EZ457" s="88">
        <v>0</v>
      </c>
      <c r="FA457" s="88">
        <v>0</v>
      </c>
      <c r="FB457" s="88">
        <v>1</v>
      </c>
      <c r="FC457" s="88">
        <v>0</v>
      </c>
      <c r="FD457" s="88">
        <v>0</v>
      </c>
      <c r="FE457" s="88">
        <v>1</v>
      </c>
      <c r="FF457" s="88">
        <v>0</v>
      </c>
      <c r="FG457" s="88">
        <v>0</v>
      </c>
      <c r="FH457" s="88">
        <v>4</v>
      </c>
      <c r="FI457" s="88">
        <v>0</v>
      </c>
      <c r="FJ457" s="88">
        <v>0</v>
      </c>
      <c r="FK457" s="32">
        <v>31</v>
      </c>
      <c r="FL457" s="88">
        <v>0</v>
      </c>
      <c r="FM457" s="88">
        <v>0</v>
      </c>
      <c r="FN457" s="88">
        <v>4367</v>
      </c>
      <c r="FO457" s="88">
        <v>0</v>
      </c>
      <c r="FP457" s="88">
        <v>0</v>
      </c>
      <c r="FQ457" s="88">
        <v>805</v>
      </c>
      <c r="FR457" s="88">
        <v>0</v>
      </c>
      <c r="FS457" s="88">
        <v>0</v>
      </c>
      <c r="FT457" s="88">
        <v>0</v>
      </c>
      <c r="FU457" s="88">
        <v>0</v>
      </c>
      <c r="FV457" s="88">
        <v>0</v>
      </c>
      <c r="FW457" s="88">
        <v>138</v>
      </c>
      <c r="FX457" s="32">
        <v>0</v>
      </c>
      <c r="FY457" s="32">
        <v>0</v>
      </c>
      <c r="FZ457" s="32">
        <v>13</v>
      </c>
      <c r="GB457" s="46">
        <f t="shared" si="37"/>
        <v>10243</v>
      </c>
    </row>
    <row r="458" spans="1:184" s="22" customFormat="1" x14ac:dyDescent="0.2">
      <c r="A458" s="41">
        <v>45505</v>
      </c>
      <c r="B458" s="100">
        <f t="shared" si="35"/>
        <v>75875689.329999983</v>
      </c>
      <c r="C458" s="42">
        <v>15206.71</v>
      </c>
      <c r="D458" s="42">
        <v>208012.63999999998</v>
      </c>
      <c r="E458" s="43">
        <f t="shared" si="29"/>
        <v>223219.34999999998</v>
      </c>
      <c r="F458" s="42">
        <v>3915555.6999999997</v>
      </c>
      <c r="G458" s="42">
        <v>3450230.42</v>
      </c>
      <c r="H458" s="32">
        <f t="shared" si="28"/>
        <v>7365786.1199999992</v>
      </c>
      <c r="I458" s="42"/>
      <c r="J458" s="42"/>
      <c r="K458" s="98">
        <v>16045725.750000002</v>
      </c>
      <c r="L458" s="42"/>
      <c r="M458" s="42"/>
      <c r="N458" s="98">
        <v>23795171.030000001</v>
      </c>
      <c r="O458" s="42"/>
      <c r="P458" s="42"/>
      <c r="Q458" s="98">
        <v>27243762.16</v>
      </c>
      <c r="R458" s="42"/>
      <c r="S458" s="42"/>
      <c r="T458" s="42">
        <v>164835.75</v>
      </c>
      <c r="U458" s="42">
        <v>2600.1</v>
      </c>
      <c r="V458" s="42">
        <v>1092.3</v>
      </c>
      <c r="W458" s="42">
        <f t="shared" si="30"/>
        <v>3692.3999999999996</v>
      </c>
      <c r="X458" s="42">
        <v>27268.99</v>
      </c>
      <c r="Y458" s="42">
        <v>11065.74</v>
      </c>
      <c r="Z458" s="32">
        <f t="shared" si="31"/>
        <v>38334.730000000003</v>
      </c>
      <c r="AA458" s="42">
        <v>51858.34</v>
      </c>
      <c r="AB458" s="42">
        <v>163370.4</v>
      </c>
      <c r="AC458" s="32">
        <f t="shared" si="32"/>
        <v>215228.74</v>
      </c>
      <c r="AD458" s="42">
        <v>2514.6800000000003</v>
      </c>
      <c r="AE458" s="42">
        <v>10354.66</v>
      </c>
      <c r="AF458" s="32">
        <f t="shared" si="33"/>
        <v>12869.34</v>
      </c>
      <c r="AG458" s="32">
        <v>3406.9900000000002</v>
      </c>
      <c r="AH458" s="32">
        <v>89229.360000000015</v>
      </c>
      <c r="AI458" s="32">
        <f t="shared" si="34"/>
        <v>92636.35000000002</v>
      </c>
      <c r="AJ458" s="42"/>
      <c r="AK458" s="42"/>
      <c r="AL458" s="42">
        <v>26123.85</v>
      </c>
      <c r="AM458" s="42">
        <v>83897.62</v>
      </c>
      <c r="AN458" s="42">
        <v>43216.15</v>
      </c>
      <c r="AO458" s="42">
        <f t="shared" si="39"/>
        <v>127113.76999999999</v>
      </c>
      <c r="AP458" s="42"/>
      <c r="AQ458" s="42"/>
      <c r="AR458" s="42">
        <v>521189.99</v>
      </c>
      <c r="AS458" s="42"/>
      <c r="AT458" s="42"/>
      <c r="AU458" s="42">
        <v>1607562.6499999992</v>
      </c>
      <c r="AV458" s="42"/>
      <c r="AW458" s="42"/>
      <c r="AX458" s="42">
        <v>52264.09</v>
      </c>
      <c r="AY458" s="42">
        <v>5324565.7</v>
      </c>
      <c r="AZ458" s="42">
        <v>984480</v>
      </c>
      <c r="BA458" s="43">
        <f t="shared" si="38"/>
        <v>6309045.7000000002</v>
      </c>
      <c r="BB458" s="42"/>
      <c r="BC458" s="42"/>
      <c r="BD458" s="42">
        <v>1382345.111111111</v>
      </c>
      <c r="BE458" s="88">
        <v>0</v>
      </c>
      <c r="BF458" s="88">
        <v>0</v>
      </c>
      <c r="BG458" s="88">
        <v>111</v>
      </c>
      <c r="BH458" s="88">
        <v>0</v>
      </c>
      <c r="BI458" s="88">
        <v>0</v>
      </c>
      <c r="BJ458" s="88">
        <v>2</v>
      </c>
      <c r="BK458" s="88">
        <v>0</v>
      </c>
      <c r="BL458" s="88">
        <v>0</v>
      </c>
      <c r="BM458" s="88">
        <v>208</v>
      </c>
      <c r="BN458" s="88">
        <v>0</v>
      </c>
      <c r="BO458" s="88">
        <v>0</v>
      </c>
      <c r="BP458" s="88">
        <v>3</v>
      </c>
      <c r="BQ458" s="88">
        <v>0</v>
      </c>
      <c r="BR458" s="88">
        <v>0</v>
      </c>
      <c r="BS458" s="88">
        <v>766</v>
      </c>
      <c r="BT458" s="88">
        <v>0</v>
      </c>
      <c r="BU458" s="88">
        <v>0</v>
      </c>
      <c r="BV458" s="88">
        <v>0</v>
      </c>
      <c r="BW458" s="88">
        <v>0</v>
      </c>
      <c r="BX458" s="88">
        <v>0</v>
      </c>
      <c r="BY458" s="88">
        <v>1</v>
      </c>
      <c r="BZ458" s="88">
        <v>0</v>
      </c>
      <c r="CA458" s="88">
        <v>0</v>
      </c>
      <c r="CB458" s="88">
        <v>483</v>
      </c>
      <c r="CC458" s="88">
        <v>0</v>
      </c>
      <c r="CD458" s="88">
        <v>0</v>
      </c>
      <c r="CE458" s="88">
        <v>8</v>
      </c>
      <c r="CF458" s="88">
        <v>0</v>
      </c>
      <c r="CG458" s="88">
        <v>0</v>
      </c>
      <c r="CH458" s="88">
        <v>6</v>
      </c>
      <c r="CI458" s="88">
        <v>0</v>
      </c>
      <c r="CJ458" s="88">
        <v>0</v>
      </c>
      <c r="CK458" s="88">
        <v>25</v>
      </c>
      <c r="CL458" s="88">
        <v>0</v>
      </c>
      <c r="CM458" s="88">
        <v>0</v>
      </c>
      <c r="CN458" s="88">
        <v>0</v>
      </c>
      <c r="CO458" s="88">
        <v>0</v>
      </c>
      <c r="CP458" s="88">
        <v>0</v>
      </c>
      <c r="CQ458" s="88">
        <v>16</v>
      </c>
      <c r="CR458" s="88">
        <v>0</v>
      </c>
      <c r="CS458" s="88">
        <v>0</v>
      </c>
      <c r="CT458" s="88">
        <v>0</v>
      </c>
      <c r="CU458" s="88">
        <v>0</v>
      </c>
      <c r="CV458" s="88">
        <v>0</v>
      </c>
      <c r="CW458" s="88">
        <v>145</v>
      </c>
      <c r="CX458" s="88">
        <v>0</v>
      </c>
      <c r="CY458" s="88">
        <v>0</v>
      </c>
      <c r="CZ458" s="88">
        <v>1</v>
      </c>
      <c r="DA458" s="88">
        <v>0</v>
      </c>
      <c r="DB458" s="88">
        <v>0</v>
      </c>
      <c r="DC458" s="88">
        <v>0</v>
      </c>
      <c r="DD458" s="88">
        <v>0</v>
      </c>
      <c r="DE458" s="88">
        <v>0</v>
      </c>
      <c r="DF458" s="88">
        <v>0</v>
      </c>
      <c r="DG458" s="88">
        <v>0</v>
      </c>
      <c r="DH458" s="88">
        <v>0</v>
      </c>
      <c r="DI458" s="88">
        <v>9</v>
      </c>
      <c r="DJ458" s="88">
        <v>0</v>
      </c>
      <c r="DK458" s="88">
        <v>0</v>
      </c>
      <c r="DL458" s="88">
        <v>0</v>
      </c>
      <c r="DM458" s="88">
        <v>0</v>
      </c>
      <c r="DN458" s="88">
        <v>0</v>
      </c>
      <c r="DO458" s="88">
        <v>0</v>
      </c>
      <c r="DP458" s="88">
        <v>0</v>
      </c>
      <c r="DQ458" s="88">
        <v>0</v>
      </c>
      <c r="DR458" s="87">
        <v>4</v>
      </c>
      <c r="DS458" s="87">
        <v>0</v>
      </c>
      <c r="DT458" s="87">
        <v>0</v>
      </c>
      <c r="DU458" s="87">
        <v>492</v>
      </c>
      <c r="DV458" s="87">
        <v>0</v>
      </c>
      <c r="DW458" s="87">
        <v>0</v>
      </c>
      <c r="DX458" s="87">
        <v>0</v>
      </c>
      <c r="DY458" s="88">
        <v>0</v>
      </c>
      <c r="DZ458" s="88">
        <v>0</v>
      </c>
      <c r="EA458" s="88">
        <v>1571</v>
      </c>
      <c r="EB458" s="88">
        <v>0</v>
      </c>
      <c r="EC458" s="88">
        <v>0</v>
      </c>
      <c r="ED458" s="88">
        <v>64</v>
      </c>
      <c r="EE458" s="88">
        <v>0</v>
      </c>
      <c r="EF458" s="88">
        <v>0</v>
      </c>
      <c r="EG458" s="88">
        <v>451</v>
      </c>
      <c r="EH458" s="88">
        <v>0</v>
      </c>
      <c r="EI458" s="88">
        <v>0</v>
      </c>
      <c r="EJ458" s="88">
        <v>131</v>
      </c>
      <c r="EK458" s="88">
        <v>0</v>
      </c>
      <c r="EL458" s="88">
        <v>0</v>
      </c>
      <c r="EM458" s="88">
        <v>523</v>
      </c>
      <c r="EN458" s="88">
        <v>0</v>
      </c>
      <c r="EO458" s="88">
        <v>0</v>
      </c>
      <c r="EP458" s="88">
        <v>147</v>
      </c>
      <c r="EQ458" s="88">
        <v>0</v>
      </c>
      <c r="ER458" s="88">
        <v>0</v>
      </c>
      <c r="ES458" s="88">
        <v>25</v>
      </c>
      <c r="ET458" s="88">
        <v>0</v>
      </c>
      <c r="EU458" s="88">
        <v>0</v>
      </c>
      <c r="EV458" s="88">
        <v>10</v>
      </c>
      <c r="EW458" s="88">
        <v>0</v>
      </c>
      <c r="EX458" s="88">
        <v>0</v>
      </c>
      <c r="EY458" s="88">
        <v>0</v>
      </c>
      <c r="EZ458" s="88">
        <v>0</v>
      </c>
      <c r="FA458" s="88">
        <v>0</v>
      </c>
      <c r="FB458" s="88">
        <v>4</v>
      </c>
      <c r="FC458" s="88">
        <v>0</v>
      </c>
      <c r="FD458" s="88">
        <v>0</v>
      </c>
      <c r="FE458" s="88">
        <v>1</v>
      </c>
      <c r="FF458" s="88">
        <v>0</v>
      </c>
      <c r="FG458" s="88">
        <v>0</v>
      </c>
      <c r="FH458" s="88">
        <v>1</v>
      </c>
      <c r="FI458" s="88">
        <v>0</v>
      </c>
      <c r="FJ458" s="88">
        <v>0</v>
      </c>
      <c r="FK458" s="32">
        <v>53</v>
      </c>
      <c r="FL458" s="88">
        <v>0</v>
      </c>
      <c r="FM458" s="88">
        <v>0</v>
      </c>
      <c r="FN458" s="88">
        <v>3995</v>
      </c>
      <c r="FO458" s="88">
        <v>0</v>
      </c>
      <c r="FP458" s="88">
        <v>0</v>
      </c>
      <c r="FQ458" s="88">
        <v>736</v>
      </c>
      <c r="FR458" s="88">
        <v>0</v>
      </c>
      <c r="FS458" s="88">
        <v>0</v>
      </c>
      <c r="FT458" s="88">
        <v>0</v>
      </c>
      <c r="FU458" s="88">
        <v>0</v>
      </c>
      <c r="FV458" s="88">
        <v>0</v>
      </c>
      <c r="FW458" s="88">
        <v>212</v>
      </c>
      <c r="FX458" s="32">
        <v>0</v>
      </c>
      <c r="FY458" s="32">
        <v>0</v>
      </c>
      <c r="FZ458" s="32">
        <v>62</v>
      </c>
      <c r="GB458" s="46">
        <f t="shared" si="37"/>
        <v>10266</v>
      </c>
    </row>
    <row r="459" spans="1:184" s="22" customFormat="1" x14ac:dyDescent="0.2">
      <c r="A459" s="41">
        <v>45536</v>
      </c>
      <c r="B459" s="100">
        <f t="shared" si="35"/>
        <v>75270700.170000017</v>
      </c>
      <c r="C459" s="42">
        <v>24917</v>
      </c>
      <c r="D459" s="42">
        <v>199422.21</v>
      </c>
      <c r="E459" s="43">
        <f t="shared" si="29"/>
        <v>224339.21</v>
      </c>
      <c r="F459" s="42">
        <v>3874368.1</v>
      </c>
      <c r="G459" s="42">
        <v>3418272.3</v>
      </c>
      <c r="H459" s="32">
        <f t="shared" si="28"/>
        <v>7292640.4000000004</v>
      </c>
      <c r="I459" s="42"/>
      <c r="J459" s="42"/>
      <c r="K459" s="98">
        <v>11589177.189999999</v>
      </c>
      <c r="L459" s="42"/>
      <c r="M459" s="42"/>
      <c r="N459" s="98">
        <v>23712530.050000001</v>
      </c>
      <c r="O459" s="42"/>
      <c r="P459" s="42"/>
      <c r="Q459" s="98">
        <v>31589049.739999998</v>
      </c>
      <c r="R459" s="42"/>
      <c r="S459" s="42"/>
      <c r="T459" s="42">
        <v>165994.56</v>
      </c>
      <c r="U459" s="42">
        <v>3592.44</v>
      </c>
      <c r="V459" s="42">
        <v>4720.6499999999996</v>
      </c>
      <c r="W459" s="42">
        <f t="shared" si="30"/>
        <v>8313.09</v>
      </c>
      <c r="X459" s="42">
        <v>28164.5</v>
      </c>
      <c r="Y459" s="42">
        <v>13037.44</v>
      </c>
      <c r="Z459" s="32">
        <f t="shared" si="31"/>
        <v>41201.94</v>
      </c>
      <c r="AA459" s="42">
        <v>26893.140000000003</v>
      </c>
      <c r="AB459" s="42">
        <v>97160.47</v>
      </c>
      <c r="AC459" s="32">
        <f t="shared" si="32"/>
        <v>124053.61</v>
      </c>
      <c r="AD459" s="42">
        <v>2333.19</v>
      </c>
      <c r="AE459" s="42">
        <v>8732.16</v>
      </c>
      <c r="AF459" s="32">
        <f t="shared" si="33"/>
        <v>11065.35</v>
      </c>
      <c r="AG459" s="32">
        <v>8725.0500000000011</v>
      </c>
      <c r="AH459" s="32">
        <v>68673.070000000007</v>
      </c>
      <c r="AI459" s="32">
        <f t="shared" si="34"/>
        <v>77398.12000000001</v>
      </c>
      <c r="AJ459" s="42"/>
      <c r="AK459" s="42"/>
      <c r="AL459" s="42">
        <v>22108.95</v>
      </c>
      <c r="AM459" s="42">
        <v>46114.18</v>
      </c>
      <c r="AN459" s="42">
        <v>29191.489999999998</v>
      </c>
      <c r="AO459" s="42">
        <f t="shared" si="39"/>
        <v>75305.67</v>
      </c>
      <c r="AP459" s="42"/>
      <c r="AQ459" s="42"/>
      <c r="AR459" s="42">
        <v>337522.29</v>
      </c>
      <c r="AS459" s="42"/>
      <c r="AT459" s="42"/>
      <c r="AU459" s="42">
        <v>1372338.24</v>
      </c>
      <c r="AV459" s="42"/>
      <c r="AW459" s="42"/>
      <c r="AX459" s="42">
        <v>48378.079999999987</v>
      </c>
      <c r="AY459" s="42">
        <v>4956662.8</v>
      </c>
      <c r="AZ459" s="42">
        <v>1020881</v>
      </c>
      <c r="BA459" s="43">
        <f t="shared" si="38"/>
        <v>5977543.7999999998</v>
      </c>
      <c r="BB459" s="42"/>
      <c r="BC459" s="42"/>
      <c r="BD459" s="42">
        <v>1351543.5555555555</v>
      </c>
      <c r="BE459" s="88">
        <v>0</v>
      </c>
      <c r="BF459" s="88">
        <v>0</v>
      </c>
      <c r="BG459" s="88">
        <v>130</v>
      </c>
      <c r="BH459" s="88">
        <v>0</v>
      </c>
      <c r="BI459" s="88">
        <v>0</v>
      </c>
      <c r="BJ459" s="88">
        <v>0</v>
      </c>
      <c r="BK459" s="88">
        <v>0</v>
      </c>
      <c r="BL459" s="88">
        <v>0</v>
      </c>
      <c r="BM459" s="88">
        <v>197</v>
      </c>
      <c r="BN459" s="88">
        <v>0</v>
      </c>
      <c r="BO459" s="88">
        <v>0</v>
      </c>
      <c r="BP459" s="88">
        <v>2</v>
      </c>
      <c r="BQ459" s="88">
        <v>0</v>
      </c>
      <c r="BR459" s="88">
        <v>0</v>
      </c>
      <c r="BS459" s="88">
        <v>493</v>
      </c>
      <c r="BT459" s="88">
        <v>0</v>
      </c>
      <c r="BU459" s="88">
        <v>0</v>
      </c>
      <c r="BV459" s="88">
        <v>0</v>
      </c>
      <c r="BW459" s="88">
        <v>0</v>
      </c>
      <c r="BX459" s="88">
        <v>0</v>
      </c>
      <c r="BY459" s="88">
        <v>0</v>
      </c>
      <c r="BZ459" s="88">
        <v>0</v>
      </c>
      <c r="CA459" s="88">
        <v>0</v>
      </c>
      <c r="CB459" s="88">
        <v>387</v>
      </c>
      <c r="CC459" s="88">
        <v>0</v>
      </c>
      <c r="CD459" s="88">
        <v>0</v>
      </c>
      <c r="CE459" s="88">
        <v>14</v>
      </c>
      <c r="CF459" s="88">
        <v>0</v>
      </c>
      <c r="CG459" s="88">
        <v>0</v>
      </c>
      <c r="CH459" s="88">
        <v>3</v>
      </c>
      <c r="CI459" s="88">
        <v>0</v>
      </c>
      <c r="CJ459" s="88">
        <v>0</v>
      </c>
      <c r="CK459" s="88">
        <v>11</v>
      </c>
      <c r="CL459" s="88">
        <v>0</v>
      </c>
      <c r="CM459" s="88">
        <v>0</v>
      </c>
      <c r="CN459" s="88">
        <v>0</v>
      </c>
      <c r="CO459" s="88">
        <v>0</v>
      </c>
      <c r="CP459" s="88">
        <v>0</v>
      </c>
      <c r="CQ459" s="88">
        <v>58</v>
      </c>
      <c r="CR459" s="88">
        <v>0</v>
      </c>
      <c r="CS459" s="88">
        <v>0</v>
      </c>
      <c r="CT459" s="88">
        <v>0</v>
      </c>
      <c r="CU459" s="88">
        <v>0</v>
      </c>
      <c r="CV459" s="88">
        <v>0</v>
      </c>
      <c r="CW459" s="88">
        <v>156</v>
      </c>
      <c r="CX459" s="88">
        <v>0</v>
      </c>
      <c r="CY459" s="88">
        <v>0</v>
      </c>
      <c r="CZ459" s="88">
        <v>0</v>
      </c>
      <c r="DA459" s="88">
        <v>0</v>
      </c>
      <c r="DB459" s="88">
        <v>0</v>
      </c>
      <c r="DC459" s="88">
        <v>0</v>
      </c>
      <c r="DD459" s="88">
        <v>0</v>
      </c>
      <c r="DE459" s="88">
        <v>0</v>
      </c>
      <c r="DF459" s="88">
        <v>0</v>
      </c>
      <c r="DG459" s="88">
        <v>0</v>
      </c>
      <c r="DH459" s="88">
        <v>0</v>
      </c>
      <c r="DI459" s="88">
        <v>3</v>
      </c>
      <c r="DJ459" s="88">
        <v>0</v>
      </c>
      <c r="DK459" s="88">
        <v>0</v>
      </c>
      <c r="DL459" s="88">
        <v>0</v>
      </c>
      <c r="DM459" s="88">
        <v>0</v>
      </c>
      <c r="DN459" s="88">
        <v>0</v>
      </c>
      <c r="DO459" s="88">
        <v>0</v>
      </c>
      <c r="DP459" s="88">
        <v>0</v>
      </c>
      <c r="DQ459" s="88">
        <v>0</v>
      </c>
      <c r="DR459" s="87">
        <v>13</v>
      </c>
      <c r="DS459" s="87">
        <v>0</v>
      </c>
      <c r="DT459" s="87">
        <v>0</v>
      </c>
      <c r="DU459" s="87">
        <v>322</v>
      </c>
      <c r="DV459" s="87">
        <v>0</v>
      </c>
      <c r="DW459" s="87">
        <v>0</v>
      </c>
      <c r="DX459" s="87">
        <v>0</v>
      </c>
      <c r="DY459" s="88">
        <v>0</v>
      </c>
      <c r="DZ459" s="88">
        <v>0</v>
      </c>
      <c r="EA459" s="88">
        <v>1943</v>
      </c>
      <c r="EB459" s="88">
        <v>0</v>
      </c>
      <c r="EC459" s="88">
        <v>0</v>
      </c>
      <c r="ED459" s="88">
        <v>60</v>
      </c>
      <c r="EE459" s="88">
        <v>0</v>
      </c>
      <c r="EF459" s="88">
        <v>0</v>
      </c>
      <c r="EG459" s="88">
        <v>496</v>
      </c>
      <c r="EH459" s="88">
        <v>0</v>
      </c>
      <c r="EI459" s="88">
        <v>0</v>
      </c>
      <c r="EJ459" s="88">
        <v>53</v>
      </c>
      <c r="EK459" s="88">
        <v>0</v>
      </c>
      <c r="EL459" s="88">
        <v>0</v>
      </c>
      <c r="EM459" s="88">
        <v>524</v>
      </c>
      <c r="EN459" s="88">
        <v>0</v>
      </c>
      <c r="EO459" s="88">
        <v>0</v>
      </c>
      <c r="EP459" s="88">
        <v>139</v>
      </c>
      <c r="EQ459" s="88">
        <v>0</v>
      </c>
      <c r="ER459" s="88">
        <v>0</v>
      </c>
      <c r="ES459" s="88">
        <v>15</v>
      </c>
      <c r="ET459" s="88">
        <v>0</v>
      </c>
      <c r="EU459" s="88">
        <v>0</v>
      </c>
      <c r="EV459" s="88">
        <v>18</v>
      </c>
      <c r="EW459" s="88">
        <v>0</v>
      </c>
      <c r="EX459" s="88">
        <v>0</v>
      </c>
      <c r="EY459" s="88">
        <v>6</v>
      </c>
      <c r="EZ459" s="88">
        <v>0</v>
      </c>
      <c r="FA459" s="88">
        <v>0</v>
      </c>
      <c r="FB459" s="88">
        <v>0</v>
      </c>
      <c r="FC459" s="88">
        <v>0</v>
      </c>
      <c r="FD459" s="88">
        <v>0</v>
      </c>
      <c r="FE459" s="88">
        <v>4</v>
      </c>
      <c r="FF459" s="88">
        <v>0</v>
      </c>
      <c r="FG459" s="88">
        <v>0</v>
      </c>
      <c r="FH459" s="88">
        <v>1</v>
      </c>
      <c r="FI459" s="88">
        <v>0</v>
      </c>
      <c r="FJ459" s="88">
        <v>0</v>
      </c>
      <c r="FK459" s="32">
        <v>28</v>
      </c>
      <c r="FL459" s="88">
        <v>0</v>
      </c>
      <c r="FM459" s="88">
        <v>0</v>
      </c>
      <c r="FN459" s="88">
        <v>4975</v>
      </c>
      <c r="FO459" s="88">
        <v>0</v>
      </c>
      <c r="FP459" s="88">
        <v>0</v>
      </c>
      <c r="FQ459" s="88">
        <v>664</v>
      </c>
      <c r="FR459" s="88">
        <v>0</v>
      </c>
      <c r="FS459" s="88">
        <v>0</v>
      </c>
      <c r="FT459" s="88">
        <v>0</v>
      </c>
      <c r="FU459" s="88">
        <v>0</v>
      </c>
      <c r="FV459" s="88">
        <v>0</v>
      </c>
      <c r="FW459" s="88">
        <v>291</v>
      </c>
      <c r="FX459" s="32">
        <v>0</v>
      </c>
      <c r="FY459" s="32">
        <v>0</v>
      </c>
      <c r="FZ459" s="32">
        <v>50</v>
      </c>
      <c r="GB459" s="46">
        <f t="shared" si="37"/>
        <v>11056</v>
      </c>
    </row>
    <row r="460" spans="1:184" s="22" customFormat="1" x14ac:dyDescent="0.2">
      <c r="A460" s="41">
        <v>45566</v>
      </c>
      <c r="B460" s="100">
        <f t="shared" si="35"/>
        <v>96972761.659999996</v>
      </c>
      <c r="C460" s="42">
        <v>23259.94</v>
      </c>
      <c r="D460" s="42">
        <v>253099.08999999997</v>
      </c>
      <c r="E460" s="43">
        <f t="shared" si="29"/>
        <v>276359.02999999997</v>
      </c>
      <c r="F460" s="42">
        <v>5636996.9600000009</v>
      </c>
      <c r="G460" s="42">
        <v>5048640.8100000005</v>
      </c>
      <c r="H460" s="32">
        <f t="shared" ref="H460:H473" si="40">+F460+G460</f>
        <v>10685637.770000001</v>
      </c>
      <c r="I460" s="42"/>
      <c r="J460" s="42"/>
      <c r="K460" s="98">
        <v>20291421.959999997</v>
      </c>
      <c r="L460" s="42"/>
      <c r="M460" s="42"/>
      <c r="N460" s="98">
        <v>26175699.390000004</v>
      </c>
      <c r="O460" s="42"/>
      <c r="P460" s="42"/>
      <c r="Q460" s="98">
        <v>38035420.479999997</v>
      </c>
      <c r="R460" s="42"/>
      <c r="S460" s="42"/>
      <c r="T460" s="42">
        <v>196162.75</v>
      </c>
      <c r="U460" s="42">
        <v>7055.88</v>
      </c>
      <c r="V460" s="42">
        <v>5949.6</v>
      </c>
      <c r="W460" s="42">
        <f t="shared" si="30"/>
        <v>13005.48</v>
      </c>
      <c r="X460" s="42">
        <v>49471.590000000004</v>
      </c>
      <c r="Y460" s="42">
        <v>8613.9000000000015</v>
      </c>
      <c r="Z460" s="32">
        <f t="shared" si="31"/>
        <v>58085.490000000005</v>
      </c>
      <c r="AA460" s="42">
        <v>24320.530000000002</v>
      </c>
      <c r="AB460" s="42">
        <v>145288.9</v>
      </c>
      <c r="AC460" s="32">
        <f t="shared" si="32"/>
        <v>169609.43</v>
      </c>
      <c r="AD460" s="42">
        <v>3197.17</v>
      </c>
      <c r="AE460" s="42">
        <v>41853.82</v>
      </c>
      <c r="AF460" s="32">
        <f t="shared" si="33"/>
        <v>45050.99</v>
      </c>
      <c r="AG460" s="32">
        <v>10354.77</v>
      </c>
      <c r="AH460" s="32">
        <v>99633.87</v>
      </c>
      <c r="AI460" s="32">
        <f t="shared" si="34"/>
        <v>109988.64</v>
      </c>
      <c r="AJ460" s="42"/>
      <c r="AK460" s="42"/>
      <c r="AL460" s="42">
        <v>27784.35</v>
      </c>
      <c r="AM460" s="42">
        <v>82143.33</v>
      </c>
      <c r="AN460" s="42">
        <v>104202.65</v>
      </c>
      <c r="AO460" s="42">
        <f t="shared" si="39"/>
        <v>186345.97999999998</v>
      </c>
      <c r="AP460" s="42"/>
      <c r="AQ460" s="42"/>
      <c r="AR460" s="42">
        <v>702189.92</v>
      </c>
      <c r="AS460" s="42"/>
      <c r="AT460" s="42"/>
      <c r="AU460" s="42">
        <v>1728457.8199999998</v>
      </c>
      <c r="AV460" s="42"/>
      <c r="AW460" s="42"/>
      <c r="AX460" s="42">
        <v>48235.110000000008</v>
      </c>
      <c r="AY460" s="42">
        <v>5635044.0999999996</v>
      </c>
      <c r="AZ460" s="42">
        <v>1124050</v>
      </c>
      <c r="BA460" s="43">
        <f t="shared" si="38"/>
        <v>6759094.0999999996</v>
      </c>
      <c r="BB460" s="42"/>
      <c r="BC460" s="42"/>
      <c r="BD460" s="42">
        <v>1452327.111111111</v>
      </c>
      <c r="BE460" s="88">
        <v>0</v>
      </c>
      <c r="BF460" s="88">
        <v>0</v>
      </c>
      <c r="BG460" s="88">
        <v>109</v>
      </c>
      <c r="BH460" s="88">
        <v>0</v>
      </c>
      <c r="BI460" s="88">
        <v>0</v>
      </c>
      <c r="BJ460" s="88">
        <v>1</v>
      </c>
      <c r="BK460" s="88">
        <v>0</v>
      </c>
      <c r="BL460" s="88">
        <v>0</v>
      </c>
      <c r="BM460" s="88">
        <v>237</v>
      </c>
      <c r="BN460" s="88">
        <v>0</v>
      </c>
      <c r="BO460" s="88">
        <v>0</v>
      </c>
      <c r="BP460" s="88">
        <v>0</v>
      </c>
      <c r="BQ460" s="88">
        <v>0</v>
      </c>
      <c r="BR460" s="88">
        <v>0</v>
      </c>
      <c r="BS460" s="88">
        <v>1012</v>
      </c>
      <c r="BT460" s="88">
        <v>0</v>
      </c>
      <c r="BU460" s="88">
        <v>0</v>
      </c>
      <c r="BV460" s="88">
        <v>2</v>
      </c>
      <c r="BW460" s="88">
        <v>0</v>
      </c>
      <c r="BX460" s="88">
        <v>0</v>
      </c>
      <c r="BY460" s="88">
        <v>2</v>
      </c>
      <c r="BZ460" s="88">
        <v>0</v>
      </c>
      <c r="CA460" s="88">
        <v>0</v>
      </c>
      <c r="CB460" s="88">
        <v>601</v>
      </c>
      <c r="CC460" s="88">
        <v>0</v>
      </c>
      <c r="CD460" s="88">
        <v>0</v>
      </c>
      <c r="CE460" s="88">
        <v>15</v>
      </c>
      <c r="CF460" s="88">
        <v>0</v>
      </c>
      <c r="CG460" s="88">
        <v>0</v>
      </c>
      <c r="CH460" s="88">
        <v>3</v>
      </c>
      <c r="CI460" s="88">
        <v>0</v>
      </c>
      <c r="CJ460" s="88">
        <v>0</v>
      </c>
      <c r="CK460" s="88">
        <v>27</v>
      </c>
      <c r="CL460" s="88">
        <v>0</v>
      </c>
      <c r="CM460" s="88">
        <v>0</v>
      </c>
      <c r="CN460" s="88">
        <v>0</v>
      </c>
      <c r="CO460" s="88">
        <v>0</v>
      </c>
      <c r="CP460" s="88">
        <v>0</v>
      </c>
      <c r="CQ460" s="88">
        <v>9</v>
      </c>
      <c r="CR460" s="88">
        <v>0</v>
      </c>
      <c r="CS460" s="88">
        <v>0</v>
      </c>
      <c r="CT460" s="88">
        <v>0</v>
      </c>
      <c r="CU460" s="88">
        <v>0</v>
      </c>
      <c r="CV460" s="88">
        <v>0</v>
      </c>
      <c r="CW460" s="88">
        <v>134</v>
      </c>
      <c r="CX460" s="88">
        <v>0</v>
      </c>
      <c r="CY460" s="88">
        <v>0</v>
      </c>
      <c r="CZ460" s="88">
        <v>0</v>
      </c>
      <c r="DA460" s="88">
        <v>0</v>
      </c>
      <c r="DB460" s="88">
        <v>0</v>
      </c>
      <c r="DC460" s="88">
        <v>0</v>
      </c>
      <c r="DD460" s="88">
        <v>0</v>
      </c>
      <c r="DE460" s="88">
        <v>0</v>
      </c>
      <c r="DF460" s="88">
        <v>0</v>
      </c>
      <c r="DG460" s="88">
        <v>0</v>
      </c>
      <c r="DH460" s="88">
        <v>0</v>
      </c>
      <c r="DI460" s="88">
        <v>2</v>
      </c>
      <c r="DJ460" s="88">
        <v>0</v>
      </c>
      <c r="DK460" s="88">
        <v>0</v>
      </c>
      <c r="DL460" s="88">
        <v>0</v>
      </c>
      <c r="DM460" s="88">
        <v>0</v>
      </c>
      <c r="DN460" s="88">
        <v>0</v>
      </c>
      <c r="DO460" s="88">
        <v>0</v>
      </c>
      <c r="DP460" s="88">
        <v>0</v>
      </c>
      <c r="DQ460" s="88">
        <v>0</v>
      </c>
      <c r="DR460" s="87">
        <v>15</v>
      </c>
      <c r="DS460" s="87">
        <v>0</v>
      </c>
      <c r="DT460" s="87">
        <v>0</v>
      </c>
      <c r="DU460" s="87">
        <v>389</v>
      </c>
      <c r="DV460" s="87">
        <v>0</v>
      </c>
      <c r="DW460" s="87">
        <v>0</v>
      </c>
      <c r="DX460" s="87">
        <v>0</v>
      </c>
      <c r="DY460" s="88">
        <v>0</v>
      </c>
      <c r="DZ460" s="88">
        <v>0</v>
      </c>
      <c r="EA460" s="88">
        <v>1834</v>
      </c>
      <c r="EB460" s="88">
        <v>0</v>
      </c>
      <c r="EC460" s="88">
        <v>0</v>
      </c>
      <c r="ED460" s="88">
        <v>55</v>
      </c>
      <c r="EE460" s="88">
        <v>0</v>
      </c>
      <c r="EF460" s="88">
        <v>0</v>
      </c>
      <c r="EG460" s="88">
        <v>692</v>
      </c>
      <c r="EH460" s="88">
        <v>0</v>
      </c>
      <c r="EI460" s="88">
        <v>0</v>
      </c>
      <c r="EJ460" s="88">
        <v>193</v>
      </c>
      <c r="EK460" s="88">
        <v>0</v>
      </c>
      <c r="EL460" s="88">
        <v>0</v>
      </c>
      <c r="EM460" s="88">
        <v>415</v>
      </c>
      <c r="EN460" s="88">
        <v>0</v>
      </c>
      <c r="EO460" s="88">
        <v>0</v>
      </c>
      <c r="EP460" s="88">
        <v>217</v>
      </c>
      <c r="EQ460" s="88">
        <v>0</v>
      </c>
      <c r="ER460" s="88">
        <v>0</v>
      </c>
      <c r="ES460" s="88">
        <v>7</v>
      </c>
      <c r="ET460" s="88">
        <v>0</v>
      </c>
      <c r="EU460" s="88">
        <v>0</v>
      </c>
      <c r="EV460" s="88">
        <v>16</v>
      </c>
      <c r="EW460" s="88">
        <v>0</v>
      </c>
      <c r="EX460" s="88">
        <v>0</v>
      </c>
      <c r="EY460" s="88">
        <v>10</v>
      </c>
      <c r="EZ460" s="88">
        <v>0</v>
      </c>
      <c r="FA460" s="88">
        <v>0</v>
      </c>
      <c r="FB460" s="88">
        <v>3</v>
      </c>
      <c r="FC460" s="88">
        <v>0</v>
      </c>
      <c r="FD460" s="88">
        <v>0</v>
      </c>
      <c r="FE460" s="88">
        <v>3</v>
      </c>
      <c r="FF460" s="88">
        <v>0</v>
      </c>
      <c r="FG460" s="88">
        <v>0</v>
      </c>
      <c r="FH460" s="88">
        <v>5</v>
      </c>
      <c r="FI460" s="88">
        <v>0</v>
      </c>
      <c r="FJ460" s="88">
        <v>0</v>
      </c>
      <c r="FK460" s="32">
        <v>67</v>
      </c>
      <c r="FL460" s="88">
        <v>0</v>
      </c>
      <c r="FM460" s="88">
        <v>0</v>
      </c>
      <c r="FN460" s="88">
        <v>4932</v>
      </c>
      <c r="FO460" s="88">
        <v>0</v>
      </c>
      <c r="FP460" s="88">
        <v>0</v>
      </c>
      <c r="FQ460" s="88">
        <v>1006</v>
      </c>
      <c r="FR460" s="88">
        <v>0</v>
      </c>
      <c r="FS460" s="88">
        <v>0</v>
      </c>
      <c r="FT460" s="88">
        <v>0</v>
      </c>
      <c r="FU460" s="88">
        <v>0</v>
      </c>
      <c r="FV460" s="88">
        <v>0</v>
      </c>
      <c r="FW460" s="88">
        <v>278</v>
      </c>
      <c r="FX460" s="32">
        <v>0</v>
      </c>
      <c r="FY460" s="32">
        <v>0</v>
      </c>
      <c r="FZ460" s="32">
        <v>13</v>
      </c>
      <c r="GB460" s="46">
        <f t="shared" si="37"/>
        <v>12304</v>
      </c>
    </row>
    <row r="461" spans="1:184" s="22" customFormat="1" x14ac:dyDescent="0.2">
      <c r="A461" s="41">
        <v>45597</v>
      </c>
      <c r="B461" s="100">
        <f t="shared" si="35"/>
        <v>107334206.3</v>
      </c>
      <c r="C461" s="42">
        <v>25704.27</v>
      </c>
      <c r="D461" s="42">
        <v>383627.9</v>
      </c>
      <c r="E461" s="43">
        <f t="shared" si="29"/>
        <v>409332.17000000004</v>
      </c>
      <c r="F461" s="42">
        <v>6248262.4900000012</v>
      </c>
      <c r="G461" s="42">
        <v>7513729.2399999993</v>
      </c>
      <c r="H461" s="32">
        <f t="shared" si="40"/>
        <v>13761991.73</v>
      </c>
      <c r="I461" s="42"/>
      <c r="J461" s="42"/>
      <c r="K461" s="98">
        <v>21961616.629999999</v>
      </c>
      <c r="L461" s="42"/>
      <c r="M461" s="42"/>
      <c r="N461" s="98">
        <v>30122047.220000003</v>
      </c>
      <c r="O461" s="42"/>
      <c r="P461" s="42"/>
      <c r="Q461" s="98">
        <v>39442018.370000005</v>
      </c>
      <c r="R461" s="42"/>
      <c r="S461" s="42"/>
      <c r="T461" s="42">
        <v>155095.6</v>
      </c>
      <c r="U461" s="42">
        <v>8519.57</v>
      </c>
      <c r="V461" s="42">
        <v>9054.4000000000015</v>
      </c>
      <c r="W461" s="42">
        <f t="shared" si="30"/>
        <v>17573.97</v>
      </c>
      <c r="X461" s="42">
        <v>81350.509999999995</v>
      </c>
      <c r="Y461" s="42">
        <v>16605.489999999998</v>
      </c>
      <c r="Z461" s="32">
        <f t="shared" si="31"/>
        <v>97956</v>
      </c>
      <c r="AA461" s="42">
        <v>25773.51</v>
      </c>
      <c r="AB461" s="42">
        <v>244393.68</v>
      </c>
      <c r="AC461" s="32">
        <f t="shared" si="32"/>
        <v>270167.19</v>
      </c>
      <c r="AD461" s="42">
        <v>7066.7</v>
      </c>
      <c r="AE461" s="42">
        <v>64242.329999999994</v>
      </c>
      <c r="AF461" s="32">
        <f t="shared" si="33"/>
        <v>71309.03</v>
      </c>
      <c r="AG461" s="32">
        <v>13598.24</v>
      </c>
      <c r="AH461" s="32">
        <v>143439.96000000002</v>
      </c>
      <c r="AI461" s="32">
        <f t="shared" si="34"/>
        <v>157038.20000000001</v>
      </c>
      <c r="AJ461" s="42"/>
      <c r="AK461" s="42"/>
      <c r="AL461" s="42">
        <v>33189.75</v>
      </c>
      <c r="AM461" s="42">
        <v>101980.29</v>
      </c>
      <c r="AN461" s="42">
        <v>134737.69</v>
      </c>
      <c r="AO461" s="42">
        <f t="shared" si="39"/>
        <v>236717.97999999998</v>
      </c>
      <c r="AP461" s="42"/>
      <c r="AQ461" s="42"/>
      <c r="AR461" s="42">
        <v>598152.46</v>
      </c>
      <c r="AS461" s="42"/>
      <c r="AT461" s="42"/>
      <c r="AU461" s="42">
        <v>1462096.4600000002</v>
      </c>
      <c r="AV461" s="42"/>
      <c r="AW461" s="42"/>
      <c r="AX461" s="42">
        <v>52168.289999999994</v>
      </c>
      <c r="AY461" s="42">
        <v>6451386.0999999996</v>
      </c>
      <c r="AZ461" s="42">
        <v>1600650</v>
      </c>
      <c r="BA461" s="43">
        <f t="shared" si="38"/>
        <v>8052036.0999999996</v>
      </c>
      <c r="BB461" s="42"/>
      <c r="BC461" s="42"/>
      <c r="BD461" s="42">
        <v>1703818.4444444443</v>
      </c>
      <c r="BE461" s="88">
        <v>0</v>
      </c>
      <c r="BF461" s="88">
        <v>0</v>
      </c>
      <c r="BG461" s="88">
        <v>96</v>
      </c>
      <c r="BH461" s="88">
        <v>0</v>
      </c>
      <c r="BI461" s="88">
        <v>0</v>
      </c>
      <c r="BJ461" s="88">
        <v>0</v>
      </c>
      <c r="BK461" s="88">
        <v>0</v>
      </c>
      <c r="BL461" s="88">
        <v>0</v>
      </c>
      <c r="BM461" s="88">
        <v>293</v>
      </c>
      <c r="BN461" s="88">
        <v>0</v>
      </c>
      <c r="BO461" s="88">
        <v>0</v>
      </c>
      <c r="BP461" s="88">
        <v>0</v>
      </c>
      <c r="BQ461" s="88">
        <v>0</v>
      </c>
      <c r="BR461" s="88">
        <v>0</v>
      </c>
      <c r="BS461" s="88">
        <v>891</v>
      </c>
      <c r="BT461" s="88">
        <v>0</v>
      </c>
      <c r="BU461" s="88">
        <v>0</v>
      </c>
      <c r="BV461" s="88">
        <v>1</v>
      </c>
      <c r="BW461" s="88">
        <v>0</v>
      </c>
      <c r="BX461" s="88">
        <v>0</v>
      </c>
      <c r="BY461" s="88">
        <v>7</v>
      </c>
      <c r="BZ461" s="88">
        <v>0</v>
      </c>
      <c r="CA461" s="88">
        <v>0</v>
      </c>
      <c r="CB461" s="88">
        <v>607</v>
      </c>
      <c r="CC461" s="88">
        <v>0</v>
      </c>
      <c r="CD461" s="88">
        <v>0</v>
      </c>
      <c r="CE461" s="88">
        <v>33</v>
      </c>
      <c r="CF461" s="88">
        <v>0</v>
      </c>
      <c r="CG461" s="88">
        <v>0</v>
      </c>
      <c r="CH461" s="88">
        <v>5</v>
      </c>
      <c r="CI461" s="88">
        <v>0</v>
      </c>
      <c r="CJ461" s="88">
        <v>0</v>
      </c>
      <c r="CK461" s="88">
        <v>31</v>
      </c>
      <c r="CL461" s="88">
        <v>0</v>
      </c>
      <c r="CM461" s="88">
        <v>0</v>
      </c>
      <c r="CN461" s="88">
        <v>0</v>
      </c>
      <c r="CO461" s="88">
        <v>0</v>
      </c>
      <c r="CP461" s="88">
        <v>0</v>
      </c>
      <c r="CQ461" s="88">
        <v>65</v>
      </c>
      <c r="CR461" s="88">
        <v>0</v>
      </c>
      <c r="CS461" s="88">
        <v>0</v>
      </c>
      <c r="CT461" s="88">
        <v>0</v>
      </c>
      <c r="CU461" s="88">
        <v>0</v>
      </c>
      <c r="CV461" s="88">
        <v>0</v>
      </c>
      <c r="CW461" s="88">
        <v>58</v>
      </c>
      <c r="CX461" s="88">
        <v>0</v>
      </c>
      <c r="CY461" s="88">
        <v>0</v>
      </c>
      <c r="CZ461" s="88">
        <v>1</v>
      </c>
      <c r="DA461" s="88">
        <v>0</v>
      </c>
      <c r="DB461" s="88">
        <v>0</v>
      </c>
      <c r="DC461" s="88">
        <v>0</v>
      </c>
      <c r="DD461" s="88">
        <v>0</v>
      </c>
      <c r="DE461" s="88">
        <v>0</v>
      </c>
      <c r="DF461" s="88">
        <v>0</v>
      </c>
      <c r="DG461" s="88">
        <v>0</v>
      </c>
      <c r="DH461" s="88">
        <v>0</v>
      </c>
      <c r="DI461" s="88">
        <v>2</v>
      </c>
      <c r="DJ461" s="88">
        <v>0</v>
      </c>
      <c r="DK461" s="88">
        <v>0</v>
      </c>
      <c r="DL461" s="88">
        <v>0</v>
      </c>
      <c r="DM461" s="88">
        <v>0</v>
      </c>
      <c r="DN461" s="88">
        <v>0</v>
      </c>
      <c r="DO461" s="88">
        <v>0</v>
      </c>
      <c r="DP461" s="88">
        <v>0</v>
      </c>
      <c r="DQ461" s="88">
        <v>0</v>
      </c>
      <c r="DR461" s="87">
        <v>106</v>
      </c>
      <c r="DS461" s="87">
        <v>0</v>
      </c>
      <c r="DT461" s="87">
        <v>0</v>
      </c>
      <c r="DU461" s="87">
        <v>476</v>
      </c>
      <c r="DV461" s="87">
        <v>0</v>
      </c>
      <c r="DW461" s="87">
        <v>0</v>
      </c>
      <c r="DX461" s="87">
        <v>0</v>
      </c>
      <c r="DY461" s="88">
        <v>0</v>
      </c>
      <c r="DZ461" s="88">
        <v>0</v>
      </c>
      <c r="EA461" s="88">
        <v>1879</v>
      </c>
      <c r="EB461" s="88">
        <v>0</v>
      </c>
      <c r="EC461" s="88">
        <v>0</v>
      </c>
      <c r="ED461" s="88">
        <v>64</v>
      </c>
      <c r="EE461" s="88">
        <v>0</v>
      </c>
      <c r="EF461" s="88">
        <v>0</v>
      </c>
      <c r="EG461" s="88">
        <v>560</v>
      </c>
      <c r="EH461" s="88">
        <v>0</v>
      </c>
      <c r="EI461" s="88">
        <v>0</v>
      </c>
      <c r="EJ461" s="88">
        <v>80</v>
      </c>
      <c r="EK461" s="88">
        <v>0</v>
      </c>
      <c r="EL461" s="88">
        <v>0</v>
      </c>
      <c r="EM461" s="88">
        <v>516</v>
      </c>
      <c r="EN461" s="88">
        <v>0</v>
      </c>
      <c r="EO461" s="88">
        <v>0</v>
      </c>
      <c r="EP461" s="88">
        <v>189</v>
      </c>
      <c r="EQ461" s="88">
        <v>0</v>
      </c>
      <c r="ER461" s="88">
        <v>0</v>
      </c>
      <c r="ES461" s="88">
        <v>12</v>
      </c>
      <c r="ET461" s="88">
        <v>0</v>
      </c>
      <c r="EU461" s="88">
        <v>0</v>
      </c>
      <c r="EV461" s="88">
        <v>15</v>
      </c>
      <c r="EW461" s="88">
        <v>0</v>
      </c>
      <c r="EX461" s="88">
        <v>0</v>
      </c>
      <c r="EY461" s="88">
        <v>7</v>
      </c>
      <c r="EZ461" s="88">
        <v>0</v>
      </c>
      <c r="FA461" s="88">
        <v>0</v>
      </c>
      <c r="FB461" s="88">
        <v>3</v>
      </c>
      <c r="FC461" s="88">
        <v>0</v>
      </c>
      <c r="FD461" s="88">
        <v>0</v>
      </c>
      <c r="FE461" s="88">
        <v>4</v>
      </c>
      <c r="FF461" s="88">
        <v>0</v>
      </c>
      <c r="FG461" s="88">
        <v>0</v>
      </c>
      <c r="FH461" s="88">
        <v>0</v>
      </c>
      <c r="FI461" s="88">
        <v>0</v>
      </c>
      <c r="FJ461" s="88">
        <v>0</v>
      </c>
      <c r="FK461" s="32">
        <v>42</v>
      </c>
      <c r="FL461" s="88">
        <v>0</v>
      </c>
      <c r="FM461" s="88">
        <v>0</v>
      </c>
      <c r="FN461" s="88">
        <v>4495</v>
      </c>
      <c r="FO461" s="88">
        <v>0</v>
      </c>
      <c r="FP461" s="88">
        <v>0</v>
      </c>
      <c r="FQ461" s="88">
        <v>1017</v>
      </c>
      <c r="FR461" s="88">
        <v>0</v>
      </c>
      <c r="FS461" s="88">
        <v>0</v>
      </c>
      <c r="FT461" s="88">
        <v>0</v>
      </c>
      <c r="FU461" s="88">
        <v>0</v>
      </c>
      <c r="FV461" s="88">
        <v>0</v>
      </c>
      <c r="FW461" s="88">
        <v>321</v>
      </c>
      <c r="FX461" s="32">
        <v>0</v>
      </c>
      <c r="FY461" s="32">
        <v>0</v>
      </c>
      <c r="FZ461" s="32">
        <v>108</v>
      </c>
      <c r="GB461" s="46">
        <f t="shared" si="37"/>
        <v>11984</v>
      </c>
    </row>
    <row r="462" spans="1:184" s="97" customFormat="1" x14ac:dyDescent="0.2">
      <c r="A462" s="92">
        <v>45627</v>
      </c>
      <c r="B462" s="93">
        <f t="shared" si="35"/>
        <v>112920486.46000001</v>
      </c>
      <c r="C462" s="94">
        <v>27224.799999999999</v>
      </c>
      <c r="D462" s="94">
        <v>448812.36000000004</v>
      </c>
      <c r="E462" s="93">
        <f t="shared" si="29"/>
        <v>476037.16000000003</v>
      </c>
      <c r="F462" s="94">
        <v>7376364.2000000002</v>
      </c>
      <c r="G462" s="94">
        <v>8020243.4800000004</v>
      </c>
      <c r="H462" s="95">
        <f t="shared" si="40"/>
        <v>15396607.68</v>
      </c>
      <c r="I462" s="94"/>
      <c r="J462" s="94"/>
      <c r="K462" s="99">
        <v>19990730.889999997</v>
      </c>
      <c r="L462" s="94"/>
      <c r="M462" s="94"/>
      <c r="N462" s="99">
        <v>36156761.300000012</v>
      </c>
      <c r="O462" s="94"/>
      <c r="P462" s="94"/>
      <c r="Q462" s="99">
        <v>38719053.809999995</v>
      </c>
      <c r="R462" s="94"/>
      <c r="S462" s="94"/>
      <c r="T462" s="94">
        <v>192565.53</v>
      </c>
      <c r="U462" s="94">
        <v>15976.92</v>
      </c>
      <c r="V462" s="94">
        <v>31035.35</v>
      </c>
      <c r="W462" s="94">
        <f t="shared" si="30"/>
        <v>47012.27</v>
      </c>
      <c r="X462" s="94">
        <v>40694</v>
      </c>
      <c r="Y462" s="94">
        <v>21212.170000000002</v>
      </c>
      <c r="Z462" s="95">
        <f t="shared" si="31"/>
        <v>61906.17</v>
      </c>
      <c r="AA462" s="94">
        <v>41379.240000000005</v>
      </c>
      <c r="AB462" s="94">
        <v>294447.53999999992</v>
      </c>
      <c r="AC462" s="95">
        <f t="shared" si="32"/>
        <v>335826.77999999991</v>
      </c>
      <c r="AD462" s="94">
        <v>923.2</v>
      </c>
      <c r="AE462" s="94">
        <v>87946.09</v>
      </c>
      <c r="AF462" s="95">
        <f t="shared" si="33"/>
        <v>88869.29</v>
      </c>
      <c r="AG462" s="95">
        <v>15479.79</v>
      </c>
      <c r="AH462" s="95">
        <v>241338.30000000002</v>
      </c>
      <c r="AI462" s="95">
        <f t="shared" si="34"/>
        <v>256818.09000000003</v>
      </c>
      <c r="AJ462" s="94"/>
      <c r="AK462" s="94"/>
      <c r="AL462" s="94">
        <v>40149</v>
      </c>
      <c r="AM462" s="94">
        <v>48413.41</v>
      </c>
      <c r="AN462" s="94">
        <v>273350.92</v>
      </c>
      <c r="AO462" s="94">
        <f t="shared" si="39"/>
        <v>321764.32999999996</v>
      </c>
      <c r="AP462" s="94"/>
      <c r="AQ462" s="94"/>
      <c r="AR462" s="94">
        <v>836384.16</v>
      </c>
      <c r="AS462" s="94"/>
      <c r="AT462" s="94"/>
      <c r="AU462" s="94">
        <v>1708391.9899999998</v>
      </c>
      <c r="AV462" s="94"/>
      <c r="AW462" s="94"/>
      <c r="AX462" s="94">
        <v>41928.69</v>
      </c>
      <c r="AY462" s="94">
        <v>11615764</v>
      </c>
      <c r="AZ462" s="94">
        <v>526910</v>
      </c>
      <c r="BA462" s="93">
        <f t="shared" si="38"/>
        <v>12142674</v>
      </c>
      <c r="BB462" s="94"/>
      <c r="BC462" s="94"/>
      <c r="BD462" s="94">
        <v>2550402.4444444445</v>
      </c>
      <c r="BE462" s="117">
        <v>0</v>
      </c>
      <c r="BF462" s="117">
        <v>0</v>
      </c>
      <c r="BG462" s="117">
        <v>114</v>
      </c>
      <c r="BH462" s="117">
        <v>0</v>
      </c>
      <c r="BI462" s="117">
        <v>0</v>
      </c>
      <c r="BJ462" s="117">
        <v>0</v>
      </c>
      <c r="BK462" s="117">
        <v>0</v>
      </c>
      <c r="BL462" s="117">
        <v>0</v>
      </c>
      <c r="BM462" s="117">
        <v>265</v>
      </c>
      <c r="BN462" s="117">
        <v>0</v>
      </c>
      <c r="BO462" s="117">
        <v>0</v>
      </c>
      <c r="BP462" s="117">
        <v>6</v>
      </c>
      <c r="BQ462" s="117">
        <v>0</v>
      </c>
      <c r="BR462" s="117">
        <v>0</v>
      </c>
      <c r="BS462" s="117">
        <v>727</v>
      </c>
      <c r="BT462" s="117">
        <v>0</v>
      </c>
      <c r="BU462" s="117">
        <v>0</v>
      </c>
      <c r="BV462" s="117">
        <v>0</v>
      </c>
      <c r="BW462" s="117">
        <v>0</v>
      </c>
      <c r="BX462" s="117">
        <v>0</v>
      </c>
      <c r="BY462" s="117">
        <v>4</v>
      </c>
      <c r="BZ462" s="117">
        <v>0</v>
      </c>
      <c r="CA462" s="117">
        <v>0</v>
      </c>
      <c r="CB462" s="117">
        <v>450</v>
      </c>
      <c r="CC462" s="117">
        <v>0</v>
      </c>
      <c r="CD462" s="117">
        <v>0</v>
      </c>
      <c r="CE462" s="117">
        <v>18</v>
      </c>
      <c r="CF462" s="117">
        <v>0</v>
      </c>
      <c r="CG462" s="117">
        <v>0</v>
      </c>
      <c r="CH462" s="117">
        <v>4</v>
      </c>
      <c r="CI462" s="117">
        <v>0</v>
      </c>
      <c r="CJ462" s="117">
        <v>0</v>
      </c>
      <c r="CK462" s="117">
        <v>20</v>
      </c>
      <c r="CL462" s="117">
        <v>0</v>
      </c>
      <c r="CM462" s="117">
        <v>0</v>
      </c>
      <c r="CN462" s="117">
        <v>0</v>
      </c>
      <c r="CO462" s="117">
        <v>0</v>
      </c>
      <c r="CP462" s="117">
        <v>0</v>
      </c>
      <c r="CQ462" s="117">
        <v>14</v>
      </c>
      <c r="CR462" s="117">
        <v>0</v>
      </c>
      <c r="CS462" s="117">
        <v>0</v>
      </c>
      <c r="CT462" s="117">
        <v>0</v>
      </c>
      <c r="CU462" s="117">
        <v>0</v>
      </c>
      <c r="CV462" s="117">
        <v>0</v>
      </c>
      <c r="CW462" s="117">
        <v>113</v>
      </c>
      <c r="CX462" s="117">
        <v>0</v>
      </c>
      <c r="CY462" s="117">
        <v>0</v>
      </c>
      <c r="CZ462" s="117">
        <v>1</v>
      </c>
      <c r="DA462" s="117">
        <v>0</v>
      </c>
      <c r="DB462" s="117">
        <v>0</v>
      </c>
      <c r="DC462" s="117">
        <v>0</v>
      </c>
      <c r="DD462" s="117">
        <v>0</v>
      </c>
      <c r="DE462" s="117">
        <v>0</v>
      </c>
      <c r="DF462" s="117">
        <v>0</v>
      </c>
      <c r="DG462" s="117">
        <v>0</v>
      </c>
      <c r="DH462" s="117">
        <v>0</v>
      </c>
      <c r="DI462" s="117">
        <v>2</v>
      </c>
      <c r="DJ462" s="117">
        <v>0</v>
      </c>
      <c r="DK462" s="117">
        <v>0</v>
      </c>
      <c r="DL462" s="117">
        <v>0</v>
      </c>
      <c r="DM462" s="117">
        <v>0</v>
      </c>
      <c r="DN462" s="117">
        <v>0</v>
      </c>
      <c r="DO462" s="117">
        <v>0</v>
      </c>
      <c r="DP462" s="117">
        <v>0</v>
      </c>
      <c r="DQ462" s="117">
        <v>0</v>
      </c>
      <c r="DR462" s="95">
        <v>5</v>
      </c>
      <c r="DS462" s="95">
        <v>0</v>
      </c>
      <c r="DT462" s="95">
        <v>0</v>
      </c>
      <c r="DU462" s="95">
        <v>514</v>
      </c>
      <c r="DV462" s="95">
        <v>0</v>
      </c>
      <c r="DW462" s="95">
        <v>0</v>
      </c>
      <c r="DX462" s="95">
        <v>0</v>
      </c>
      <c r="DY462" s="117">
        <v>0</v>
      </c>
      <c r="DZ462" s="117">
        <v>0</v>
      </c>
      <c r="EA462" s="117">
        <v>1971</v>
      </c>
      <c r="EB462" s="117">
        <v>0</v>
      </c>
      <c r="EC462" s="117">
        <v>0</v>
      </c>
      <c r="ED462" s="117">
        <v>54</v>
      </c>
      <c r="EE462" s="117">
        <v>0</v>
      </c>
      <c r="EF462" s="117">
        <v>0</v>
      </c>
      <c r="EG462" s="117">
        <v>788</v>
      </c>
      <c r="EH462" s="117">
        <v>0</v>
      </c>
      <c r="EI462" s="117">
        <v>0</v>
      </c>
      <c r="EJ462" s="117">
        <v>157</v>
      </c>
      <c r="EK462" s="117">
        <v>0</v>
      </c>
      <c r="EL462" s="117">
        <v>0</v>
      </c>
      <c r="EM462" s="117">
        <v>491</v>
      </c>
      <c r="EN462" s="117">
        <v>0</v>
      </c>
      <c r="EO462" s="117">
        <v>0</v>
      </c>
      <c r="EP462" s="117">
        <v>192</v>
      </c>
      <c r="EQ462" s="117">
        <v>0</v>
      </c>
      <c r="ER462" s="117">
        <v>0</v>
      </c>
      <c r="ES462" s="117">
        <v>12</v>
      </c>
      <c r="ET462" s="117">
        <v>0</v>
      </c>
      <c r="EU462" s="117">
        <v>0</v>
      </c>
      <c r="EV462" s="117">
        <v>22</v>
      </c>
      <c r="EW462" s="117">
        <v>0</v>
      </c>
      <c r="EX462" s="117">
        <v>0</v>
      </c>
      <c r="EY462" s="117">
        <v>5</v>
      </c>
      <c r="EZ462" s="117">
        <v>0</v>
      </c>
      <c r="FA462" s="117">
        <v>0</v>
      </c>
      <c r="FB462" s="117">
        <v>4</v>
      </c>
      <c r="FC462" s="117">
        <v>0</v>
      </c>
      <c r="FD462" s="117">
        <v>0</v>
      </c>
      <c r="FE462" s="117">
        <v>4</v>
      </c>
      <c r="FF462" s="117">
        <v>0</v>
      </c>
      <c r="FG462" s="117">
        <v>0</v>
      </c>
      <c r="FH462" s="117">
        <v>0</v>
      </c>
      <c r="FI462" s="117">
        <v>0</v>
      </c>
      <c r="FJ462" s="117">
        <v>0</v>
      </c>
      <c r="FK462" s="95">
        <v>18</v>
      </c>
      <c r="FL462" s="117">
        <v>0</v>
      </c>
      <c r="FM462" s="117">
        <v>0</v>
      </c>
      <c r="FN462" s="117">
        <v>5055</v>
      </c>
      <c r="FO462" s="117">
        <v>0</v>
      </c>
      <c r="FP462" s="117">
        <v>0</v>
      </c>
      <c r="FQ462" s="117">
        <v>1026</v>
      </c>
      <c r="FR462" s="117">
        <v>0</v>
      </c>
      <c r="FS462" s="117">
        <v>0</v>
      </c>
      <c r="FT462" s="117">
        <v>0</v>
      </c>
      <c r="FU462" s="117">
        <v>0</v>
      </c>
      <c r="FV462" s="117">
        <v>0</v>
      </c>
      <c r="FW462" s="117">
        <v>365</v>
      </c>
      <c r="FX462" s="95">
        <v>0</v>
      </c>
      <c r="FY462" s="95">
        <v>0</v>
      </c>
      <c r="FZ462" s="95">
        <v>593</v>
      </c>
      <c r="GB462" s="46">
        <f t="shared" si="37"/>
        <v>13014</v>
      </c>
    </row>
    <row r="463" spans="1:184" s="22" customFormat="1" x14ac:dyDescent="0.2">
      <c r="A463" s="41">
        <v>45658</v>
      </c>
      <c r="B463" s="100">
        <f t="shared" si="35"/>
        <v>87628851.679999992</v>
      </c>
      <c r="C463" s="42">
        <v>19873.560000000001</v>
      </c>
      <c r="D463" s="42">
        <v>176736.81999999998</v>
      </c>
      <c r="E463" s="43">
        <f t="shared" si="29"/>
        <v>196610.37999999998</v>
      </c>
      <c r="F463" s="42">
        <v>2958024.42</v>
      </c>
      <c r="G463" s="42">
        <v>3535379.9499999997</v>
      </c>
      <c r="H463" s="32">
        <f t="shared" si="40"/>
        <v>6493404.3699999992</v>
      </c>
      <c r="I463" s="42"/>
      <c r="J463" s="42"/>
      <c r="K463" s="98">
        <v>17722636.5</v>
      </c>
      <c r="L463" s="42"/>
      <c r="M463" s="42"/>
      <c r="N463" s="98">
        <v>22772627.369999997</v>
      </c>
      <c r="O463" s="42"/>
      <c r="P463" s="42"/>
      <c r="Q463" s="98">
        <v>38805582.510000005</v>
      </c>
      <c r="R463" s="42"/>
      <c r="S463" s="42"/>
      <c r="T463" s="42">
        <v>182333.01</v>
      </c>
      <c r="U463" s="42">
        <v>6970.4</v>
      </c>
      <c r="V463" s="42">
        <v>6694.4500000000007</v>
      </c>
      <c r="W463" s="42">
        <f t="shared" si="30"/>
        <v>13664.85</v>
      </c>
      <c r="X463" s="42">
        <v>22646.99</v>
      </c>
      <c r="Y463" s="42">
        <v>10776.14</v>
      </c>
      <c r="Z463" s="32">
        <f t="shared" si="31"/>
        <v>33423.130000000005</v>
      </c>
      <c r="AA463" s="42">
        <v>160820.87</v>
      </c>
      <c r="AB463" s="42">
        <v>168388.11000000002</v>
      </c>
      <c r="AC463" s="32">
        <f t="shared" si="32"/>
        <v>329208.98</v>
      </c>
      <c r="AD463" s="42">
        <v>1006.24</v>
      </c>
      <c r="AE463" s="42">
        <v>15015.23</v>
      </c>
      <c r="AF463" s="32">
        <f t="shared" si="33"/>
        <v>16021.47</v>
      </c>
      <c r="AG463" s="32">
        <v>10685.529999999999</v>
      </c>
      <c r="AH463" s="32">
        <v>110213.89000000001</v>
      </c>
      <c r="AI463" s="32">
        <f t="shared" si="34"/>
        <v>120899.42000000001</v>
      </c>
      <c r="AJ463" s="42"/>
      <c r="AK463" s="42"/>
      <c r="AL463" s="42">
        <v>34256.25</v>
      </c>
      <c r="AM463" s="42">
        <v>71664.7</v>
      </c>
      <c r="AN463" s="42">
        <v>152549.43000000002</v>
      </c>
      <c r="AO463" s="42">
        <f t="shared" si="39"/>
        <v>224214.13</v>
      </c>
      <c r="AP463" s="42"/>
      <c r="AQ463" s="42"/>
      <c r="AR463" s="42">
        <v>683969.30999999994</v>
      </c>
      <c r="AS463" s="42"/>
      <c r="AT463" s="42"/>
      <c r="AU463" s="42">
        <v>1517034.27</v>
      </c>
      <c r="AV463" s="42"/>
      <c r="AW463" s="42"/>
      <c r="AX463" s="42">
        <v>52582.189999999988</v>
      </c>
      <c r="AY463" s="42">
        <v>4098315</v>
      </c>
      <c r="AZ463" s="42">
        <v>1573890</v>
      </c>
      <c r="BA463" s="43">
        <f t="shared" si="38"/>
        <v>5672205</v>
      </c>
      <c r="BB463" s="42"/>
      <c r="BC463" s="42"/>
      <c r="BD463" s="42">
        <v>1397539.888888889</v>
      </c>
      <c r="BE463" s="88">
        <v>0</v>
      </c>
      <c r="BF463" s="88">
        <v>0</v>
      </c>
      <c r="BG463" s="88">
        <v>85</v>
      </c>
      <c r="BH463" s="88">
        <v>0</v>
      </c>
      <c r="BI463" s="88">
        <v>0</v>
      </c>
      <c r="BJ463" s="88">
        <v>1</v>
      </c>
      <c r="BK463" s="88">
        <v>0</v>
      </c>
      <c r="BL463" s="88">
        <v>0</v>
      </c>
      <c r="BM463" s="88">
        <v>185</v>
      </c>
      <c r="BN463" s="88">
        <v>0</v>
      </c>
      <c r="BO463" s="88">
        <v>0</v>
      </c>
      <c r="BP463" s="88">
        <v>2</v>
      </c>
      <c r="BQ463" s="88">
        <v>0</v>
      </c>
      <c r="BR463" s="88">
        <v>0</v>
      </c>
      <c r="BS463" s="88">
        <v>761</v>
      </c>
      <c r="BT463" s="88">
        <v>0</v>
      </c>
      <c r="BU463" s="88">
        <v>0</v>
      </c>
      <c r="BV463" s="88">
        <v>0</v>
      </c>
      <c r="BW463" s="88">
        <v>0</v>
      </c>
      <c r="BX463" s="88">
        <v>0</v>
      </c>
      <c r="BY463" s="88">
        <v>2</v>
      </c>
      <c r="BZ463" s="88">
        <v>0</v>
      </c>
      <c r="CA463" s="88">
        <v>0</v>
      </c>
      <c r="CB463" s="88">
        <v>248</v>
      </c>
      <c r="CC463" s="88">
        <v>0</v>
      </c>
      <c r="CD463" s="88">
        <v>0</v>
      </c>
      <c r="CE463" s="88">
        <v>14</v>
      </c>
      <c r="CF463" s="88">
        <v>0</v>
      </c>
      <c r="CG463" s="88">
        <v>0</v>
      </c>
      <c r="CH463" s="88">
        <v>5</v>
      </c>
      <c r="CI463" s="88">
        <v>0</v>
      </c>
      <c r="CJ463" s="88">
        <v>0</v>
      </c>
      <c r="CK463" s="88">
        <v>25</v>
      </c>
      <c r="CL463" s="88">
        <v>0</v>
      </c>
      <c r="CM463" s="88">
        <v>0</v>
      </c>
      <c r="CN463" s="88">
        <v>0</v>
      </c>
      <c r="CO463" s="88">
        <v>0</v>
      </c>
      <c r="CP463" s="88">
        <v>0</v>
      </c>
      <c r="CQ463" s="88">
        <v>10</v>
      </c>
      <c r="CR463" s="88">
        <v>0</v>
      </c>
      <c r="CS463" s="88">
        <v>0</v>
      </c>
      <c r="CT463" s="88">
        <v>0</v>
      </c>
      <c r="CU463" s="88">
        <v>0</v>
      </c>
      <c r="CV463" s="88">
        <v>0</v>
      </c>
      <c r="CW463" s="88">
        <v>24</v>
      </c>
      <c r="CX463" s="88">
        <v>0</v>
      </c>
      <c r="CY463" s="88">
        <v>0</v>
      </c>
      <c r="CZ463" s="88">
        <v>0</v>
      </c>
      <c r="DA463" s="88">
        <v>0</v>
      </c>
      <c r="DB463" s="88">
        <v>0</v>
      </c>
      <c r="DC463" s="88">
        <v>0</v>
      </c>
      <c r="DD463" s="88">
        <v>0</v>
      </c>
      <c r="DE463" s="88">
        <v>0</v>
      </c>
      <c r="DF463" s="88">
        <v>0</v>
      </c>
      <c r="DG463" s="88">
        <v>0</v>
      </c>
      <c r="DH463" s="88">
        <v>0</v>
      </c>
      <c r="DI463" s="88">
        <v>2</v>
      </c>
      <c r="DJ463" s="88">
        <v>0</v>
      </c>
      <c r="DK463" s="88">
        <v>0</v>
      </c>
      <c r="DL463" s="88">
        <v>0</v>
      </c>
      <c r="DM463" s="88">
        <v>0</v>
      </c>
      <c r="DN463" s="88">
        <v>0</v>
      </c>
      <c r="DO463" s="88">
        <v>0</v>
      </c>
      <c r="DP463" s="88">
        <v>0</v>
      </c>
      <c r="DQ463" s="88">
        <v>0</v>
      </c>
      <c r="DR463" s="87">
        <v>10</v>
      </c>
      <c r="DS463" s="87">
        <v>0</v>
      </c>
      <c r="DT463" s="87">
        <v>0</v>
      </c>
      <c r="DU463" s="87">
        <v>494</v>
      </c>
      <c r="DV463" s="87">
        <v>0</v>
      </c>
      <c r="DW463" s="87">
        <v>0</v>
      </c>
      <c r="DX463" s="87">
        <v>0</v>
      </c>
      <c r="DY463" s="87">
        <v>0</v>
      </c>
      <c r="DZ463" s="87">
        <v>0</v>
      </c>
      <c r="EA463" s="88">
        <v>1178</v>
      </c>
      <c r="EB463" s="88">
        <v>0</v>
      </c>
      <c r="EC463" s="88">
        <v>0</v>
      </c>
      <c r="ED463" s="88">
        <v>4</v>
      </c>
      <c r="EE463" s="88">
        <v>0</v>
      </c>
      <c r="EF463" s="88">
        <v>0</v>
      </c>
      <c r="EG463" s="88">
        <v>459</v>
      </c>
      <c r="EH463" s="88">
        <v>0</v>
      </c>
      <c r="EI463" s="88">
        <v>0</v>
      </c>
      <c r="EJ463" s="88">
        <v>208</v>
      </c>
      <c r="EK463" s="88">
        <v>0</v>
      </c>
      <c r="EL463" s="88">
        <v>0</v>
      </c>
      <c r="EM463" s="88">
        <v>332</v>
      </c>
      <c r="EN463" s="88">
        <v>0</v>
      </c>
      <c r="EO463" s="88">
        <v>0</v>
      </c>
      <c r="EP463" s="88">
        <v>106</v>
      </c>
      <c r="EQ463" s="88">
        <v>0</v>
      </c>
      <c r="ER463" s="88">
        <v>0</v>
      </c>
      <c r="ES463" s="88">
        <v>8</v>
      </c>
      <c r="ET463" s="88">
        <v>0</v>
      </c>
      <c r="EU463" s="88">
        <v>0</v>
      </c>
      <c r="EV463" s="88">
        <v>3</v>
      </c>
      <c r="EW463" s="88">
        <v>0</v>
      </c>
      <c r="EX463" s="88">
        <v>0</v>
      </c>
      <c r="EY463" s="88">
        <v>3</v>
      </c>
      <c r="EZ463" s="88">
        <v>0</v>
      </c>
      <c r="FA463" s="88">
        <v>0</v>
      </c>
      <c r="FB463" s="88">
        <v>2</v>
      </c>
      <c r="FC463" s="88">
        <v>0</v>
      </c>
      <c r="FD463" s="88">
        <v>0</v>
      </c>
      <c r="FE463" s="88">
        <v>5</v>
      </c>
      <c r="FF463" s="88">
        <v>0</v>
      </c>
      <c r="FG463" s="88">
        <v>0</v>
      </c>
      <c r="FH463" s="88">
        <v>-2</v>
      </c>
      <c r="FI463" s="88">
        <v>0</v>
      </c>
      <c r="FJ463" s="88">
        <v>0</v>
      </c>
      <c r="FK463" s="32">
        <v>58</v>
      </c>
      <c r="FL463" s="88">
        <v>0</v>
      </c>
      <c r="FM463" s="88">
        <v>0</v>
      </c>
      <c r="FN463" s="88">
        <v>4803</v>
      </c>
      <c r="FO463" s="88">
        <v>0</v>
      </c>
      <c r="FP463" s="88">
        <v>0</v>
      </c>
      <c r="FQ463" s="88">
        <v>1423</v>
      </c>
      <c r="FR463" s="88">
        <v>0</v>
      </c>
      <c r="FS463" s="88">
        <v>0</v>
      </c>
      <c r="FT463" s="88">
        <v>0</v>
      </c>
      <c r="FU463" s="88">
        <v>0</v>
      </c>
      <c r="FV463" s="88">
        <v>0</v>
      </c>
      <c r="FW463" s="88">
        <v>304</v>
      </c>
      <c r="FX463" s="32">
        <v>0</v>
      </c>
      <c r="FY463" s="32">
        <v>0</v>
      </c>
      <c r="FZ463" s="32">
        <v>77</v>
      </c>
      <c r="GB463" s="46">
        <f t="shared" si="37"/>
        <v>10839</v>
      </c>
    </row>
    <row r="464" spans="1:184" s="22" customFormat="1" x14ac:dyDescent="0.2">
      <c r="A464" s="41">
        <v>45689</v>
      </c>
      <c r="B464" s="100">
        <f t="shared" si="35"/>
        <v>91677924.899999991</v>
      </c>
      <c r="C464" s="42">
        <v>22611.72</v>
      </c>
      <c r="D464" s="42">
        <v>150796.78</v>
      </c>
      <c r="E464" s="43">
        <f t="shared" si="29"/>
        <v>173408.5</v>
      </c>
      <c r="F464" s="42">
        <v>4874613.46</v>
      </c>
      <c r="G464" s="42">
        <v>4010897.52</v>
      </c>
      <c r="H464" s="32">
        <f t="shared" si="40"/>
        <v>8885510.9800000004</v>
      </c>
      <c r="I464" s="42"/>
      <c r="J464" s="42"/>
      <c r="K464" s="98">
        <v>19393361.670000002</v>
      </c>
      <c r="L464" s="42"/>
      <c r="M464" s="42"/>
      <c r="N464" s="98">
        <v>24929263.669999998</v>
      </c>
      <c r="O464" s="42"/>
      <c r="P464" s="42"/>
      <c r="Q464" s="98">
        <v>36974750.939999998</v>
      </c>
      <c r="R464" s="42"/>
      <c r="S464" s="42"/>
      <c r="T464" s="42">
        <v>140508.06999999998</v>
      </c>
      <c r="U464" s="42">
        <v>4642.79</v>
      </c>
      <c r="V464" s="42">
        <v>1935.04</v>
      </c>
      <c r="W464" s="42">
        <f t="shared" si="30"/>
        <v>6577.83</v>
      </c>
      <c r="X464" s="42">
        <v>7519.4</v>
      </c>
      <c r="Y464" s="42">
        <v>9781.52</v>
      </c>
      <c r="Z464" s="32">
        <f t="shared" si="31"/>
        <v>17300.919999999998</v>
      </c>
      <c r="AA464" s="42">
        <v>29463.449999999997</v>
      </c>
      <c r="AB464" s="42">
        <v>102113.69000000002</v>
      </c>
      <c r="AC464" s="32">
        <f t="shared" si="32"/>
        <v>131577.14000000001</v>
      </c>
      <c r="AD464" s="42">
        <v>1587.1799999999998</v>
      </c>
      <c r="AE464" s="42">
        <v>10538.879999999997</v>
      </c>
      <c r="AF464" s="32">
        <f t="shared" si="33"/>
        <v>12126.059999999998</v>
      </c>
      <c r="AG464" s="32">
        <v>10807.32</v>
      </c>
      <c r="AH464" s="32">
        <v>122709.22</v>
      </c>
      <c r="AI464" s="32">
        <f t="shared" si="34"/>
        <v>133516.54</v>
      </c>
      <c r="AJ464" s="42"/>
      <c r="AK464" s="42"/>
      <c r="AL464" s="42">
        <v>32652.45</v>
      </c>
      <c r="AM464" s="42">
        <v>99572.160000000003</v>
      </c>
      <c r="AN464" s="42">
        <v>199832.56000000006</v>
      </c>
      <c r="AO464" s="42">
        <f t="shared" si="39"/>
        <v>299404.72000000009</v>
      </c>
      <c r="AP464" s="42"/>
      <c r="AQ464" s="42"/>
      <c r="AR464" s="42">
        <v>547965.41</v>
      </c>
      <c r="AS464" s="42"/>
      <c r="AT464" s="42"/>
      <c r="AU464" s="42">
        <v>1491452.34</v>
      </c>
      <c r="AV464" s="42"/>
      <c r="AW464" s="42"/>
      <c r="AX464" s="42">
        <v>43520.799999999996</v>
      </c>
      <c r="AY464" s="42">
        <v>3398891.1</v>
      </c>
      <c r="AZ464" s="42">
        <v>898310</v>
      </c>
      <c r="BA464" s="43">
        <f t="shared" si="38"/>
        <v>4297201.0999999996</v>
      </c>
      <c r="BB464" s="42"/>
      <c r="BC464" s="42"/>
      <c r="BD464" s="42">
        <v>1286990.8888888888</v>
      </c>
      <c r="BE464" s="88">
        <v>0</v>
      </c>
      <c r="BF464" s="88">
        <v>0</v>
      </c>
      <c r="BG464" s="88">
        <v>103</v>
      </c>
      <c r="BH464" s="88">
        <v>0</v>
      </c>
      <c r="BI464" s="88">
        <v>0</v>
      </c>
      <c r="BJ464" s="88">
        <v>1</v>
      </c>
      <c r="BK464" s="88">
        <v>0</v>
      </c>
      <c r="BL464" s="88">
        <v>0</v>
      </c>
      <c r="BM464" s="88">
        <v>152</v>
      </c>
      <c r="BN464" s="88">
        <v>0</v>
      </c>
      <c r="BO464" s="88">
        <v>0</v>
      </c>
      <c r="BP464" s="88">
        <v>4</v>
      </c>
      <c r="BQ464" s="88">
        <v>0</v>
      </c>
      <c r="BR464" s="88">
        <v>0</v>
      </c>
      <c r="BS464" s="88">
        <v>982</v>
      </c>
      <c r="BT464" s="88">
        <v>0</v>
      </c>
      <c r="BU464" s="88">
        <v>0</v>
      </c>
      <c r="BV464" s="88">
        <v>0</v>
      </c>
      <c r="BW464" s="88">
        <v>0</v>
      </c>
      <c r="BX464" s="88">
        <v>0</v>
      </c>
      <c r="BY464" s="88">
        <v>4</v>
      </c>
      <c r="BZ464" s="88">
        <v>0</v>
      </c>
      <c r="CA464" s="88">
        <v>0</v>
      </c>
      <c r="CB464" s="88">
        <v>336</v>
      </c>
      <c r="CC464" s="88">
        <v>0</v>
      </c>
      <c r="CD464" s="88">
        <v>0</v>
      </c>
      <c r="CE464" s="88">
        <v>9</v>
      </c>
      <c r="CF464" s="88">
        <v>0</v>
      </c>
      <c r="CG464" s="88">
        <v>0</v>
      </c>
      <c r="CH464" s="88">
        <v>3</v>
      </c>
      <c r="CI464" s="88">
        <v>0</v>
      </c>
      <c r="CJ464" s="88">
        <v>0</v>
      </c>
      <c r="CK464" s="88">
        <v>19</v>
      </c>
      <c r="CL464" s="88">
        <v>0</v>
      </c>
      <c r="CM464" s="88">
        <v>0</v>
      </c>
      <c r="CN464" s="88">
        <v>0</v>
      </c>
      <c r="CO464" s="88">
        <v>0</v>
      </c>
      <c r="CP464" s="88">
        <v>0</v>
      </c>
      <c r="CQ464" s="88">
        <v>22</v>
      </c>
      <c r="CR464" s="88">
        <v>0</v>
      </c>
      <c r="CS464" s="88">
        <v>0</v>
      </c>
      <c r="CT464" s="88">
        <v>0</v>
      </c>
      <c r="CU464" s="88">
        <v>0</v>
      </c>
      <c r="CV464" s="88">
        <v>0</v>
      </c>
      <c r="CW464" s="88">
        <v>118</v>
      </c>
      <c r="CX464" s="88">
        <v>0</v>
      </c>
      <c r="CY464" s="88">
        <v>0</v>
      </c>
      <c r="CZ464" s="88">
        <v>2</v>
      </c>
      <c r="DA464" s="88">
        <v>0</v>
      </c>
      <c r="DB464" s="88">
        <v>0</v>
      </c>
      <c r="DC464" s="88">
        <v>0</v>
      </c>
      <c r="DD464" s="88">
        <v>0</v>
      </c>
      <c r="DE464" s="88">
        <v>0</v>
      </c>
      <c r="DF464" s="88">
        <v>0</v>
      </c>
      <c r="DG464" s="88">
        <v>0</v>
      </c>
      <c r="DH464" s="88">
        <v>0</v>
      </c>
      <c r="DI464" s="88">
        <v>3</v>
      </c>
      <c r="DJ464" s="88">
        <v>0</v>
      </c>
      <c r="DK464" s="88">
        <v>0</v>
      </c>
      <c r="DL464" s="88">
        <v>0</v>
      </c>
      <c r="DM464" s="88">
        <v>0</v>
      </c>
      <c r="DN464" s="88">
        <v>0</v>
      </c>
      <c r="DO464" s="88">
        <v>0</v>
      </c>
      <c r="DP464" s="88">
        <v>0</v>
      </c>
      <c r="DQ464" s="88">
        <v>0</v>
      </c>
      <c r="DR464" s="87">
        <v>10</v>
      </c>
      <c r="DS464" s="87">
        <v>0</v>
      </c>
      <c r="DT464" s="87">
        <v>0</v>
      </c>
      <c r="DU464" s="87">
        <v>686</v>
      </c>
      <c r="DV464" s="87">
        <v>0</v>
      </c>
      <c r="DW464" s="87">
        <v>0</v>
      </c>
      <c r="DX464" s="87">
        <v>0</v>
      </c>
      <c r="DY464" s="87">
        <v>0</v>
      </c>
      <c r="DZ464" s="87">
        <v>0</v>
      </c>
      <c r="EA464" s="88">
        <v>1515</v>
      </c>
      <c r="EB464" s="88">
        <v>0</v>
      </c>
      <c r="EC464" s="88">
        <v>0</v>
      </c>
      <c r="ED464" s="88">
        <v>36</v>
      </c>
      <c r="EE464" s="88">
        <v>0</v>
      </c>
      <c r="EF464" s="88">
        <v>0</v>
      </c>
      <c r="EG464" s="88">
        <v>507</v>
      </c>
      <c r="EH464" s="88">
        <v>0</v>
      </c>
      <c r="EI464" s="88">
        <v>0</v>
      </c>
      <c r="EJ464" s="88">
        <v>201</v>
      </c>
      <c r="EK464" s="88">
        <v>0</v>
      </c>
      <c r="EL464" s="88">
        <v>0</v>
      </c>
      <c r="EM464" s="88">
        <v>272</v>
      </c>
      <c r="EN464" s="88">
        <v>0</v>
      </c>
      <c r="EO464" s="88">
        <v>0</v>
      </c>
      <c r="EP464" s="88">
        <v>154</v>
      </c>
      <c r="EQ464" s="88">
        <v>0</v>
      </c>
      <c r="ER464" s="88">
        <v>0</v>
      </c>
      <c r="ES464" s="88">
        <v>8</v>
      </c>
      <c r="ET464" s="88">
        <v>0</v>
      </c>
      <c r="EU464" s="88">
        <v>0</v>
      </c>
      <c r="EV464" s="88">
        <v>20</v>
      </c>
      <c r="EW464" s="88">
        <v>0</v>
      </c>
      <c r="EX464" s="88">
        <v>0</v>
      </c>
      <c r="EY464" s="88">
        <v>6</v>
      </c>
      <c r="EZ464" s="88">
        <v>0</v>
      </c>
      <c r="FA464" s="88">
        <v>0</v>
      </c>
      <c r="FB464" s="88">
        <v>0</v>
      </c>
      <c r="FC464" s="88">
        <v>0</v>
      </c>
      <c r="FD464" s="88">
        <v>0</v>
      </c>
      <c r="FE464" s="88">
        <v>4</v>
      </c>
      <c r="FF464" s="88">
        <v>0</v>
      </c>
      <c r="FG464" s="88">
        <v>0</v>
      </c>
      <c r="FH464" s="88">
        <v>1</v>
      </c>
      <c r="FI464" s="88">
        <v>0</v>
      </c>
      <c r="FJ464" s="88">
        <v>0</v>
      </c>
      <c r="FK464" s="32">
        <v>65</v>
      </c>
      <c r="FL464" s="88">
        <v>0</v>
      </c>
      <c r="FM464" s="88">
        <v>0</v>
      </c>
      <c r="FN464" s="88">
        <v>4733</v>
      </c>
      <c r="FO464" s="88">
        <v>0</v>
      </c>
      <c r="FP464" s="88">
        <v>0</v>
      </c>
      <c r="FQ464" s="88">
        <v>1353</v>
      </c>
      <c r="FR464" s="88">
        <v>0</v>
      </c>
      <c r="FS464" s="88">
        <v>0</v>
      </c>
      <c r="FT464" s="88">
        <v>0</v>
      </c>
      <c r="FU464" s="88">
        <v>0</v>
      </c>
      <c r="FV464" s="88">
        <v>0</v>
      </c>
      <c r="FW464" s="88">
        <v>223</v>
      </c>
      <c r="FX464" s="32">
        <v>0</v>
      </c>
      <c r="FY464" s="32">
        <v>0</v>
      </c>
      <c r="FZ464" s="32">
        <v>82</v>
      </c>
      <c r="GB464" s="46">
        <f t="shared" si="37"/>
        <v>11634</v>
      </c>
    </row>
    <row r="465" spans="1:184" s="22" customFormat="1" x14ac:dyDescent="0.2">
      <c r="A465" s="41">
        <v>45717</v>
      </c>
      <c r="B465" s="100">
        <f t="shared" si="35"/>
        <v>90512693.920000017</v>
      </c>
      <c r="C465" s="42">
        <v>20411.939999999999</v>
      </c>
      <c r="D465" s="42">
        <v>182597.28999999998</v>
      </c>
      <c r="E465" s="43">
        <f t="shared" ref="E465:E473" si="41">+C465+D465</f>
        <v>203009.22999999998</v>
      </c>
      <c r="F465" s="42">
        <v>4186215.04</v>
      </c>
      <c r="G465" s="42">
        <v>3596569.58</v>
      </c>
      <c r="H465" s="32">
        <f t="shared" si="40"/>
        <v>7782784.6200000001</v>
      </c>
      <c r="I465" s="42"/>
      <c r="J465" s="42"/>
      <c r="K465" s="98">
        <v>17219124.07</v>
      </c>
      <c r="L465" s="42"/>
      <c r="M465" s="42"/>
      <c r="N465" s="98">
        <v>27518975.219999995</v>
      </c>
      <c r="O465" s="42"/>
      <c r="P465" s="42"/>
      <c r="Q465" s="98">
        <v>36498908.190000005</v>
      </c>
      <c r="R465" s="42"/>
      <c r="S465" s="42"/>
      <c r="T465" s="42">
        <v>184827.95</v>
      </c>
      <c r="U465" s="42">
        <v>3267.0599999999995</v>
      </c>
      <c r="V465" s="42">
        <v>2005.6000000000001</v>
      </c>
      <c r="W465" s="42">
        <f t="shared" ref="W465:W473" si="42">+U465+V465</f>
        <v>5272.66</v>
      </c>
      <c r="X465" s="42">
        <v>13232.76</v>
      </c>
      <c r="Y465" s="42">
        <v>6472.89</v>
      </c>
      <c r="Z465" s="32">
        <f t="shared" ref="Z465:Z473" si="43">+X465+Y465</f>
        <v>19705.650000000001</v>
      </c>
      <c r="AA465" s="42">
        <v>36578.81</v>
      </c>
      <c r="AB465" s="42">
        <v>120556.93</v>
      </c>
      <c r="AC465" s="32">
        <f t="shared" ref="AC465:AC473" si="44">+AA465+AB465</f>
        <v>157135.74</v>
      </c>
      <c r="AD465" s="42">
        <v>1117.3899999999999</v>
      </c>
      <c r="AE465" s="42">
        <v>12248.19</v>
      </c>
      <c r="AF465" s="32">
        <f t="shared" ref="AF465:AF473" si="45">+AD465+AE465</f>
        <v>13365.58</v>
      </c>
      <c r="AG465" s="32">
        <v>18347.599999999999</v>
      </c>
      <c r="AH465" s="32">
        <v>107906.54999999999</v>
      </c>
      <c r="AI465" s="32">
        <f t="shared" ref="AI465:AI473" si="46">+AG465+AH465</f>
        <v>126254.15</v>
      </c>
      <c r="AJ465" s="42"/>
      <c r="AK465" s="42"/>
      <c r="AL465" s="42">
        <v>28914.3</v>
      </c>
      <c r="AM465" s="42">
        <v>35816.639999999999</v>
      </c>
      <c r="AN465" s="42">
        <v>180955.74</v>
      </c>
      <c r="AO465" s="42">
        <f t="shared" si="39"/>
        <v>216772.38</v>
      </c>
      <c r="AP465" s="42"/>
      <c r="AQ465" s="42"/>
      <c r="AR465" s="42">
        <v>537644.17999999993</v>
      </c>
      <c r="AS465" s="42"/>
      <c r="AT465" s="42"/>
      <c r="AU465" s="42">
        <v>1577124.3800000001</v>
      </c>
      <c r="AV465" s="42"/>
      <c r="AW465" s="42"/>
      <c r="AX465" s="42">
        <v>49589.68</v>
      </c>
      <c r="AY465" s="42">
        <v>2794322</v>
      </c>
      <c r="AZ465" s="42">
        <v>437320</v>
      </c>
      <c r="BA465" s="43">
        <f t="shared" si="38"/>
        <v>3231642</v>
      </c>
      <c r="BB465" s="42"/>
      <c r="BC465" s="42"/>
      <c r="BD465" s="42">
        <v>403047.22222222225</v>
      </c>
      <c r="BE465" s="88">
        <v>0</v>
      </c>
      <c r="BF465" s="88">
        <v>0</v>
      </c>
      <c r="BG465" s="88">
        <v>70</v>
      </c>
      <c r="BH465" s="88">
        <v>0</v>
      </c>
      <c r="BI465" s="88">
        <v>0</v>
      </c>
      <c r="BJ465" s="88">
        <v>2</v>
      </c>
      <c r="BK465" s="88">
        <v>0</v>
      </c>
      <c r="BL465" s="88">
        <v>0</v>
      </c>
      <c r="BM465" s="88">
        <v>109</v>
      </c>
      <c r="BN465" s="88">
        <v>0</v>
      </c>
      <c r="BO465" s="88">
        <v>0</v>
      </c>
      <c r="BP465" s="88">
        <v>1</v>
      </c>
      <c r="BQ465" s="88">
        <v>0</v>
      </c>
      <c r="BR465" s="88">
        <v>0</v>
      </c>
      <c r="BS465" s="88">
        <v>840</v>
      </c>
      <c r="BT465" s="88">
        <v>0</v>
      </c>
      <c r="BU465" s="88">
        <v>0</v>
      </c>
      <c r="BV465" s="88">
        <v>0</v>
      </c>
      <c r="BW465" s="88">
        <v>0</v>
      </c>
      <c r="BX465" s="88">
        <v>0</v>
      </c>
      <c r="BY465" s="88">
        <v>0</v>
      </c>
      <c r="BZ465" s="88">
        <v>0</v>
      </c>
      <c r="CA465" s="88">
        <v>0</v>
      </c>
      <c r="CB465" s="88">
        <v>358</v>
      </c>
      <c r="CC465" s="88">
        <v>0</v>
      </c>
      <c r="CD465" s="88">
        <v>0</v>
      </c>
      <c r="CE465" s="88">
        <v>11</v>
      </c>
      <c r="CF465" s="88">
        <v>0</v>
      </c>
      <c r="CG465" s="88">
        <v>0</v>
      </c>
      <c r="CH465" s="88">
        <v>4</v>
      </c>
      <c r="CI465" s="88">
        <v>0</v>
      </c>
      <c r="CJ465" s="88">
        <v>0</v>
      </c>
      <c r="CK465" s="88">
        <v>23</v>
      </c>
      <c r="CL465" s="88">
        <v>0</v>
      </c>
      <c r="CM465" s="88">
        <v>0</v>
      </c>
      <c r="CN465" s="88">
        <v>0</v>
      </c>
      <c r="CO465" s="88">
        <v>0</v>
      </c>
      <c r="CP465" s="88">
        <v>0</v>
      </c>
      <c r="CQ465" s="88">
        <v>53</v>
      </c>
      <c r="CR465" s="88">
        <v>0</v>
      </c>
      <c r="CS465" s="88">
        <v>0</v>
      </c>
      <c r="CT465" s="88">
        <v>0</v>
      </c>
      <c r="CU465" s="88">
        <v>0</v>
      </c>
      <c r="CV465" s="88">
        <v>0</v>
      </c>
      <c r="CW465" s="88">
        <v>44</v>
      </c>
      <c r="CX465" s="88">
        <v>0</v>
      </c>
      <c r="CY465" s="88">
        <v>0</v>
      </c>
      <c r="CZ465" s="88">
        <v>0</v>
      </c>
      <c r="DA465" s="88">
        <v>0</v>
      </c>
      <c r="DB465" s="88">
        <v>0</v>
      </c>
      <c r="DC465" s="88">
        <v>0</v>
      </c>
      <c r="DD465" s="88">
        <v>0</v>
      </c>
      <c r="DE465" s="88">
        <v>0</v>
      </c>
      <c r="DF465" s="88">
        <v>0</v>
      </c>
      <c r="DG465" s="88">
        <v>0</v>
      </c>
      <c r="DH465" s="88">
        <v>0</v>
      </c>
      <c r="DI465" s="88">
        <v>3</v>
      </c>
      <c r="DJ465" s="88">
        <v>0</v>
      </c>
      <c r="DK465" s="88">
        <v>0</v>
      </c>
      <c r="DL465" s="88">
        <v>0</v>
      </c>
      <c r="DM465" s="88">
        <v>0</v>
      </c>
      <c r="DN465" s="88">
        <v>0</v>
      </c>
      <c r="DO465" s="88">
        <v>0</v>
      </c>
      <c r="DP465" s="88">
        <v>0</v>
      </c>
      <c r="DQ465" s="88">
        <v>0</v>
      </c>
      <c r="DR465" s="87">
        <v>444</v>
      </c>
      <c r="DS465" s="87">
        <v>0</v>
      </c>
      <c r="DT465" s="87">
        <v>0</v>
      </c>
      <c r="DU465" s="87">
        <v>217</v>
      </c>
      <c r="DV465" s="87">
        <v>0</v>
      </c>
      <c r="DW465" s="87">
        <v>0</v>
      </c>
      <c r="DX465" s="87">
        <v>0</v>
      </c>
      <c r="DY465" s="87">
        <v>0</v>
      </c>
      <c r="DZ465" s="87">
        <v>0</v>
      </c>
      <c r="EA465" s="88">
        <v>1841</v>
      </c>
      <c r="EB465" s="88">
        <v>0</v>
      </c>
      <c r="EC465" s="88">
        <v>0</v>
      </c>
      <c r="ED465" s="88">
        <v>20</v>
      </c>
      <c r="EE465" s="88">
        <v>0</v>
      </c>
      <c r="EF465" s="88">
        <v>0</v>
      </c>
      <c r="EG465" s="88">
        <v>523</v>
      </c>
      <c r="EH465" s="88">
        <v>0</v>
      </c>
      <c r="EI465" s="88">
        <v>0</v>
      </c>
      <c r="EJ465" s="88">
        <v>467</v>
      </c>
      <c r="EK465" s="88">
        <v>0</v>
      </c>
      <c r="EL465" s="88">
        <v>0</v>
      </c>
      <c r="EM465" s="88">
        <v>317</v>
      </c>
      <c r="EN465" s="88">
        <v>0</v>
      </c>
      <c r="EO465" s="88">
        <v>0</v>
      </c>
      <c r="EP465" s="88">
        <v>153</v>
      </c>
      <c r="EQ465" s="88">
        <v>0</v>
      </c>
      <c r="ER465" s="88">
        <v>0</v>
      </c>
      <c r="ES465" s="88">
        <v>6</v>
      </c>
      <c r="ET465" s="88">
        <v>0</v>
      </c>
      <c r="EU465" s="88">
        <v>0</v>
      </c>
      <c r="EV465" s="88">
        <v>9</v>
      </c>
      <c r="EW465" s="88">
        <v>0</v>
      </c>
      <c r="EX465" s="88">
        <v>0</v>
      </c>
      <c r="EY465" s="88">
        <v>8</v>
      </c>
      <c r="EZ465" s="88">
        <v>0</v>
      </c>
      <c r="FA465" s="88">
        <v>0</v>
      </c>
      <c r="FB465" s="88">
        <v>2</v>
      </c>
      <c r="FC465" s="88">
        <v>0</v>
      </c>
      <c r="FD465" s="88">
        <v>0</v>
      </c>
      <c r="FE465" s="88">
        <v>2</v>
      </c>
      <c r="FF465" s="88">
        <v>0</v>
      </c>
      <c r="FG465" s="88">
        <v>0</v>
      </c>
      <c r="FH465" s="88">
        <v>0</v>
      </c>
      <c r="FI465" s="88">
        <v>0</v>
      </c>
      <c r="FJ465" s="88">
        <v>0</v>
      </c>
      <c r="FK465" s="32">
        <v>49</v>
      </c>
      <c r="FL465" s="88">
        <v>0</v>
      </c>
      <c r="FM465" s="88">
        <v>0</v>
      </c>
      <c r="FN465" s="88">
        <v>5239</v>
      </c>
      <c r="FO465" s="88">
        <v>0</v>
      </c>
      <c r="FP465" s="88">
        <v>0</v>
      </c>
      <c r="FQ465" s="88">
        <v>1009</v>
      </c>
      <c r="FR465" s="88">
        <v>0</v>
      </c>
      <c r="FS465" s="88">
        <v>0</v>
      </c>
      <c r="FT465" s="88">
        <v>0</v>
      </c>
      <c r="FU465" s="88">
        <v>0</v>
      </c>
      <c r="FV465" s="88">
        <v>0</v>
      </c>
      <c r="FW465" s="88">
        <v>389</v>
      </c>
      <c r="FX465" s="32">
        <v>0</v>
      </c>
      <c r="FY465" s="32">
        <v>0</v>
      </c>
      <c r="FZ465" s="32">
        <v>7</v>
      </c>
      <c r="GB465" s="46">
        <f t="shared" si="37"/>
        <v>12220</v>
      </c>
    </row>
    <row r="466" spans="1:184" s="22" customFormat="1" x14ac:dyDescent="0.2">
      <c r="A466" s="41">
        <v>45748</v>
      </c>
      <c r="B466" s="100">
        <f t="shared" si="35"/>
        <v>73313309.099999994</v>
      </c>
      <c r="C466" s="42">
        <v>17797.52</v>
      </c>
      <c r="D466" s="42">
        <v>270052.57000000007</v>
      </c>
      <c r="E466" s="43">
        <f t="shared" si="41"/>
        <v>287850.09000000008</v>
      </c>
      <c r="F466" s="42">
        <v>2989242.42</v>
      </c>
      <c r="G466" s="42">
        <v>2845367.5</v>
      </c>
      <c r="H466" s="32">
        <f t="shared" si="40"/>
        <v>5834609.9199999999</v>
      </c>
      <c r="I466" s="42"/>
      <c r="J466" s="42"/>
      <c r="K466" s="98">
        <v>14407162.809999999</v>
      </c>
      <c r="L466" s="42"/>
      <c r="M466" s="42"/>
      <c r="N466" s="98">
        <v>22989543.299999997</v>
      </c>
      <c r="O466" s="42"/>
      <c r="P466" s="42"/>
      <c r="Q466" s="98">
        <v>28501097.75</v>
      </c>
      <c r="R466" s="42"/>
      <c r="S466" s="42"/>
      <c r="T466" s="42">
        <v>135056.39000000001</v>
      </c>
      <c r="U466" s="42">
        <v>1870.29</v>
      </c>
      <c r="V466" s="42">
        <v>992.7</v>
      </c>
      <c r="W466" s="42">
        <f t="shared" si="42"/>
        <v>2862.99</v>
      </c>
      <c r="X466" s="42">
        <v>31706.5</v>
      </c>
      <c r="Y466" s="42">
        <v>12260.300000000001</v>
      </c>
      <c r="Z466" s="32">
        <f t="shared" si="43"/>
        <v>43966.8</v>
      </c>
      <c r="AA466" s="42">
        <v>95038.069999999992</v>
      </c>
      <c r="AB466" s="42">
        <v>218024.82</v>
      </c>
      <c r="AC466" s="32">
        <f t="shared" si="44"/>
        <v>313062.89</v>
      </c>
      <c r="AD466" s="42">
        <v>827.08999999999992</v>
      </c>
      <c r="AE466" s="42">
        <v>12830.720000000001</v>
      </c>
      <c r="AF466" s="32">
        <f t="shared" si="45"/>
        <v>13657.810000000001</v>
      </c>
      <c r="AG466" s="32">
        <v>4214.0600000000004</v>
      </c>
      <c r="AH466" s="32">
        <v>102464.24</v>
      </c>
      <c r="AI466" s="32">
        <f t="shared" si="46"/>
        <v>106678.3</v>
      </c>
      <c r="AJ466" s="42"/>
      <c r="AK466" s="42"/>
      <c r="AL466" s="42">
        <v>42329.25</v>
      </c>
      <c r="AM466" s="42">
        <v>49332.83</v>
      </c>
      <c r="AN466" s="42">
        <v>80262.5</v>
      </c>
      <c r="AO466" s="42">
        <f t="shared" si="39"/>
        <v>129595.33</v>
      </c>
      <c r="AP466" s="42"/>
      <c r="AQ466" s="42"/>
      <c r="AR466" s="42">
        <v>505835.47</v>
      </c>
      <c r="AS466" s="42"/>
      <c r="AT466" s="42"/>
      <c r="AU466" s="42">
        <v>1518217.300000001</v>
      </c>
      <c r="AV466" s="42"/>
      <c r="AW466" s="42"/>
      <c r="AX466" s="42">
        <v>38696.639999999999</v>
      </c>
      <c r="AY466" s="42">
        <v>4026426.5</v>
      </c>
      <c r="AZ466" s="42">
        <v>920760</v>
      </c>
      <c r="BA466" s="43">
        <f t="shared" si="38"/>
        <v>4947186.5</v>
      </c>
      <c r="BB466" s="42"/>
      <c r="BC466" s="42"/>
      <c r="BD466" s="42">
        <v>1313543.2222222222</v>
      </c>
      <c r="BE466" s="88">
        <v>0</v>
      </c>
      <c r="BF466" s="88">
        <v>0</v>
      </c>
      <c r="BG466" s="88">
        <v>117</v>
      </c>
      <c r="BH466" s="88">
        <v>0</v>
      </c>
      <c r="BI466" s="88">
        <v>0</v>
      </c>
      <c r="BJ466" s="88">
        <v>1</v>
      </c>
      <c r="BK466" s="88">
        <v>0</v>
      </c>
      <c r="BL466" s="88">
        <v>0</v>
      </c>
      <c r="BM466" s="88">
        <v>213</v>
      </c>
      <c r="BN466" s="88">
        <v>0</v>
      </c>
      <c r="BO466" s="88">
        <v>0</v>
      </c>
      <c r="BP466" s="88">
        <v>6</v>
      </c>
      <c r="BQ466" s="88">
        <v>0</v>
      </c>
      <c r="BR466" s="88">
        <v>0</v>
      </c>
      <c r="BS466" s="88">
        <v>532</v>
      </c>
      <c r="BT466" s="88">
        <v>0</v>
      </c>
      <c r="BU466" s="88">
        <v>0</v>
      </c>
      <c r="BV466" s="88">
        <v>0</v>
      </c>
      <c r="BW466" s="88">
        <v>0</v>
      </c>
      <c r="BX466" s="88">
        <v>0</v>
      </c>
      <c r="BY466" s="88">
        <v>0</v>
      </c>
      <c r="BZ466" s="88">
        <v>0</v>
      </c>
      <c r="CA466" s="88">
        <v>0</v>
      </c>
      <c r="CB466" s="88">
        <v>397</v>
      </c>
      <c r="CC466" s="88">
        <v>0</v>
      </c>
      <c r="CD466" s="88">
        <v>0</v>
      </c>
      <c r="CE466" s="88">
        <v>28</v>
      </c>
      <c r="CF466" s="88">
        <v>0</v>
      </c>
      <c r="CG466" s="88">
        <v>0</v>
      </c>
      <c r="CH466" s="88">
        <v>1</v>
      </c>
      <c r="CI466" s="88">
        <v>0</v>
      </c>
      <c r="CJ466" s="88">
        <v>0</v>
      </c>
      <c r="CK466" s="88">
        <v>11</v>
      </c>
      <c r="CL466" s="88">
        <v>0</v>
      </c>
      <c r="CM466" s="88">
        <v>0</v>
      </c>
      <c r="CN466" s="88">
        <v>0</v>
      </c>
      <c r="CO466" s="88">
        <v>0</v>
      </c>
      <c r="CP466" s="88">
        <v>0</v>
      </c>
      <c r="CQ466" s="88">
        <v>8</v>
      </c>
      <c r="CR466" s="88">
        <v>0</v>
      </c>
      <c r="CS466" s="88">
        <v>0</v>
      </c>
      <c r="CT466" s="88">
        <v>0</v>
      </c>
      <c r="CU466" s="88">
        <v>0</v>
      </c>
      <c r="CV466" s="88">
        <v>0</v>
      </c>
      <c r="CW466" s="88">
        <v>104</v>
      </c>
      <c r="CX466" s="88">
        <v>0</v>
      </c>
      <c r="CY466" s="88">
        <v>0</v>
      </c>
      <c r="CZ466" s="88">
        <v>0</v>
      </c>
      <c r="DA466" s="88">
        <v>0</v>
      </c>
      <c r="DB466" s="88">
        <v>0</v>
      </c>
      <c r="DC466" s="88">
        <v>0</v>
      </c>
      <c r="DD466" s="88">
        <v>0</v>
      </c>
      <c r="DE466" s="88">
        <v>0</v>
      </c>
      <c r="DF466" s="88">
        <v>0</v>
      </c>
      <c r="DG466" s="88">
        <v>0</v>
      </c>
      <c r="DH466" s="88">
        <v>0</v>
      </c>
      <c r="DI466" s="88">
        <v>2</v>
      </c>
      <c r="DJ466" s="88">
        <v>0</v>
      </c>
      <c r="DK466" s="88">
        <v>0</v>
      </c>
      <c r="DL466" s="88">
        <v>0</v>
      </c>
      <c r="DM466" s="88">
        <v>0</v>
      </c>
      <c r="DN466" s="88">
        <v>0</v>
      </c>
      <c r="DO466" s="88">
        <v>0</v>
      </c>
      <c r="DP466" s="88">
        <v>0</v>
      </c>
      <c r="DQ466" s="88">
        <v>0</v>
      </c>
      <c r="DR466" s="87">
        <v>15</v>
      </c>
      <c r="DS466" s="87">
        <v>0</v>
      </c>
      <c r="DT466" s="87">
        <v>0</v>
      </c>
      <c r="DU466" s="87">
        <v>741</v>
      </c>
      <c r="DV466" s="87">
        <v>0</v>
      </c>
      <c r="DW466" s="87">
        <v>0</v>
      </c>
      <c r="DX466" s="87">
        <v>0</v>
      </c>
      <c r="DY466" s="87">
        <v>0</v>
      </c>
      <c r="DZ466" s="87">
        <v>0</v>
      </c>
      <c r="EA466" s="88">
        <v>1297</v>
      </c>
      <c r="EB466" s="88">
        <v>0</v>
      </c>
      <c r="EC466" s="88">
        <v>0</v>
      </c>
      <c r="ED466" s="88">
        <v>75</v>
      </c>
      <c r="EE466" s="88">
        <v>0</v>
      </c>
      <c r="EF466" s="88">
        <v>0</v>
      </c>
      <c r="EG466" s="88">
        <v>457</v>
      </c>
      <c r="EH466" s="88">
        <v>0</v>
      </c>
      <c r="EI466" s="88">
        <v>0</v>
      </c>
      <c r="EJ466" s="88">
        <v>159</v>
      </c>
      <c r="EK466" s="88">
        <v>0</v>
      </c>
      <c r="EL466" s="88">
        <v>0</v>
      </c>
      <c r="EM466" s="88">
        <v>268</v>
      </c>
      <c r="EN466" s="88">
        <v>0</v>
      </c>
      <c r="EO466" s="88">
        <v>0</v>
      </c>
      <c r="EP466" s="88">
        <v>157</v>
      </c>
      <c r="EQ466" s="88">
        <v>0</v>
      </c>
      <c r="ER466" s="88">
        <v>0</v>
      </c>
      <c r="ES466" s="88">
        <v>5</v>
      </c>
      <c r="ET466" s="88">
        <v>0</v>
      </c>
      <c r="EU466" s="88">
        <v>0</v>
      </c>
      <c r="EV466" s="88">
        <v>0</v>
      </c>
      <c r="EW466" s="88">
        <v>0</v>
      </c>
      <c r="EX466" s="88">
        <v>0</v>
      </c>
      <c r="EY466" s="88">
        <v>5</v>
      </c>
      <c r="EZ466" s="88">
        <v>0</v>
      </c>
      <c r="FA466" s="88">
        <v>0</v>
      </c>
      <c r="FB466" s="88">
        <v>1</v>
      </c>
      <c r="FC466" s="88">
        <v>0</v>
      </c>
      <c r="FD466" s="88">
        <v>0</v>
      </c>
      <c r="FE466" s="88">
        <v>1</v>
      </c>
      <c r="FF466" s="88">
        <v>0</v>
      </c>
      <c r="FG466" s="88">
        <v>0</v>
      </c>
      <c r="FH466" s="88">
        <v>2</v>
      </c>
      <c r="FI466" s="88">
        <v>0</v>
      </c>
      <c r="FJ466" s="88">
        <v>0</v>
      </c>
      <c r="FK466" s="32">
        <v>36</v>
      </c>
      <c r="FL466" s="88">
        <v>0</v>
      </c>
      <c r="FM466" s="88">
        <v>0</v>
      </c>
      <c r="FN466" s="88">
        <v>4281</v>
      </c>
      <c r="FO466" s="88">
        <v>0</v>
      </c>
      <c r="FP466" s="88">
        <v>0</v>
      </c>
      <c r="FQ466" s="88">
        <v>968</v>
      </c>
      <c r="FR466" s="88">
        <v>0</v>
      </c>
      <c r="FS466" s="88">
        <v>0</v>
      </c>
      <c r="FT466" s="88">
        <v>0</v>
      </c>
      <c r="FU466" s="88">
        <v>0</v>
      </c>
      <c r="FV466" s="88">
        <v>0</v>
      </c>
      <c r="FW466" s="88">
        <v>183</v>
      </c>
      <c r="FX466" s="32">
        <v>0</v>
      </c>
      <c r="FY466" s="32">
        <v>0</v>
      </c>
      <c r="FZ466" s="32">
        <v>14</v>
      </c>
      <c r="GB466" s="46">
        <f t="shared" si="37"/>
        <v>10085</v>
      </c>
    </row>
    <row r="467" spans="1:184" s="22" customFormat="1" x14ac:dyDescent="0.2">
      <c r="A467" s="41">
        <v>45778</v>
      </c>
      <c r="B467" s="100">
        <f t="shared" ref="B467:B473" si="47">+E467+H467+K467+N467+Q467+W467+T467+Z467+AC467+AF467+AI467+AL467+AO467+AR467</f>
        <v>67925374.340000004</v>
      </c>
      <c r="C467" s="42">
        <v>27559.78</v>
      </c>
      <c r="D467" s="42">
        <v>229853.47999999998</v>
      </c>
      <c r="E467" s="43">
        <f t="shared" si="41"/>
        <v>257413.25999999998</v>
      </c>
      <c r="F467" s="42">
        <v>2516862.77</v>
      </c>
      <c r="G467" s="42">
        <v>2402935.5100000002</v>
      </c>
      <c r="H467" s="32">
        <f t="shared" si="40"/>
        <v>4919798.28</v>
      </c>
      <c r="I467" s="42"/>
      <c r="J467" s="42"/>
      <c r="K467" s="98">
        <v>10885066.529999999</v>
      </c>
      <c r="L467" s="42"/>
      <c r="M467" s="42"/>
      <c r="N467" s="98">
        <v>21948095.110000007</v>
      </c>
      <c r="O467" s="42"/>
      <c r="P467" s="42"/>
      <c r="Q467" s="98">
        <v>28930202.739999995</v>
      </c>
      <c r="R467" s="42"/>
      <c r="S467" s="42"/>
      <c r="T467" s="42">
        <v>75185.099999999991</v>
      </c>
      <c r="U467" s="42">
        <v>2655.97</v>
      </c>
      <c r="V467" s="42">
        <v>2081.0500000000002</v>
      </c>
      <c r="W467" s="42">
        <f t="shared" si="42"/>
        <v>4737.0200000000004</v>
      </c>
      <c r="X467" s="42">
        <v>3147</v>
      </c>
      <c r="Y467" s="42">
        <v>13675.810000000001</v>
      </c>
      <c r="Z467" s="32">
        <f t="shared" si="43"/>
        <v>16822.810000000001</v>
      </c>
      <c r="AA467" s="42">
        <v>62821.75</v>
      </c>
      <c r="AB467" s="42">
        <v>99892.09</v>
      </c>
      <c r="AC467" s="32">
        <f t="shared" si="44"/>
        <v>162713.84</v>
      </c>
      <c r="AD467" s="42">
        <v>1859.9</v>
      </c>
      <c r="AE467" s="42">
        <v>10694.21</v>
      </c>
      <c r="AF467" s="32">
        <f t="shared" si="45"/>
        <v>12554.109999999999</v>
      </c>
      <c r="AG467" s="32">
        <v>5971.99</v>
      </c>
      <c r="AH467" s="32">
        <v>89867.23000000001</v>
      </c>
      <c r="AI467" s="32">
        <f t="shared" si="46"/>
        <v>95839.220000000016</v>
      </c>
      <c r="AJ467" s="42"/>
      <c r="AK467" s="42"/>
      <c r="AL467" s="42">
        <v>24436.35</v>
      </c>
      <c r="AM467" s="42">
        <v>10842.24</v>
      </c>
      <c r="AN467" s="42">
        <v>96190.53</v>
      </c>
      <c r="AO467" s="42">
        <f t="shared" si="39"/>
        <v>107032.77</v>
      </c>
      <c r="AP467" s="42"/>
      <c r="AQ467" s="42"/>
      <c r="AR467" s="42">
        <v>485477.2</v>
      </c>
      <c r="AS467" s="42"/>
      <c r="AT467" s="42"/>
      <c r="AU467" s="42">
        <v>1314306.4400000004</v>
      </c>
      <c r="AV467" s="42"/>
      <c r="AW467" s="42"/>
      <c r="AX467" s="42">
        <v>41312.049999999996</v>
      </c>
      <c r="AY467" s="42">
        <v>4830677.5</v>
      </c>
      <c r="AZ467" s="42">
        <v>804939.65</v>
      </c>
      <c r="BA467" s="43">
        <f t="shared" si="38"/>
        <v>5635617.1500000004</v>
      </c>
      <c r="BB467" s="42"/>
      <c r="BC467" s="42"/>
      <c r="BD467" s="42">
        <v>1257884.5555555555</v>
      </c>
      <c r="BE467" s="88">
        <v>0</v>
      </c>
      <c r="BF467" s="88">
        <v>0</v>
      </c>
      <c r="BG467" s="88">
        <v>96</v>
      </c>
      <c r="BH467" s="88">
        <v>0</v>
      </c>
      <c r="BI467" s="88">
        <v>0</v>
      </c>
      <c r="BJ467" s="88">
        <v>1</v>
      </c>
      <c r="BK467" s="88">
        <v>0</v>
      </c>
      <c r="BL467" s="88">
        <v>0</v>
      </c>
      <c r="BM467" s="88">
        <v>165</v>
      </c>
      <c r="BN467" s="88">
        <v>0</v>
      </c>
      <c r="BO467" s="88">
        <v>0</v>
      </c>
      <c r="BP467" s="88">
        <v>2</v>
      </c>
      <c r="BQ467" s="88">
        <v>0</v>
      </c>
      <c r="BR467" s="88">
        <v>0</v>
      </c>
      <c r="BS467" s="88">
        <v>598</v>
      </c>
      <c r="BT467" s="88">
        <v>0</v>
      </c>
      <c r="BU467" s="88">
        <v>0</v>
      </c>
      <c r="BV467" s="88">
        <v>0</v>
      </c>
      <c r="BW467" s="88">
        <v>0</v>
      </c>
      <c r="BX467" s="88">
        <v>0</v>
      </c>
      <c r="BY467" s="88">
        <v>0</v>
      </c>
      <c r="BZ467" s="88">
        <v>0</v>
      </c>
      <c r="CA467" s="88">
        <v>0</v>
      </c>
      <c r="CB467" s="88">
        <v>387</v>
      </c>
      <c r="CC467" s="88">
        <v>0</v>
      </c>
      <c r="CD467" s="88">
        <v>0</v>
      </c>
      <c r="CE467" s="88">
        <v>21</v>
      </c>
      <c r="CF467" s="88">
        <v>0</v>
      </c>
      <c r="CG467" s="88">
        <v>0</v>
      </c>
      <c r="CH467" s="88">
        <v>4</v>
      </c>
      <c r="CI467" s="88">
        <v>0</v>
      </c>
      <c r="CJ467" s="88">
        <v>0</v>
      </c>
      <c r="CK467" s="88">
        <v>18</v>
      </c>
      <c r="CL467" s="88">
        <v>0</v>
      </c>
      <c r="CM467" s="88">
        <v>0</v>
      </c>
      <c r="CN467" s="88">
        <v>0</v>
      </c>
      <c r="CO467" s="88">
        <v>0</v>
      </c>
      <c r="CP467" s="88">
        <v>0</v>
      </c>
      <c r="CQ467" s="88">
        <v>7</v>
      </c>
      <c r="CR467" s="88">
        <v>0</v>
      </c>
      <c r="CS467" s="88">
        <v>0</v>
      </c>
      <c r="CT467" s="88">
        <v>0</v>
      </c>
      <c r="CU467" s="88">
        <v>0</v>
      </c>
      <c r="CV467" s="88">
        <v>0</v>
      </c>
      <c r="CW467" s="88">
        <v>139</v>
      </c>
      <c r="CX467" s="88">
        <v>0</v>
      </c>
      <c r="CY467" s="88">
        <v>0</v>
      </c>
      <c r="CZ467" s="88">
        <v>0</v>
      </c>
      <c r="DA467" s="88">
        <v>0</v>
      </c>
      <c r="DB467" s="88">
        <v>0</v>
      </c>
      <c r="DC467" s="88">
        <v>0</v>
      </c>
      <c r="DD467" s="88">
        <v>0</v>
      </c>
      <c r="DE467" s="88">
        <v>0</v>
      </c>
      <c r="DF467" s="88">
        <v>0</v>
      </c>
      <c r="DG467" s="88">
        <v>0</v>
      </c>
      <c r="DH467" s="88">
        <v>0</v>
      </c>
      <c r="DI467" s="88">
        <v>2</v>
      </c>
      <c r="DJ467" s="88">
        <v>0</v>
      </c>
      <c r="DK467" s="88">
        <v>0</v>
      </c>
      <c r="DL467" s="88">
        <v>0</v>
      </c>
      <c r="DM467" s="88">
        <v>0</v>
      </c>
      <c r="DN467" s="88">
        <v>0</v>
      </c>
      <c r="DO467" s="88">
        <v>0</v>
      </c>
      <c r="DP467" s="88">
        <v>0</v>
      </c>
      <c r="DQ467" s="88">
        <v>0</v>
      </c>
      <c r="DR467" s="87">
        <v>3</v>
      </c>
      <c r="DS467" s="87">
        <v>0</v>
      </c>
      <c r="DT467" s="87">
        <v>0</v>
      </c>
      <c r="DU467" s="87">
        <v>637</v>
      </c>
      <c r="DV467" s="87">
        <v>0</v>
      </c>
      <c r="DW467" s="87">
        <v>0</v>
      </c>
      <c r="DX467" s="87">
        <v>0</v>
      </c>
      <c r="DY467" s="87">
        <v>0</v>
      </c>
      <c r="DZ467" s="87">
        <v>0</v>
      </c>
      <c r="EA467" s="88">
        <v>1496</v>
      </c>
      <c r="EB467" s="88">
        <v>0</v>
      </c>
      <c r="EC467" s="88">
        <v>0</v>
      </c>
      <c r="ED467" s="88">
        <v>28</v>
      </c>
      <c r="EE467" s="88">
        <v>0</v>
      </c>
      <c r="EF467" s="88">
        <v>0</v>
      </c>
      <c r="EG467" s="88">
        <v>415</v>
      </c>
      <c r="EH467" s="88">
        <v>0</v>
      </c>
      <c r="EI467" s="88">
        <v>0</v>
      </c>
      <c r="EJ467" s="88">
        <v>138</v>
      </c>
      <c r="EK467" s="88">
        <v>0</v>
      </c>
      <c r="EL467" s="88">
        <v>0</v>
      </c>
      <c r="EM467" s="88">
        <v>220</v>
      </c>
      <c r="EN467" s="88">
        <v>0</v>
      </c>
      <c r="EO467" s="88">
        <v>0</v>
      </c>
      <c r="EP467" s="88">
        <v>162</v>
      </c>
      <c r="EQ467" s="88">
        <v>0</v>
      </c>
      <c r="ER467" s="88">
        <v>0</v>
      </c>
      <c r="ES467" s="88">
        <v>4</v>
      </c>
      <c r="ET467" s="88">
        <v>0</v>
      </c>
      <c r="EU467" s="88">
        <v>0</v>
      </c>
      <c r="EV467" s="88">
        <v>12</v>
      </c>
      <c r="EW467" s="88">
        <v>0</v>
      </c>
      <c r="EX467" s="88">
        <v>0</v>
      </c>
      <c r="EY467" s="88">
        <v>6</v>
      </c>
      <c r="EZ467" s="88">
        <v>0</v>
      </c>
      <c r="FA467" s="88">
        <v>0</v>
      </c>
      <c r="FB467" s="88">
        <v>1</v>
      </c>
      <c r="FC467" s="88">
        <v>0</v>
      </c>
      <c r="FD467" s="88">
        <v>0</v>
      </c>
      <c r="FE467" s="88">
        <v>0</v>
      </c>
      <c r="FF467" s="88">
        <v>0</v>
      </c>
      <c r="FG467" s="88">
        <v>0</v>
      </c>
      <c r="FH467" s="88">
        <v>2</v>
      </c>
      <c r="FI467" s="88">
        <v>0</v>
      </c>
      <c r="FJ467" s="88">
        <v>0</v>
      </c>
      <c r="FK467" s="32">
        <v>22</v>
      </c>
      <c r="FL467" s="88">
        <v>0</v>
      </c>
      <c r="FM467" s="88">
        <v>0</v>
      </c>
      <c r="FN467" s="88">
        <v>4482</v>
      </c>
      <c r="FO467" s="88">
        <v>0</v>
      </c>
      <c r="FP467" s="88">
        <v>0</v>
      </c>
      <c r="FQ467" s="88">
        <v>1589</v>
      </c>
      <c r="FR467" s="88">
        <v>0</v>
      </c>
      <c r="FS467" s="88">
        <v>0</v>
      </c>
      <c r="FT467" s="88">
        <v>0</v>
      </c>
      <c r="FU467" s="88">
        <v>0</v>
      </c>
      <c r="FV467" s="88">
        <v>0</v>
      </c>
      <c r="FW467" s="88">
        <v>158</v>
      </c>
      <c r="FX467" s="32">
        <v>0</v>
      </c>
      <c r="FY467" s="32">
        <v>0</v>
      </c>
      <c r="FZ467" s="32">
        <v>3</v>
      </c>
      <c r="GB467" s="46">
        <f t="shared" si="37"/>
        <v>10818</v>
      </c>
    </row>
    <row r="468" spans="1:184" s="22" customFormat="1" x14ac:dyDescent="0.2">
      <c r="A468" s="41">
        <v>45809</v>
      </c>
      <c r="B468" s="100">
        <f t="shared" si="47"/>
        <v>63339184.149999991</v>
      </c>
      <c r="C468" s="42">
        <v>26618</v>
      </c>
      <c r="D468" s="42">
        <v>228273.81000000003</v>
      </c>
      <c r="E468" s="43">
        <f t="shared" si="41"/>
        <v>254891.81000000003</v>
      </c>
      <c r="F468" s="42">
        <v>2001728.86</v>
      </c>
      <c r="G468" s="42">
        <v>1839861.1299999997</v>
      </c>
      <c r="H468" s="32">
        <f t="shared" si="40"/>
        <v>3841589.9899999998</v>
      </c>
      <c r="I468" s="42"/>
      <c r="J468" s="42"/>
      <c r="K468" s="98">
        <v>12442168.049999999</v>
      </c>
      <c r="L468" s="42"/>
      <c r="M468" s="42"/>
      <c r="N468" s="98">
        <v>20618838.889999997</v>
      </c>
      <c r="O468" s="42"/>
      <c r="P468" s="42"/>
      <c r="Q468" s="98">
        <v>25141664.339999996</v>
      </c>
      <c r="R468" s="42"/>
      <c r="S468" s="42"/>
      <c r="T468" s="42">
        <v>214717.61000000002</v>
      </c>
      <c r="U468" s="42">
        <v>2568.9899999999998</v>
      </c>
      <c r="V468" s="42">
        <v>1404.6999999999998</v>
      </c>
      <c r="W468" s="42">
        <f t="shared" si="42"/>
        <v>3973.6899999999996</v>
      </c>
      <c r="X468" s="42">
        <v>17958.54</v>
      </c>
      <c r="Y468" s="42">
        <v>10562.2</v>
      </c>
      <c r="Z468" s="32">
        <f t="shared" si="43"/>
        <v>28520.74</v>
      </c>
      <c r="AA468" s="42">
        <v>101650.11</v>
      </c>
      <c r="AB468" s="42">
        <v>102948.84000000001</v>
      </c>
      <c r="AC468" s="32">
        <f t="shared" si="44"/>
        <v>204598.95</v>
      </c>
      <c r="AD468" s="42">
        <v>1194.3899999999999</v>
      </c>
      <c r="AE468" s="42">
        <v>14829.72</v>
      </c>
      <c r="AF468" s="32">
        <f t="shared" si="45"/>
        <v>16024.109999999999</v>
      </c>
      <c r="AG468" s="32">
        <v>5457.58</v>
      </c>
      <c r="AH468" s="32">
        <v>69332.100000000006</v>
      </c>
      <c r="AI468" s="32">
        <f t="shared" si="46"/>
        <v>74789.680000000008</v>
      </c>
      <c r="AJ468" s="42"/>
      <c r="AK468" s="42"/>
      <c r="AL468" s="42">
        <v>18812.25</v>
      </c>
      <c r="AM468" s="42">
        <v>18392.91</v>
      </c>
      <c r="AN468" s="42">
        <v>41840.550000000003</v>
      </c>
      <c r="AO468" s="42">
        <f t="shared" si="39"/>
        <v>60233.460000000006</v>
      </c>
      <c r="AP468" s="42"/>
      <c r="AQ468" s="42"/>
      <c r="AR468" s="42">
        <v>418360.57999999996</v>
      </c>
      <c r="AS468" s="42"/>
      <c r="AT468" s="42"/>
      <c r="AU468" s="42">
        <v>1488105.1500000006</v>
      </c>
      <c r="AV468" s="42"/>
      <c r="AW468" s="42"/>
      <c r="AX468" s="42">
        <v>38996.480000000003</v>
      </c>
      <c r="AY468" s="42">
        <v>4679352.2</v>
      </c>
      <c r="AZ468" s="42">
        <v>815690.35</v>
      </c>
      <c r="BA468" s="43">
        <f t="shared" si="38"/>
        <v>5495042.5499999998</v>
      </c>
      <c r="BB468" s="42"/>
      <c r="BC468" s="42"/>
      <c r="BD468" s="42">
        <v>1153933.8888888888</v>
      </c>
      <c r="BE468" s="88">
        <v>0</v>
      </c>
      <c r="BF468" s="88">
        <v>0</v>
      </c>
      <c r="BG468" s="88">
        <v>89</v>
      </c>
      <c r="BH468" s="88">
        <v>0</v>
      </c>
      <c r="BI468" s="88">
        <v>0</v>
      </c>
      <c r="BJ468" s="88">
        <v>1</v>
      </c>
      <c r="BK468" s="88">
        <v>0</v>
      </c>
      <c r="BL468" s="88">
        <v>0</v>
      </c>
      <c r="BM468" s="88">
        <v>232</v>
      </c>
      <c r="BN468" s="88">
        <v>0</v>
      </c>
      <c r="BO468" s="88">
        <v>0</v>
      </c>
      <c r="BP468" s="88">
        <v>5</v>
      </c>
      <c r="BQ468" s="88">
        <v>0</v>
      </c>
      <c r="BR468" s="88">
        <v>0</v>
      </c>
      <c r="BS468" s="88">
        <v>606</v>
      </c>
      <c r="BT468" s="88">
        <v>0</v>
      </c>
      <c r="BU468" s="88">
        <v>0</v>
      </c>
      <c r="BV468" s="88">
        <v>0</v>
      </c>
      <c r="BW468" s="88">
        <v>0</v>
      </c>
      <c r="BX468" s="88">
        <v>0</v>
      </c>
      <c r="BY468" s="88">
        <v>2</v>
      </c>
      <c r="BZ468" s="88">
        <v>0</v>
      </c>
      <c r="CA468" s="88">
        <v>0</v>
      </c>
      <c r="CB468" s="88">
        <v>398</v>
      </c>
      <c r="CC468" s="88">
        <v>0</v>
      </c>
      <c r="CD468" s="88">
        <v>0</v>
      </c>
      <c r="CE468" s="88">
        <v>35</v>
      </c>
      <c r="CF468" s="88">
        <v>0</v>
      </c>
      <c r="CG468" s="88">
        <v>0</v>
      </c>
      <c r="CH468" s="88">
        <v>4</v>
      </c>
      <c r="CI468" s="88">
        <v>0</v>
      </c>
      <c r="CJ468" s="88">
        <v>0</v>
      </c>
      <c r="CK468" s="88">
        <v>15</v>
      </c>
      <c r="CL468" s="88">
        <v>0</v>
      </c>
      <c r="CM468" s="88">
        <v>0</v>
      </c>
      <c r="CN468" s="88">
        <v>0</v>
      </c>
      <c r="CO468" s="88">
        <v>0</v>
      </c>
      <c r="CP468" s="88">
        <v>0</v>
      </c>
      <c r="CQ468" s="88">
        <v>25</v>
      </c>
      <c r="CR468" s="88">
        <v>0</v>
      </c>
      <c r="CS468" s="88">
        <v>0</v>
      </c>
      <c r="CT468" s="88">
        <v>0</v>
      </c>
      <c r="CU468" s="88">
        <v>0</v>
      </c>
      <c r="CV468" s="88">
        <v>0</v>
      </c>
      <c r="CW468" s="88">
        <v>110</v>
      </c>
      <c r="CX468" s="88">
        <v>0</v>
      </c>
      <c r="CY468" s="88">
        <v>0</v>
      </c>
      <c r="CZ468" s="88">
        <v>2</v>
      </c>
      <c r="DA468" s="88">
        <v>0</v>
      </c>
      <c r="DB468" s="88">
        <v>0</v>
      </c>
      <c r="DC468" s="88">
        <v>0</v>
      </c>
      <c r="DD468" s="88">
        <v>0</v>
      </c>
      <c r="DE468" s="88">
        <v>0</v>
      </c>
      <c r="DF468" s="88">
        <v>0</v>
      </c>
      <c r="DG468" s="88">
        <v>0</v>
      </c>
      <c r="DH468" s="88">
        <v>0</v>
      </c>
      <c r="DI468" s="88">
        <v>4</v>
      </c>
      <c r="DJ468" s="88">
        <v>0</v>
      </c>
      <c r="DK468" s="88">
        <v>0</v>
      </c>
      <c r="DL468" s="88">
        <v>0</v>
      </c>
      <c r="DM468" s="88">
        <v>0</v>
      </c>
      <c r="DN468" s="88">
        <v>0</v>
      </c>
      <c r="DO468" s="88">
        <v>0</v>
      </c>
      <c r="DP468" s="88">
        <v>0</v>
      </c>
      <c r="DQ468" s="88">
        <v>0</v>
      </c>
      <c r="DR468" s="87">
        <v>26</v>
      </c>
      <c r="DS468" s="87">
        <v>0</v>
      </c>
      <c r="DT468" s="87">
        <v>0</v>
      </c>
      <c r="DU468" s="87">
        <v>646</v>
      </c>
      <c r="DV468" s="87">
        <v>0</v>
      </c>
      <c r="DW468" s="87">
        <v>0</v>
      </c>
      <c r="DX468" s="87">
        <v>0</v>
      </c>
      <c r="DY468" s="87">
        <v>0</v>
      </c>
      <c r="DZ468" s="87">
        <v>0</v>
      </c>
      <c r="EA468" s="88">
        <v>1318</v>
      </c>
      <c r="EB468" s="88">
        <v>0</v>
      </c>
      <c r="EC468" s="88">
        <v>0</v>
      </c>
      <c r="ED468" s="88">
        <v>84</v>
      </c>
      <c r="EE468" s="88">
        <v>0</v>
      </c>
      <c r="EF468" s="88">
        <v>0</v>
      </c>
      <c r="EG468" s="88">
        <v>495</v>
      </c>
      <c r="EH468" s="88">
        <v>0</v>
      </c>
      <c r="EI468" s="88">
        <v>0</v>
      </c>
      <c r="EJ468" s="88">
        <v>154</v>
      </c>
      <c r="EK468" s="88">
        <v>0</v>
      </c>
      <c r="EL468" s="88">
        <v>0</v>
      </c>
      <c r="EM468" s="88">
        <v>198</v>
      </c>
      <c r="EN468" s="88">
        <v>0</v>
      </c>
      <c r="EO468" s="88">
        <v>0</v>
      </c>
      <c r="EP468" s="88">
        <v>102</v>
      </c>
      <c r="EQ468" s="88">
        <v>0</v>
      </c>
      <c r="ER468" s="88">
        <v>0</v>
      </c>
      <c r="ES468" s="88">
        <v>13</v>
      </c>
      <c r="ET468" s="88">
        <v>0</v>
      </c>
      <c r="EU468" s="88">
        <v>0</v>
      </c>
      <c r="EV468" s="88">
        <v>11</v>
      </c>
      <c r="EW468" s="88">
        <v>0</v>
      </c>
      <c r="EX468" s="88">
        <v>0</v>
      </c>
      <c r="EY468" s="88">
        <v>6</v>
      </c>
      <c r="EZ468" s="88">
        <v>0</v>
      </c>
      <c r="FA468" s="88">
        <v>0</v>
      </c>
      <c r="FB468" s="88">
        <v>2</v>
      </c>
      <c r="FC468" s="88">
        <v>0</v>
      </c>
      <c r="FD468" s="88">
        <v>0</v>
      </c>
      <c r="FE468" s="88">
        <v>2</v>
      </c>
      <c r="FF468" s="88">
        <v>0</v>
      </c>
      <c r="FG468" s="88">
        <v>0</v>
      </c>
      <c r="FH468" s="88">
        <v>4</v>
      </c>
      <c r="FI468" s="88">
        <v>0</v>
      </c>
      <c r="FJ468" s="88">
        <v>0</v>
      </c>
      <c r="FK468" s="32">
        <v>24</v>
      </c>
      <c r="FL468" s="88">
        <v>0</v>
      </c>
      <c r="FM468" s="88">
        <v>0</v>
      </c>
      <c r="FN468" s="88">
        <v>3470</v>
      </c>
      <c r="FO468" s="88">
        <v>0</v>
      </c>
      <c r="FP468" s="88">
        <v>0</v>
      </c>
      <c r="FQ468" s="88">
        <v>1089</v>
      </c>
      <c r="FR468" s="88">
        <v>0</v>
      </c>
      <c r="FS468" s="88">
        <v>0</v>
      </c>
      <c r="FT468" s="88">
        <v>0</v>
      </c>
      <c r="FU468" s="88">
        <v>0</v>
      </c>
      <c r="FV468" s="88">
        <v>0</v>
      </c>
      <c r="FW468" s="88">
        <v>109</v>
      </c>
      <c r="FX468" s="32">
        <v>0</v>
      </c>
      <c r="FY468" s="32">
        <v>0</v>
      </c>
      <c r="FZ468" s="32">
        <v>3</v>
      </c>
      <c r="GB468" s="46">
        <f t="shared" si="37"/>
        <v>9284</v>
      </c>
    </row>
    <row r="469" spans="1:184" s="22" customFormat="1" x14ac:dyDescent="0.2">
      <c r="A469" s="41">
        <v>45839</v>
      </c>
      <c r="B469" s="100">
        <f t="shared" si="47"/>
        <v>71911747.640000015</v>
      </c>
      <c r="C469" s="42">
        <v>19381.97</v>
      </c>
      <c r="D469" s="42">
        <v>204995.04</v>
      </c>
      <c r="E469" s="43">
        <f t="shared" si="41"/>
        <v>224377.01</v>
      </c>
      <c r="F469" s="42">
        <v>2767620.1100000003</v>
      </c>
      <c r="G469" s="42">
        <v>2151143.0299999998</v>
      </c>
      <c r="H469" s="32">
        <f t="shared" si="40"/>
        <v>4918763.1400000006</v>
      </c>
      <c r="I469" s="42"/>
      <c r="J469" s="42"/>
      <c r="K469" s="98">
        <v>12737792.640000002</v>
      </c>
      <c r="L469" s="42"/>
      <c r="M469" s="42"/>
      <c r="N469" s="98">
        <v>22235592.789999999</v>
      </c>
      <c r="O469" s="42"/>
      <c r="P469" s="42"/>
      <c r="Q469" s="98">
        <v>30642475.630000003</v>
      </c>
      <c r="R469" s="42"/>
      <c r="S469" s="42"/>
      <c r="T469" s="42">
        <v>158978.35</v>
      </c>
      <c r="U469" s="42">
        <v>1791.43</v>
      </c>
      <c r="V469" s="42">
        <v>1199.93</v>
      </c>
      <c r="W469" s="42">
        <f t="shared" si="42"/>
        <v>2991.36</v>
      </c>
      <c r="X469" s="42">
        <v>51291.5</v>
      </c>
      <c r="Y469" s="42">
        <v>8010.8200000000006</v>
      </c>
      <c r="Z469" s="32">
        <f t="shared" si="43"/>
        <v>59302.32</v>
      </c>
      <c r="AA469" s="42">
        <v>125759.91000000002</v>
      </c>
      <c r="AB469" s="42">
        <v>146436.94</v>
      </c>
      <c r="AC469" s="32">
        <f t="shared" si="44"/>
        <v>272196.85000000003</v>
      </c>
      <c r="AD469" s="42">
        <v>1206.83</v>
      </c>
      <c r="AE469" s="42">
        <v>27474.93</v>
      </c>
      <c r="AF469" s="32">
        <f t="shared" si="45"/>
        <v>28681.760000000002</v>
      </c>
      <c r="AG469" s="32">
        <v>7140.7899999999991</v>
      </c>
      <c r="AH469" s="32">
        <v>79634.25</v>
      </c>
      <c r="AI469" s="32">
        <f t="shared" si="46"/>
        <v>86775.039999999994</v>
      </c>
      <c r="AJ469" s="42"/>
      <c r="AK469" s="42"/>
      <c r="AL469" s="42">
        <v>18743.400000000001</v>
      </c>
      <c r="AM469" s="42">
        <v>19812.37</v>
      </c>
      <c r="AN469" s="42">
        <v>78803.92</v>
      </c>
      <c r="AO469" s="42">
        <f t="shared" si="39"/>
        <v>98616.29</v>
      </c>
      <c r="AP469" s="42"/>
      <c r="AQ469" s="42"/>
      <c r="AR469" s="42">
        <v>426461.06</v>
      </c>
      <c r="AS469" s="42"/>
      <c r="AT469" s="42"/>
      <c r="AU469" s="42">
        <v>1522001.47</v>
      </c>
      <c r="AV469" s="42"/>
      <c r="AW469" s="42"/>
      <c r="AX469" s="42">
        <v>50087.899999999994</v>
      </c>
      <c r="AY469" s="42">
        <v>4700094</v>
      </c>
      <c r="AZ469" s="42">
        <v>881920</v>
      </c>
      <c r="BA469" s="43">
        <f t="shared" si="38"/>
        <v>5582014</v>
      </c>
      <c r="BB469" s="42"/>
      <c r="BC469" s="42"/>
      <c r="BD469" s="42">
        <v>1316178.222222222</v>
      </c>
      <c r="BE469" s="88">
        <v>0</v>
      </c>
      <c r="BF469" s="88">
        <v>0</v>
      </c>
      <c r="BG469" s="88">
        <v>106</v>
      </c>
      <c r="BH469" s="88">
        <v>0</v>
      </c>
      <c r="BI469" s="88">
        <v>0</v>
      </c>
      <c r="BJ469" s="88">
        <v>0</v>
      </c>
      <c r="BK469" s="88">
        <v>0</v>
      </c>
      <c r="BL469" s="88">
        <v>0</v>
      </c>
      <c r="BM469" s="88">
        <v>245</v>
      </c>
      <c r="BN469" s="88">
        <v>0</v>
      </c>
      <c r="BO469" s="88">
        <v>0</v>
      </c>
      <c r="BP469" s="88">
        <v>1</v>
      </c>
      <c r="BQ469" s="88">
        <v>0</v>
      </c>
      <c r="BR469" s="88">
        <v>0</v>
      </c>
      <c r="BS469" s="88">
        <v>701</v>
      </c>
      <c r="BT469" s="88">
        <v>0</v>
      </c>
      <c r="BU469" s="88">
        <v>0</v>
      </c>
      <c r="BV469" s="88">
        <v>0</v>
      </c>
      <c r="BW469" s="88">
        <v>0</v>
      </c>
      <c r="BX469" s="88">
        <v>0</v>
      </c>
      <c r="BY469" s="88">
        <v>1</v>
      </c>
      <c r="BZ469" s="88">
        <v>0</v>
      </c>
      <c r="CA469" s="88">
        <v>0</v>
      </c>
      <c r="CB469" s="88">
        <v>381</v>
      </c>
      <c r="CC469" s="88">
        <v>0</v>
      </c>
      <c r="CD469" s="88">
        <v>0</v>
      </c>
      <c r="CE469" s="88">
        <v>23</v>
      </c>
      <c r="CF469" s="88">
        <v>0</v>
      </c>
      <c r="CG469" s="88">
        <v>0</v>
      </c>
      <c r="CH469" s="88">
        <v>1</v>
      </c>
      <c r="CI469" s="88">
        <v>0</v>
      </c>
      <c r="CJ469" s="88">
        <v>0</v>
      </c>
      <c r="CK469" s="88">
        <v>11</v>
      </c>
      <c r="CL469" s="88">
        <v>0</v>
      </c>
      <c r="CM469" s="88">
        <v>0</v>
      </c>
      <c r="CN469" s="88">
        <v>0</v>
      </c>
      <c r="CO469" s="88">
        <v>0</v>
      </c>
      <c r="CP469" s="88">
        <v>0</v>
      </c>
      <c r="CQ469" s="88">
        <v>0</v>
      </c>
      <c r="CR469" s="88">
        <v>0</v>
      </c>
      <c r="CS469" s="88">
        <v>0</v>
      </c>
      <c r="CT469" s="88">
        <v>1</v>
      </c>
      <c r="CU469" s="88">
        <v>0</v>
      </c>
      <c r="CV469" s="88">
        <v>0</v>
      </c>
      <c r="CW469" s="88">
        <v>119</v>
      </c>
      <c r="CX469" s="88">
        <v>0</v>
      </c>
      <c r="CY469" s="88">
        <v>0</v>
      </c>
      <c r="CZ469" s="88">
        <v>11</v>
      </c>
      <c r="DA469" s="88">
        <v>0</v>
      </c>
      <c r="DB469" s="88">
        <v>0</v>
      </c>
      <c r="DC469" s="88">
        <v>0</v>
      </c>
      <c r="DD469" s="88">
        <v>0</v>
      </c>
      <c r="DE469" s="88">
        <v>0</v>
      </c>
      <c r="DF469" s="88">
        <v>0</v>
      </c>
      <c r="DG469" s="88">
        <v>0</v>
      </c>
      <c r="DH469" s="88">
        <v>0</v>
      </c>
      <c r="DI469" s="88">
        <v>0</v>
      </c>
      <c r="DJ469" s="88">
        <v>0</v>
      </c>
      <c r="DK469" s="88">
        <v>0</v>
      </c>
      <c r="DL469" s="88">
        <v>1</v>
      </c>
      <c r="DM469" s="88">
        <v>0</v>
      </c>
      <c r="DN469" s="88">
        <v>0</v>
      </c>
      <c r="DO469" s="88">
        <v>0</v>
      </c>
      <c r="DP469" s="88">
        <v>0</v>
      </c>
      <c r="DQ469" s="88">
        <v>0</v>
      </c>
      <c r="DR469" s="88">
        <v>0</v>
      </c>
      <c r="DS469" s="87">
        <v>0</v>
      </c>
      <c r="DT469" s="87">
        <v>0</v>
      </c>
      <c r="DU469" s="87">
        <v>815</v>
      </c>
      <c r="DV469" s="87">
        <v>0</v>
      </c>
      <c r="DW469" s="87">
        <v>0</v>
      </c>
      <c r="DX469" s="87">
        <v>0</v>
      </c>
      <c r="DY469" s="87">
        <v>0</v>
      </c>
      <c r="DZ469" s="87">
        <v>0</v>
      </c>
      <c r="EA469" s="88">
        <v>1506</v>
      </c>
      <c r="EB469" s="88">
        <v>0</v>
      </c>
      <c r="EC469" s="88">
        <v>0</v>
      </c>
      <c r="ED469" s="88">
        <v>1</v>
      </c>
      <c r="EE469" s="88">
        <v>0</v>
      </c>
      <c r="EF469" s="88">
        <v>0</v>
      </c>
      <c r="EG469" s="88">
        <v>465</v>
      </c>
      <c r="EH469" s="88">
        <v>0</v>
      </c>
      <c r="EI469" s="88">
        <v>0</v>
      </c>
      <c r="EJ469" s="88">
        <v>601</v>
      </c>
      <c r="EK469" s="88">
        <v>0</v>
      </c>
      <c r="EL469" s="88">
        <v>0</v>
      </c>
      <c r="EM469" s="88">
        <v>170</v>
      </c>
      <c r="EN469" s="88">
        <v>0</v>
      </c>
      <c r="EO469" s="88">
        <v>0</v>
      </c>
      <c r="EP469" s="88">
        <v>135</v>
      </c>
      <c r="EQ469" s="88">
        <v>0</v>
      </c>
      <c r="ER469" s="88">
        <v>0</v>
      </c>
      <c r="ES469" s="88">
        <v>4</v>
      </c>
      <c r="ET469" s="88">
        <v>0</v>
      </c>
      <c r="EU469" s="88">
        <v>0</v>
      </c>
      <c r="EV469" s="88">
        <v>3</v>
      </c>
      <c r="EW469" s="88">
        <v>0</v>
      </c>
      <c r="EX469" s="88">
        <v>0</v>
      </c>
      <c r="EY469" s="88">
        <v>3</v>
      </c>
      <c r="EZ469" s="88">
        <v>0</v>
      </c>
      <c r="FA469" s="88">
        <v>0</v>
      </c>
      <c r="FB469" s="88">
        <v>3</v>
      </c>
      <c r="FC469" s="88">
        <v>0</v>
      </c>
      <c r="FD469" s="88">
        <v>0</v>
      </c>
      <c r="FE469" s="88">
        <v>4</v>
      </c>
      <c r="FF469" s="88">
        <v>0</v>
      </c>
      <c r="FG469" s="88">
        <v>0</v>
      </c>
      <c r="FH469" s="88">
        <v>1</v>
      </c>
      <c r="FI469" s="88">
        <v>0</v>
      </c>
      <c r="FJ469" s="88">
        <v>0</v>
      </c>
      <c r="FK469" s="32">
        <v>28</v>
      </c>
      <c r="FL469" s="88">
        <v>0</v>
      </c>
      <c r="FM469" s="88">
        <v>0</v>
      </c>
      <c r="FN469" s="88">
        <v>4413</v>
      </c>
      <c r="FO469" s="88">
        <v>0</v>
      </c>
      <c r="FP469" s="88">
        <v>0</v>
      </c>
      <c r="FQ469" s="88">
        <v>888</v>
      </c>
      <c r="FR469" s="88">
        <v>0</v>
      </c>
      <c r="FS469" s="88">
        <v>0</v>
      </c>
      <c r="FT469" s="88">
        <v>0</v>
      </c>
      <c r="FU469" s="88">
        <v>0</v>
      </c>
      <c r="FV469" s="88">
        <v>0</v>
      </c>
      <c r="FW469" s="88">
        <v>111</v>
      </c>
      <c r="FX469" s="32">
        <v>0</v>
      </c>
      <c r="FY469" s="32">
        <v>0</v>
      </c>
      <c r="FZ469" s="32">
        <v>24</v>
      </c>
      <c r="GB469" s="46">
        <f t="shared" si="37"/>
        <v>10777</v>
      </c>
    </row>
    <row r="470" spans="1:184" s="22" customFormat="1" x14ac:dyDescent="0.2">
      <c r="A470" s="41">
        <v>45870</v>
      </c>
      <c r="B470" s="100">
        <f t="shared" si="47"/>
        <v>71907071.919999987</v>
      </c>
      <c r="C470" s="42">
        <v>17197.73</v>
      </c>
      <c r="D470" s="42">
        <v>188450.81999999998</v>
      </c>
      <c r="E470" s="43">
        <f t="shared" si="41"/>
        <v>205648.55</v>
      </c>
      <c r="F470" s="42">
        <v>3348371.62</v>
      </c>
      <c r="G470" s="42">
        <v>2927013.7299999995</v>
      </c>
      <c r="H470" s="32">
        <f t="shared" si="40"/>
        <v>6275385.3499999996</v>
      </c>
      <c r="I470" s="42"/>
      <c r="J470" s="42"/>
      <c r="K470" s="98">
        <v>14702994.059999999</v>
      </c>
      <c r="L470" s="42"/>
      <c r="M470" s="42"/>
      <c r="N470" s="98">
        <v>22665674.859999996</v>
      </c>
      <c r="O470" s="42"/>
      <c r="P470" s="42"/>
      <c r="Q470" s="98">
        <v>26598444.430000003</v>
      </c>
      <c r="R470" s="42"/>
      <c r="S470" s="42"/>
      <c r="T470" s="42">
        <v>182615.30000000002</v>
      </c>
      <c r="U470" s="42">
        <v>1942.6599999999999</v>
      </c>
      <c r="V470" s="42">
        <v>1121</v>
      </c>
      <c r="W470" s="42">
        <f t="shared" si="42"/>
        <v>3063.66</v>
      </c>
      <c r="X470" s="42">
        <v>15939.2</v>
      </c>
      <c r="Y470" s="42">
        <v>5790.75</v>
      </c>
      <c r="Z470" s="32">
        <f t="shared" si="43"/>
        <v>21729.95</v>
      </c>
      <c r="AA470" s="42">
        <v>102200.33</v>
      </c>
      <c r="AB470" s="42">
        <v>215445.47000000003</v>
      </c>
      <c r="AC470" s="32">
        <f t="shared" si="44"/>
        <v>317645.80000000005</v>
      </c>
      <c r="AD470" s="42">
        <v>819.95</v>
      </c>
      <c r="AE470" s="42">
        <v>12021.659999999998</v>
      </c>
      <c r="AF470" s="32">
        <f t="shared" si="45"/>
        <v>12841.609999999999</v>
      </c>
      <c r="AG470" s="32">
        <v>4673.13</v>
      </c>
      <c r="AH470" s="32">
        <v>89041.45</v>
      </c>
      <c r="AI470" s="32">
        <f t="shared" si="46"/>
        <v>93714.58</v>
      </c>
      <c r="AJ470" s="42"/>
      <c r="AK470" s="42"/>
      <c r="AL470" s="42">
        <v>24117.75</v>
      </c>
      <c r="AM470" s="42">
        <v>74058.05</v>
      </c>
      <c r="AN470" s="42">
        <v>100059.09</v>
      </c>
      <c r="AO470" s="42">
        <f t="shared" si="39"/>
        <v>174117.14</v>
      </c>
      <c r="AP470" s="42"/>
      <c r="AQ470" s="42"/>
      <c r="AR470" s="42">
        <v>629078.88</v>
      </c>
      <c r="AS470" s="42"/>
      <c r="AT470" s="42"/>
      <c r="AU470" s="42">
        <v>1184623.2200000007</v>
      </c>
      <c r="AV470" s="42"/>
      <c r="AW470" s="42"/>
      <c r="AX470" s="42">
        <v>45503.54</v>
      </c>
      <c r="AY470" s="42">
        <v>4626178.2</v>
      </c>
      <c r="AZ470" s="42">
        <v>944910</v>
      </c>
      <c r="BA470" s="43">
        <f t="shared" si="38"/>
        <v>5571088.2000000002</v>
      </c>
      <c r="BB470" s="42"/>
      <c r="BC470" s="42"/>
      <c r="BD470" s="42">
        <v>1257342.2222222222</v>
      </c>
      <c r="BE470" s="88">
        <v>0</v>
      </c>
      <c r="BF470" s="88">
        <v>0</v>
      </c>
      <c r="BG470" s="88">
        <v>98</v>
      </c>
      <c r="BH470" s="88">
        <v>0</v>
      </c>
      <c r="BI470" s="88">
        <v>0</v>
      </c>
      <c r="BJ470" s="88">
        <v>0</v>
      </c>
      <c r="BK470" s="88">
        <v>0</v>
      </c>
      <c r="BL470" s="88">
        <v>0</v>
      </c>
      <c r="BM470" s="88">
        <v>214</v>
      </c>
      <c r="BN470" s="88">
        <v>0</v>
      </c>
      <c r="BO470" s="88">
        <v>0</v>
      </c>
      <c r="BP470" s="88">
        <v>1</v>
      </c>
      <c r="BQ470" s="88">
        <v>0</v>
      </c>
      <c r="BR470" s="88">
        <v>0</v>
      </c>
      <c r="BS470" s="88">
        <v>693</v>
      </c>
      <c r="BT470" s="88">
        <v>0</v>
      </c>
      <c r="BU470" s="88">
        <v>0</v>
      </c>
      <c r="BV470" s="88">
        <v>6</v>
      </c>
      <c r="BW470" s="88">
        <v>0</v>
      </c>
      <c r="BX470" s="88">
        <v>0</v>
      </c>
      <c r="BY470" s="88">
        <v>2</v>
      </c>
      <c r="BZ470" s="88">
        <v>0</v>
      </c>
      <c r="CA470" s="88">
        <v>0</v>
      </c>
      <c r="CB470" s="88">
        <v>409</v>
      </c>
      <c r="CC470" s="88">
        <v>0</v>
      </c>
      <c r="CD470" s="88">
        <v>0</v>
      </c>
      <c r="CE470" s="88">
        <v>41</v>
      </c>
      <c r="CF470" s="88">
        <v>0</v>
      </c>
      <c r="CG470" s="88">
        <v>0</v>
      </c>
      <c r="CH470" s="88">
        <v>4</v>
      </c>
      <c r="CI470" s="88">
        <v>0</v>
      </c>
      <c r="CJ470" s="88">
        <v>0</v>
      </c>
      <c r="CK470" s="88">
        <v>15</v>
      </c>
      <c r="CL470" s="88">
        <v>0</v>
      </c>
      <c r="CM470" s="88">
        <v>0</v>
      </c>
      <c r="CN470" s="88">
        <v>0</v>
      </c>
      <c r="CO470" s="88">
        <v>0</v>
      </c>
      <c r="CP470" s="88">
        <v>0</v>
      </c>
      <c r="CQ470" s="88">
        <v>3</v>
      </c>
      <c r="CR470" s="88">
        <v>0</v>
      </c>
      <c r="CS470" s="88">
        <v>0</v>
      </c>
      <c r="CT470" s="88">
        <v>0</v>
      </c>
      <c r="CU470" s="88">
        <v>0</v>
      </c>
      <c r="CV470" s="88">
        <v>0</v>
      </c>
      <c r="CW470" s="88">
        <v>114</v>
      </c>
      <c r="CX470" s="88">
        <v>0</v>
      </c>
      <c r="CY470" s="88">
        <v>0</v>
      </c>
      <c r="CZ470" s="88">
        <v>7</v>
      </c>
      <c r="DA470" s="88">
        <v>0</v>
      </c>
      <c r="DB470" s="88">
        <v>0</v>
      </c>
      <c r="DC470" s="88">
        <v>0</v>
      </c>
      <c r="DD470" s="88">
        <v>0</v>
      </c>
      <c r="DE470" s="88">
        <v>0</v>
      </c>
      <c r="DF470" s="88">
        <v>0</v>
      </c>
      <c r="DG470" s="88">
        <v>0</v>
      </c>
      <c r="DH470" s="88">
        <v>0</v>
      </c>
      <c r="DI470" s="88">
        <v>0</v>
      </c>
      <c r="DJ470" s="88">
        <v>0</v>
      </c>
      <c r="DK470" s="88">
        <v>0</v>
      </c>
      <c r="DL470" s="88">
        <v>0</v>
      </c>
      <c r="DM470" s="88">
        <v>0</v>
      </c>
      <c r="DN470" s="88">
        <v>0</v>
      </c>
      <c r="DO470" s="88">
        <v>0</v>
      </c>
      <c r="DP470" s="88">
        <v>0</v>
      </c>
      <c r="DQ470" s="88">
        <v>0</v>
      </c>
      <c r="DR470" s="87">
        <v>1</v>
      </c>
      <c r="DS470" s="87">
        <v>0</v>
      </c>
      <c r="DT470" s="87">
        <v>0</v>
      </c>
      <c r="DU470" s="87">
        <v>894</v>
      </c>
      <c r="DV470" s="87">
        <v>0</v>
      </c>
      <c r="DW470" s="87">
        <v>0</v>
      </c>
      <c r="DX470" s="87">
        <v>0</v>
      </c>
      <c r="DY470" s="87">
        <v>0</v>
      </c>
      <c r="DZ470" s="87">
        <v>0</v>
      </c>
      <c r="EA470" s="88">
        <v>1080</v>
      </c>
      <c r="EB470" s="88">
        <v>0</v>
      </c>
      <c r="EC470" s="88">
        <v>0</v>
      </c>
      <c r="ED470" s="88">
        <v>41</v>
      </c>
      <c r="EE470" s="88">
        <v>0</v>
      </c>
      <c r="EF470" s="88">
        <v>0</v>
      </c>
      <c r="EG470" s="88">
        <v>546</v>
      </c>
      <c r="EH470" s="88">
        <v>0</v>
      </c>
      <c r="EI470" s="88">
        <v>0</v>
      </c>
      <c r="EJ470" s="88">
        <v>294</v>
      </c>
      <c r="EK470" s="88">
        <v>0</v>
      </c>
      <c r="EL470" s="88">
        <v>0</v>
      </c>
      <c r="EM470" s="88">
        <v>172</v>
      </c>
      <c r="EN470" s="88">
        <v>0</v>
      </c>
      <c r="EO470" s="88">
        <v>0</v>
      </c>
      <c r="EP470" s="88">
        <v>137</v>
      </c>
      <c r="EQ470" s="88">
        <v>0</v>
      </c>
      <c r="ER470" s="88">
        <v>0</v>
      </c>
      <c r="ES470" s="88">
        <v>3</v>
      </c>
      <c r="ET470" s="88">
        <v>0</v>
      </c>
      <c r="EU470" s="88">
        <v>0</v>
      </c>
      <c r="EV470" s="88">
        <v>2</v>
      </c>
      <c r="EW470" s="88">
        <v>0</v>
      </c>
      <c r="EX470" s="88">
        <v>0</v>
      </c>
      <c r="EY470" s="88">
        <v>7</v>
      </c>
      <c r="EZ470" s="88">
        <v>0</v>
      </c>
      <c r="FA470" s="88">
        <v>0</v>
      </c>
      <c r="FB470" s="88">
        <v>4</v>
      </c>
      <c r="FC470" s="88">
        <v>0</v>
      </c>
      <c r="FD470" s="88">
        <v>0</v>
      </c>
      <c r="FE470" s="88">
        <v>4</v>
      </c>
      <c r="FF470" s="88">
        <v>0</v>
      </c>
      <c r="FG470" s="88">
        <v>0</v>
      </c>
      <c r="FH470" s="88">
        <v>3</v>
      </c>
      <c r="FI470" s="88">
        <v>0</v>
      </c>
      <c r="FJ470" s="88">
        <v>0</v>
      </c>
      <c r="FK470" s="32">
        <v>114</v>
      </c>
      <c r="FL470" s="88">
        <v>0</v>
      </c>
      <c r="FM470" s="88">
        <v>0</v>
      </c>
      <c r="FN470" s="88">
        <v>3788</v>
      </c>
      <c r="FO470" s="88">
        <v>0</v>
      </c>
      <c r="FP470" s="88">
        <v>0</v>
      </c>
      <c r="FQ470" s="88">
        <v>824</v>
      </c>
      <c r="FR470" s="88">
        <v>0</v>
      </c>
      <c r="FS470" s="88">
        <v>0</v>
      </c>
      <c r="FT470" s="88">
        <v>0</v>
      </c>
      <c r="FU470" s="88">
        <v>0</v>
      </c>
      <c r="FV470" s="88">
        <v>0</v>
      </c>
      <c r="FW470" s="88">
        <v>124</v>
      </c>
      <c r="FX470" s="32">
        <v>0</v>
      </c>
      <c r="FY470" s="32">
        <v>0</v>
      </c>
      <c r="FZ470" s="32">
        <v>54</v>
      </c>
      <c r="GB470" s="46">
        <f t="shared" si="37"/>
        <v>9699</v>
      </c>
    </row>
    <row r="471" spans="1:184" s="22" customFormat="1" x14ac:dyDescent="0.2">
      <c r="A471" s="41">
        <v>45901</v>
      </c>
      <c r="B471" s="100">
        <f t="shared" si="47"/>
        <v>73075454.390000001</v>
      </c>
      <c r="C471" s="42">
        <v>22863.27</v>
      </c>
      <c r="D471" s="42">
        <v>201686.31</v>
      </c>
      <c r="E471" s="43">
        <f t="shared" si="41"/>
        <v>224549.58</v>
      </c>
      <c r="F471" s="42">
        <v>3412677.26</v>
      </c>
      <c r="G471" s="42">
        <v>3756316.4000000004</v>
      </c>
      <c r="H471" s="32">
        <f t="shared" si="40"/>
        <v>7168993.6600000001</v>
      </c>
      <c r="I471" s="42"/>
      <c r="J471" s="42"/>
      <c r="K471" s="98">
        <v>13890458.749999998</v>
      </c>
      <c r="L471" s="42"/>
      <c r="M471" s="42"/>
      <c r="N471" s="98">
        <v>23159140.470000003</v>
      </c>
      <c r="O471" s="42"/>
      <c r="P471" s="42"/>
      <c r="Q471" s="98">
        <v>27497104.010000002</v>
      </c>
      <c r="R471" s="42"/>
      <c r="S471" s="42"/>
      <c r="T471" s="42">
        <v>146914.85</v>
      </c>
      <c r="U471" s="42">
        <v>2713.64</v>
      </c>
      <c r="V471" s="42">
        <v>1722.6</v>
      </c>
      <c r="W471" s="42">
        <f t="shared" si="42"/>
        <v>4436.24</v>
      </c>
      <c r="X471" s="42">
        <v>66187.5</v>
      </c>
      <c r="Y471" s="42">
        <v>5694.9299999999994</v>
      </c>
      <c r="Z471" s="32">
        <f t="shared" si="43"/>
        <v>71882.429999999993</v>
      </c>
      <c r="AA471" s="42">
        <v>27048.23</v>
      </c>
      <c r="AB471" s="42">
        <v>93981.24</v>
      </c>
      <c r="AC471" s="32">
        <f t="shared" si="44"/>
        <v>121029.47</v>
      </c>
      <c r="AD471" s="42">
        <v>3241.55</v>
      </c>
      <c r="AE471" s="42">
        <v>30582.410000000003</v>
      </c>
      <c r="AF471" s="32">
        <f t="shared" si="45"/>
        <v>33823.960000000006</v>
      </c>
      <c r="AG471" s="32">
        <v>5784.54</v>
      </c>
      <c r="AH471" s="32">
        <v>95467.610000000015</v>
      </c>
      <c r="AI471" s="32">
        <f t="shared" si="46"/>
        <v>101252.15000000001</v>
      </c>
      <c r="AJ471" s="42"/>
      <c r="AK471" s="42"/>
      <c r="AL471" s="42">
        <v>27842.400000000001</v>
      </c>
      <c r="AM471" s="42">
        <v>95693.84</v>
      </c>
      <c r="AN471" s="42">
        <v>90553.38</v>
      </c>
      <c r="AO471" s="42">
        <f t="shared" si="39"/>
        <v>186247.22</v>
      </c>
      <c r="AP471" s="42"/>
      <c r="AQ471" s="42"/>
      <c r="AR471" s="42">
        <v>441779.20000000001</v>
      </c>
      <c r="AS471" s="42"/>
      <c r="AT471" s="42"/>
      <c r="AU471" s="42">
        <v>1671466.6800000004</v>
      </c>
      <c r="AV471" s="42"/>
      <c r="AW471" s="42"/>
      <c r="AX471" s="42">
        <v>36883.89</v>
      </c>
      <c r="AY471" s="42">
        <v>4905064.3</v>
      </c>
      <c r="AZ471" s="42">
        <v>958460</v>
      </c>
      <c r="BA471" s="43">
        <f t="shared" si="38"/>
        <v>5863524.2999999998</v>
      </c>
      <c r="BB471" s="42"/>
      <c r="BC471" s="42"/>
      <c r="BD471" s="42">
        <v>1379422.111111111</v>
      </c>
      <c r="BE471" s="88">
        <v>0</v>
      </c>
      <c r="BF471" s="88">
        <v>0</v>
      </c>
      <c r="BG471" s="88">
        <v>112</v>
      </c>
      <c r="BH471" s="88">
        <v>0</v>
      </c>
      <c r="BI471" s="88">
        <v>0</v>
      </c>
      <c r="BJ471" s="88">
        <v>-2</v>
      </c>
      <c r="BK471" s="88">
        <v>0</v>
      </c>
      <c r="BL471" s="88">
        <v>0</v>
      </c>
      <c r="BM471" s="88">
        <v>159</v>
      </c>
      <c r="BN471" s="88">
        <v>0</v>
      </c>
      <c r="BO471" s="88">
        <v>0</v>
      </c>
      <c r="BP471" s="88">
        <v>1</v>
      </c>
      <c r="BQ471" s="88">
        <v>0</v>
      </c>
      <c r="BR471" s="88">
        <v>0</v>
      </c>
      <c r="BS471" s="88">
        <v>750</v>
      </c>
      <c r="BT471" s="88">
        <v>0</v>
      </c>
      <c r="BU471" s="88">
        <v>0</v>
      </c>
      <c r="BV471" s="88">
        <v>0</v>
      </c>
      <c r="BW471" s="88">
        <v>0</v>
      </c>
      <c r="BX471" s="88">
        <v>0</v>
      </c>
      <c r="BY471" s="88">
        <v>2</v>
      </c>
      <c r="BZ471" s="88">
        <v>0</v>
      </c>
      <c r="CA471" s="88">
        <v>0</v>
      </c>
      <c r="CB471" s="88">
        <v>428</v>
      </c>
      <c r="CC471" s="88">
        <v>0</v>
      </c>
      <c r="CD471" s="88">
        <v>0</v>
      </c>
      <c r="CE471" s="88">
        <v>32</v>
      </c>
      <c r="CF471" s="88">
        <v>0</v>
      </c>
      <c r="CG471" s="88">
        <v>0</v>
      </c>
      <c r="CH471" s="88">
        <v>1</v>
      </c>
      <c r="CI471" s="88">
        <v>0</v>
      </c>
      <c r="CJ471" s="88">
        <v>0</v>
      </c>
      <c r="CK471" s="88">
        <v>35</v>
      </c>
      <c r="CL471" s="88">
        <v>0</v>
      </c>
      <c r="CM471" s="88">
        <v>0</v>
      </c>
      <c r="CN471" s="88">
        <v>0</v>
      </c>
      <c r="CO471" s="88">
        <v>0</v>
      </c>
      <c r="CP471" s="88">
        <v>0</v>
      </c>
      <c r="CQ471" s="88">
        <v>1</v>
      </c>
      <c r="CR471" s="88">
        <v>0</v>
      </c>
      <c r="CS471" s="88">
        <v>0</v>
      </c>
      <c r="CT471" s="88">
        <v>0</v>
      </c>
      <c r="CU471" s="88">
        <v>0</v>
      </c>
      <c r="CV471" s="88">
        <v>0</v>
      </c>
      <c r="CW471" s="88">
        <v>82</v>
      </c>
      <c r="CX471" s="88">
        <v>0</v>
      </c>
      <c r="CY471" s="88">
        <v>0</v>
      </c>
      <c r="CZ471" s="88">
        <v>0</v>
      </c>
      <c r="DA471" s="88">
        <v>0</v>
      </c>
      <c r="DB471" s="88">
        <v>0</v>
      </c>
      <c r="DC471" s="88">
        <v>2</v>
      </c>
      <c r="DD471" s="88">
        <v>0</v>
      </c>
      <c r="DE471" s="88">
        <v>0</v>
      </c>
      <c r="DF471" s="88">
        <v>0</v>
      </c>
      <c r="DG471" s="88">
        <v>0</v>
      </c>
      <c r="DH471" s="88">
        <v>0</v>
      </c>
      <c r="DI471" s="88">
        <v>1</v>
      </c>
      <c r="DJ471" s="88">
        <v>0</v>
      </c>
      <c r="DK471" s="88">
        <v>0</v>
      </c>
      <c r="DL471" s="88">
        <v>0</v>
      </c>
      <c r="DM471" s="88">
        <v>0</v>
      </c>
      <c r="DN471" s="88">
        <v>0</v>
      </c>
      <c r="DO471" s="88">
        <v>0</v>
      </c>
      <c r="DP471" s="88">
        <v>0</v>
      </c>
      <c r="DQ471" s="88">
        <v>0</v>
      </c>
      <c r="DR471" s="87">
        <v>0</v>
      </c>
      <c r="DS471" s="87">
        <v>0</v>
      </c>
      <c r="DT471" s="87">
        <v>0</v>
      </c>
      <c r="DU471" s="87">
        <v>606</v>
      </c>
      <c r="DV471" s="87">
        <v>0</v>
      </c>
      <c r="DW471" s="87">
        <v>0</v>
      </c>
      <c r="DX471" s="87">
        <v>0</v>
      </c>
      <c r="DY471" s="87">
        <v>0</v>
      </c>
      <c r="DZ471" s="87">
        <v>0</v>
      </c>
      <c r="EA471" s="88">
        <v>1941</v>
      </c>
      <c r="EB471" s="88">
        <v>0</v>
      </c>
      <c r="EC471" s="88">
        <v>0</v>
      </c>
      <c r="ED471" s="88">
        <v>93</v>
      </c>
      <c r="EE471" s="88">
        <v>0</v>
      </c>
      <c r="EF471" s="88">
        <v>0</v>
      </c>
      <c r="EG471" s="88">
        <v>497</v>
      </c>
      <c r="EH471" s="88">
        <v>0</v>
      </c>
      <c r="EI471" s="88">
        <v>0</v>
      </c>
      <c r="EJ471" s="88">
        <v>348</v>
      </c>
      <c r="EK471" s="88">
        <v>0</v>
      </c>
      <c r="EL471" s="88">
        <v>0</v>
      </c>
      <c r="EM471" s="88">
        <v>208</v>
      </c>
      <c r="EN471" s="88">
        <v>0</v>
      </c>
      <c r="EO471" s="88">
        <v>0</v>
      </c>
      <c r="EP471" s="88">
        <v>147</v>
      </c>
      <c r="EQ471" s="88">
        <v>0</v>
      </c>
      <c r="ER471" s="88">
        <v>0</v>
      </c>
      <c r="ES471" s="88">
        <v>3</v>
      </c>
      <c r="ET471" s="88">
        <v>0</v>
      </c>
      <c r="EU471" s="88">
        <v>0</v>
      </c>
      <c r="EV471" s="88">
        <v>5</v>
      </c>
      <c r="EW471" s="88">
        <v>0</v>
      </c>
      <c r="EX471" s="88">
        <v>0</v>
      </c>
      <c r="EY471" s="88">
        <v>7</v>
      </c>
      <c r="EZ471" s="88">
        <v>0</v>
      </c>
      <c r="FA471" s="88">
        <v>0</v>
      </c>
      <c r="FB471" s="88">
        <v>6</v>
      </c>
      <c r="FC471" s="88">
        <v>0</v>
      </c>
      <c r="FD471" s="88">
        <v>0</v>
      </c>
      <c r="FE471" s="88">
        <v>0</v>
      </c>
      <c r="FF471" s="88">
        <v>0</v>
      </c>
      <c r="FG471" s="88">
        <v>0</v>
      </c>
      <c r="FH471" s="88">
        <v>0</v>
      </c>
      <c r="FI471" s="88">
        <v>0</v>
      </c>
      <c r="FJ471" s="88">
        <v>0</v>
      </c>
      <c r="FK471" s="32">
        <v>98</v>
      </c>
      <c r="FL471" s="88">
        <v>0</v>
      </c>
      <c r="FM471" s="88">
        <v>0</v>
      </c>
      <c r="FN471" s="88">
        <v>4985</v>
      </c>
      <c r="FO471" s="88">
        <v>0</v>
      </c>
      <c r="FP471" s="88">
        <v>0</v>
      </c>
      <c r="FQ471" s="88">
        <v>957</v>
      </c>
      <c r="FR471" s="88">
        <v>0</v>
      </c>
      <c r="FS471" s="88">
        <v>0</v>
      </c>
      <c r="FT471" s="88">
        <v>0</v>
      </c>
      <c r="FU471" s="88">
        <v>0</v>
      </c>
      <c r="FV471" s="88">
        <v>0</v>
      </c>
      <c r="FW471" s="88">
        <v>321</v>
      </c>
      <c r="FX471" s="32">
        <v>0</v>
      </c>
      <c r="FY471" s="32">
        <v>0</v>
      </c>
      <c r="FZ471" s="32">
        <v>11</v>
      </c>
      <c r="GB471" s="46">
        <f t="shared" si="37"/>
        <v>11837</v>
      </c>
    </row>
    <row r="472" spans="1:184" s="22" customFormat="1" x14ac:dyDescent="0.2">
      <c r="A472" s="41">
        <v>45931</v>
      </c>
      <c r="B472" s="100">
        <f t="shared" si="47"/>
        <v>106849651.26000004</v>
      </c>
      <c r="C472" s="42">
        <v>21976.65</v>
      </c>
      <c r="D472" s="42">
        <v>215445.92999999996</v>
      </c>
      <c r="E472" s="43">
        <f t="shared" si="41"/>
        <v>237422.57999999996</v>
      </c>
      <c r="F472" s="42">
        <v>6072326.3999999994</v>
      </c>
      <c r="G472" s="42">
        <v>5379781.6999999983</v>
      </c>
      <c r="H472" s="32">
        <f t="shared" si="40"/>
        <v>11452108.099999998</v>
      </c>
      <c r="I472" s="42"/>
      <c r="J472" s="42"/>
      <c r="K472" s="98">
        <v>24804627.370000005</v>
      </c>
      <c r="L472" s="42"/>
      <c r="M472" s="42"/>
      <c r="N472" s="98">
        <v>27319117.280000005</v>
      </c>
      <c r="O472" s="42"/>
      <c r="P472" s="42"/>
      <c r="Q472" s="98">
        <v>41213135.850000001</v>
      </c>
      <c r="R472" s="42"/>
      <c r="S472" s="42"/>
      <c r="T472" s="42">
        <v>206535.43000000002</v>
      </c>
      <c r="U472" s="42">
        <v>7366.67</v>
      </c>
      <c r="V472" s="42">
        <v>9912.58</v>
      </c>
      <c r="W472" s="42">
        <f t="shared" si="42"/>
        <v>17279.25</v>
      </c>
      <c r="X472" s="42">
        <v>82188</v>
      </c>
      <c r="Y472" s="42">
        <v>7524.7300000000005</v>
      </c>
      <c r="Z472" s="32">
        <f t="shared" si="43"/>
        <v>89712.73</v>
      </c>
      <c r="AA472" s="42">
        <v>24252.33</v>
      </c>
      <c r="AB472" s="42">
        <v>270820.01</v>
      </c>
      <c r="AC472" s="32">
        <f t="shared" si="44"/>
        <v>295072.34000000003</v>
      </c>
      <c r="AD472" s="42">
        <v>2605.59</v>
      </c>
      <c r="AE472" s="42">
        <v>34242.78</v>
      </c>
      <c r="AF472" s="32">
        <f t="shared" si="45"/>
        <v>36848.369999999995</v>
      </c>
      <c r="AG472" s="32">
        <v>8804.07</v>
      </c>
      <c r="AH472" s="32">
        <v>143962.21000000002</v>
      </c>
      <c r="AI472" s="32">
        <f t="shared" si="46"/>
        <v>152766.28000000003</v>
      </c>
      <c r="AJ472" s="42"/>
      <c r="AK472" s="42"/>
      <c r="AL472" s="42">
        <v>28902.15</v>
      </c>
      <c r="AM472" s="42">
        <v>169798.28999999998</v>
      </c>
      <c r="AN472" s="42">
        <v>187314.06</v>
      </c>
      <c r="AO472" s="42">
        <f t="shared" si="39"/>
        <v>357112.35</v>
      </c>
      <c r="AP472" s="42"/>
      <c r="AQ472" s="42"/>
      <c r="AR472" s="42">
        <v>639011.18000000005</v>
      </c>
      <c r="AS472" s="42"/>
      <c r="AT472" s="42"/>
      <c r="AU472" s="42">
        <v>1619598.2</v>
      </c>
      <c r="AV472" s="42"/>
      <c r="AW472" s="42"/>
      <c r="AX472" s="42">
        <v>51307.329999999994</v>
      </c>
      <c r="AY472" s="42">
        <v>5522676</v>
      </c>
      <c r="AZ472" s="42">
        <v>983787.5</v>
      </c>
      <c r="BA472" s="43">
        <f t="shared" si="38"/>
        <v>6506463.5</v>
      </c>
      <c r="BB472" s="42"/>
      <c r="BC472" s="42"/>
      <c r="BD472" s="42">
        <v>1641976.3333333333</v>
      </c>
      <c r="BE472" s="88">
        <v>0</v>
      </c>
      <c r="BF472" s="88">
        <v>0</v>
      </c>
      <c r="BG472" s="88">
        <v>130</v>
      </c>
      <c r="BH472" s="88">
        <v>0</v>
      </c>
      <c r="BI472" s="88">
        <v>0</v>
      </c>
      <c r="BJ472" s="88">
        <v>1</v>
      </c>
      <c r="BK472" s="88">
        <v>0</v>
      </c>
      <c r="BL472" s="88">
        <v>0</v>
      </c>
      <c r="BM472" s="88">
        <v>140</v>
      </c>
      <c r="BN472" s="88">
        <v>0</v>
      </c>
      <c r="BO472" s="88">
        <v>0</v>
      </c>
      <c r="BP472" s="88">
        <v>1</v>
      </c>
      <c r="BQ472" s="88">
        <v>0</v>
      </c>
      <c r="BR472" s="88">
        <v>0</v>
      </c>
      <c r="BS472" s="88">
        <v>650</v>
      </c>
      <c r="BT472" s="88">
        <v>0</v>
      </c>
      <c r="BU472" s="88">
        <v>0</v>
      </c>
      <c r="BV472" s="88">
        <v>10</v>
      </c>
      <c r="BW472" s="88">
        <v>0</v>
      </c>
      <c r="BX472" s="88">
        <v>0</v>
      </c>
      <c r="BY472" s="88">
        <v>1</v>
      </c>
      <c r="BZ472" s="88">
        <v>0</v>
      </c>
      <c r="CA472" s="88">
        <v>0</v>
      </c>
      <c r="CB472" s="88">
        <v>485</v>
      </c>
      <c r="CC472" s="88">
        <v>0</v>
      </c>
      <c r="CD472" s="88">
        <v>0</v>
      </c>
      <c r="CE472" s="88">
        <v>35</v>
      </c>
      <c r="CF472" s="88">
        <v>0</v>
      </c>
      <c r="CG472" s="88">
        <v>0</v>
      </c>
      <c r="CH472" s="88">
        <v>1</v>
      </c>
      <c r="CI472" s="88">
        <v>0</v>
      </c>
      <c r="CJ472" s="88">
        <v>0</v>
      </c>
      <c r="CK472" s="88">
        <v>24</v>
      </c>
      <c r="CL472" s="88">
        <v>0</v>
      </c>
      <c r="CM472" s="88">
        <v>0</v>
      </c>
      <c r="CN472" s="88">
        <v>0</v>
      </c>
      <c r="CO472" s="88">
        <v>0</v>
      </c>
      <c r="CP472" s="88">
        <v>0</v>
      </c>
      <c r="CQ472" s="88">
        <v>2</v>
      </c>
      <c r="CR472" s="88">
        <v>0</v>
      </c>
      <c r="CS472" s="88">
        <v>0</v>
      </c>
      <c r="CT472" s="88">
        <v>0</v>
      </c>
      <c r="CU472" s="88">
        <v>0</v>
      </c>
      <c r="CV472" s="88">
        <v>0</v>
      </c>
      <c r="CW472" s="88">
        <v>105</v>
      </c>
      <c r="CX472" s="88">
        <v>0</v>
      </c>
      <c r="CY472" s="88">
        <v>0</v>
      </c>
      <c r="CZ472" s="88">
        <v>12</v>
      </c>
      <c r="DA472" s="88">
        <v>0</v>
      </c>
      <c r="DB472" s="88">
        <v>0</v>
      </c>
      <c r="DC472" s="88">
        <v>0</v>
      </c>
      <c r="DD472" s="88">
        <v>0</v>
      </c>
      <c r="DE472" s="88">
        <v>0</v>
      </c>
      <c r="DF472" s="88">
        <v>0</v>
      </c>
      <c r="DG472" s="88">
        <v>0</v>
      </c>
      <c r="DH472" s="88">
        <v>0</v>
      </c>
      <c r="DI472" s="88">
        <v>1</v>
      </c>
      <c r="DJ472" s="88">
        <v>0</v>
      </c>
      <c r="DK472" s="88">
        <v>0</v>
      </c>
      <c r="DL472" s="88">
        <v>0</v>
      </c>
      <c r="DM472" s="88">
        <v>0</v>
      </c>
      <c r="DN472" s="88">
        <v>0</v>
      </c>
      <c r="DO472" s="88">
        <v>0</v>
      </c>
      <c r="DP472" s="88">
        <v>0</v>
      </c>
      <c r="DQ472" s="88">
        <v>0</v>
      </c>
      <c r="DR472" s="87">
        <v>0</v>
      </c>
      <c r="DS472" s="87">
        <v>0</v>
      </c>
      <c r="DT472" s="87">
        <v>0</v>
      </c>
      <c r="DU472" s="87">
        <v>1363</v>
      </c>
      <c r="DV472" s="87">
        <v>0</v>
      </c>
      <c r="DW472" s="87">
        <v>0</v>
      </c>
      <c r="DX472" s="87">
        <v>0</v>
      </c>
      <c r="DY472" s="87">
        <v>0</v>
      </c>
      <c r="DZ472" s="87">
        <v>0</v>
      </c>
      <c r="EA472" s="88">
        <v>1783</v>
      </c>
      <c r="EB472" s="88">
        <v>0</v>
      </c>
      <c r="EC472" s="88">
        <v>0</v>
      </c>
      <c r="ED472" s="88">
        <v>189</v>
      </c>
      <c r="EE472" s="88">
        <v>0</v>
      </c>
      <c r="EF472" s="88">
        <v>0</v>
      </c>
      <c r="EG472" s="88">
        <v>489</v>
      </c>
      <c r="EH472" s="88">
        <v>0</v>
      </c>
      <c r="EI472" s="88">
        <v>0</v>
      </c>
      <c r="EJ472" s="88">
        <v>446</v>
      </c>
      <c r="EK472" s="88">
        <v>0</v>
      </c>
      <c r="EL472" s="88">
        <v>0</v>
      </c>
      <c r="EM472" s="88">
        <v>177</v>
      </c>
      <c r="EN472" s="88">
        <v>0</v>
      </c>
      <c r="EO472" s="88">
        <v>0</v>
      </c>
      <c r="EP472" s="88">
        <v>88</v>
      </c>
      <c r="EQ472" s="88">
        <v>0</v>
      </c>
      <c r="ER472" s="88">
        <v>0</v>
      </c>
      <c r="ES472" s="88">
        <v>1</v>
      </c>
      <c r="ET472" s="88">
        <v>0</v>
      </c>
      <c r="EU472" s="88">
        <v>0</v>
      </c>
      <c r="EV472" s="88">
        <v>4</v>
      </c>
      <c r="EW472" s="88">
        <v>0</v>
      </c>
      <c r="EX472" s="88">
        <v>0</v>
      </c>
      <c r="EY472" s="88">
        <v>2</v>
      </c>
      <c r="EZ472" s="88">
        <v>0</v>
      </c>
      <c r="FA472" s="88">
        <v>0</v>
      </c>
      <c r="FB472" s="88">
        <v>3</v>
      </c>
      <c r="FC472" s="88">
        <v>0</v>
      </c>
      <c r="FD472" s="88">
        <v>0</v>
      </c>
      <c r="FE472" s="88">
        <v>1</v>
      </c>
      <c r="FF472" s="88">
        <v>0</v>
      </c>
      <c r="FG472" s="88">
        <v>0</v>
      </c>
      <c r="FH472" s="88">
        <v>0</v>
      </c>
      <c r="FI472" s="88">
        <v>0</v>
      </c>
      <c r="FJ472" s="88">
        <v>0</v>
      </c>
      <c r="FK472" s="32">
        <v>120</v>
      </c>
      <c r="FL472" s="88">
        <v>0</v>
      </c>
      <c r="FM472" s="88">
        <v>0</v>
      </c>
      <c r="FN472" s="88">
        <v>5693</v>
      </c>
      <c r="FO472" s="88">
        <v>0</v>
      </c>
      <c r="FP472" s="88">
        <v>0</v>
      </c>
      <c r="FQ472" s="88">
        <v>1429</v>
      </c>
      <c r="FR472" s="88">
        <v>0</v>
      </c>
      <c r="FS472" s="88">
        <v>0</v>
      </c>
      <c r="FT472" s="88">
        <v>0</v>
      </c>
      <c r="FU472" s="88">
        <v>0</v>
      </c>
      <c r="FV472" s="88">
        <v>0</v>
      </c>
      <c r="FW472" s="88">
        <v>568</v>
      </c>
      <c r="FX472" s="32">
        <v>0</v>
      </c>
      <c r="FY472" s="32">
        <v>0</v>
      </c>
      <c r="FZ472" s="32">
        <v>10</v>
      </c>
      <c r="GB472" s="46">
        <f t="shared" si="37"/>
        <v>13964</v>
      </c>
    </row>
    <row r="473" spans="1:184" s="22" customFormat="1" x14ac:dyDescent="0.2">
      <c r="A473" s="41">
        <v>45962</v>
      </c>
      <c r="B473" s="100">
        <f t="shared" si="47"/>
        <v>101644967.90999998</v>
      </c>
      <c r="C473" s="42">
        <v>20379.870000000003</v>
      </c>
      <c r="D473" s="42">
        <v>286750.42</v>
      </c>
      <c r="E473" s="43">
        <f t="shared" si="41"/>
        <v>307130.28999999998</v>
      </c>
      <c r="F473" s="42">
        <v>6199625.9400000004</v>
      </c>
      <c r="G473" s="42">
        <v>6797564.0300000003</v>
      </c>
      <c r="H473" s="32">
        <f t="shared" si="40"/>
        <v>12997189.970000001</v>
      </c>
      <c r="I473" s="42"/>
      <c r="J473" s="42"/>
      <c r="K473" s="98">
        <v>20003895.18</v>
      </c>
      <c r="L473" s="42"/>
      <c r="M473" s="42"/>
      <c r="N473" s="98">
        <v>27981651.330000002</v>
      </c>
      <c r="O473" s="42"/>
      <c r="P473" s="42"/>
      <c r="Q473" s="98">
        <v>38492459.970000006</v>
      </c>
      <c r="R473" s="42"/>
      <c r="S473" s="42"/>
      <c r="T473" s="42">
        <v>181175.80000000002</v>
      </c>
      <c r="U473" s="42">
        <v>10314.15</v>
      </c>
      <c r="V473" s="42">
        <v>9603.7000000000007</v>
      </c>
      <c r="W473" s="42">
        <f t="shared" si="42"/>
        <v>19917.849999999999</v>
      </c>
      <c r="X473" s="42">
        <v>36565.5</v>
      </c>
      <c r="Y473" s="42">
        <v>13046.339999999998</v>
      </c>
      <c r="Z473" s="32">
        <f t="shared" si="43"/>
        <v>49611.839999999997</v>
      </c>
      <c r="AA473" s="42">
        <v>24249.830000000005</v>
      </c>
      <c r="AB473" s="42">
        <v>205296.13000000003</v>
      </c>
      <c r="AC473" s="32">
        <f t="shared" si="44"/>
        <v>229545.96000000005</v>
      </c>
      <c r="AD473" s="42">
        <v>2204.31</v>
      </c>
      <c r="AE473" s="42">
        <v>67526.509999999995</v>
      </c>
      <c r="AF473" s="32">
        <f t="shared" si="45"/>
        <v>69730.819999999992</v>
      </c>
      <c r="AG473" s="32">
        <v>6943.72</v>
      </c>
      <c r="AH473" s="32">
        <v>167888.3</v>
      </c>
      <c r="AI473" s="32">
        <f t="shared" si="46"/>
        <v>174832.02</v>
      </c>
      <c r="AJ473" s="42"/>
      <c r="AK473" s="42"/>
      <c r="AL473" s="42">
        <v>30254.85</v>
      </c>
      <c r="AM473" s="42">
        <v>137716.49</v>
      </c>
      <c r="AN473" s="42">
        <v>234813.13999999996</v>
      </c>
      <c r="AO473" s="42">
        <f t="shared" si="39"/>
        <v>372529.62999999995</v>
      </c>
      <c r="AP473" s="42"/>
      <c r="AQ473" s="42"/>
      <c r="AR473" s="42">
        <v>735042.4</v>
      </c>
      <c r="AS473" s="42"/>
      <c r="AT473" s="42"/>
      <c r="AU473" s="42">
        <v>1446805.7900000003</v>
      </c>
      <c r="AV473" s="42"/>
      <c r="AW473" s="42"/>
      <c r="AX473" s="42">
        <v>48504.17</v>
      </c>
      <c r="AY473" s="42">
        <v>5650400.5</v>
      </c>
      <c r="AZ473" s="42">
        <v>361195</v>
      </c>
      <c r="BA473" s="43">
        <f t="shared" si="38"/>
        <v>6011595.5</v>
      </c>
      <c r="BB473" s="42"/>
      <c r="BC473" s="42"/>
      <c r="BD473" s="42">
        <v>1588465.7777777778</v>
      </c>
      <c r="BE473" s="88">
        <v>0</v>
      </c>
      <c r="BF473" s="88">
        <v>0</v>
      </c>
      <c r="BG473" s="88">
        <v>97</v>
      </c>
      <c r="BH473" s="88">
        <v>0</v>
      </c>
      <c r="BI473" s="88">
        <v>0</v>
      </c>
      <c r="BJ473" s="88">
        <v>5</v>
      </c>
      <c r="BK473" s="88">
        <v>0</v>
      </c>
      <c r="BL473" s="88">
        <v>0</v>
      </c>
      <c r="BM473" s="88">
        <v>142</v>
      </c>
      <c r="BN473" s="88">
        <v>0</v>
      </c>
      <c r="BO473" s="88">
        <v>0</v>
      </c>
      <c r="BP473" s="88">
        <v>2</v>
      </c>
      <c r="BQ473" s="88">
        <v>0</v>
      </c>
      <c r="BR473" s="88">
        <v>0</v>
      </c>
      <c r="BS473" s="88">
        <v>781</v>
      </c>
      <c r="BT473" s="88">
        <v>0</v>
      </c>
      <c r="BU473" s="88">
        <v>0</v>
      </c>
      <c r="BV473" s="88">
        <v>35</v>
      </c>
      <c r="BW473" s="88">
        <v>0</v>
      </c>
      <c r="BX473" s="88">
        <v>0</v>
      </c>
      <c r="BY473" s="88">
        <v>3</v>
      </c>
      <c r="BZ473" s="88">
        <v>0</v>
      </c>
      <c r="CA473" s="88">
        <v>0</v>
      </c>
      <c r="CB473" s="88">
        <v>416</v>
      </c>
      <c r="CC473" s="88">
        <v>0</v>
      </c>
      <c r="CD473" s="88">
        <v>0</v>
      </c>
      <c r="CE473" s="88">
        <v>29</v>
      </c>
      <c r="CF473" s="88">
        <v>0</v>
      </c>
      <c r="CG473" s="88">
        <v>0</v>
      </c>
      <c r="CH473" s="88">
        <v>6</v>
      </c>
      <c r="CI473" s="88">
        <v>0</v>
      </c>
      <c r="CJ473" s="88">
        <v>0</v>
      </c>
      <c r="CK473" s="88">
        <v>20</v>
      </c>
      <c r="CL473" s="88">
        <v>0</v>
      </c>
      <c r="CM473" s="88">
        <v>0</v>
      </c>
      <c r="CN473" s="88">
        <v>0</v>
      </c>
      <c r="CO473" s="88">
        <v>0</v>
      </c>
      <c r="CP473" s="88">
        <v>0</v>
      </c>
      <c r="CQ473" s="88">
        <v>4</v>
      </c>
      <c r="CR473" s="88">
        <v>0</v>
      </c>
      <c r="CS473" s="88">
        <v>0</v>
      </c>
      <c r="CT473" s="88">
        <v>0</v>
      </c>
      <c r="CU473" s="88">
        <v>0</v>
      </c>
      <c r="CV473" s="88">
        <v>0</v>
      </c>
      <c r="CW473" s="88">
        <v>94</v>
      </c>
      <c r="CX473" s="88">
        <v>0</v>
      </c>
      <c r="CY473" s="88">
        <v>0</v>
      </c>
      <c r="CZ473" s="88">
        <v>0</v>
      </c>
      <c r="DA473" s="88">
        <v>0</v>
      </c>
      <c r="DB473" s="88">
        <v>0</v>
      </c>
      <c r="DC473" s="88">
        <v>0</v>
      </c>
      <c r="DD473" s="88">
        <v>0</v>
      </c>
      <c r="DE473" s="88">
        <v>0</v>
      </c>
      <c r="DF473" s="88">
        <v>0</v>
      </c>
      <c r="DG473" s="88">
        <v>0</v>
      </c>
      <c r="DH473" s="88">
        <v>0</v>
      </c>
      <c r="DI473" s="88">
        <v>1</v>
      </c>
      <c r="DJ473" s="88">
        <v>0</v>
      </c>
      <c r="DK473" s="88">
        <v>0</v>
      </c>
      <c r="DL473" s="88">
        <v>0</v>
      </c>
      <c r="DM473" s="88">
        <v>0</v>
      </c>
      <c r="DN473" s="88">
        <v>0</v>
      </c>
      <c r="DO473" s="88">
        <v>0</v>
      </c>
      <c r="DP473" s="88">
        <v>0</v>
      </c>
      <c r="DQ473" s="88">
        <v>0</v>
      </c>
      <c r="DR473" s="87">
        <v>0</v>
      </c>
      <c r="DS473" s="87">
        <v>0</v>
      </c>
      <c r="DT473" s="87">
        <v>0</v>
      </c>
      <c r="DU473" s="87">
        <v>1035</v>
      </c>
      <c r="DV473" s="87">
        <v>0</v>
      </c>
      <c r="DW473" s="87">
        <v>0</v>
      </c>
      <c r="DX473" s="87">
        <v>0</v>
      </c>
      <c r="DY473" s="87">
        <v>0</v>
      </c>
      <c r="DZ473" s="87">
        <v>0</v>
      </c>
      <c r="EA473" s="88">
        <v>1814</v>
      </c>
      <c r="EB473" s="88">
        <v>0</v>
      </c>
      <c r="EC473" s="88">
        <v>0</v>
      </c>
      <c r="ED473" s="88">
        <v>213</v>
      </c>
      <c r="EE473" s="88">
        <v>0</v>
      </c>
      <c r="EF473" s="88">
        <v>0</v>
      </c>
      <c r="EG473" s="88">
        <v>601</v>
      </c>
      <c r="EH473" s="88">
        <v>0</v>
      </c>
      <c r="EI473" s="88">
        <v>0</v>
      </c>
      <c r="EJ473" s="88">
        <v>259</v>
      </c>
      <c r="EK473" s="88">
        <v>0</v>
      </c>
      <c r="EL473" s="88">
        <v>0</v>
      </c>
      <c r="EM473" s="88">
        <v>201</v>
      </c>
      <c r="EN473" s="88">
        <v>0</v>
      </c>
      <c r="EO473" s="88">
        <v>0</v>
      </c>
      <c r="EP473" s="88">
        <v>140</v>
      </c>
      <c r="EQ473" s="88">
        <v>0</v>
      </c>
      <c r="ER473" s="88">
        <v>0</v>
      </c>
      <c r="ES473" s="88">
        <v>12</v>
      </c>
      <c r="ET473" s="88">
        <v>0</v>
      </c>
      <c r="EU473" s="88">
        <v>0</v>
      </c>
      <c r="EV473" s="88">
        <v>4</v>
      </c>
      <c r="EW473" s="88">
        <v>0</v>
      </c>
      <c r="EX473" s="88">
        <v>0</v>
      </c>
      <c r="EY473" s="88">
        <v>3</v>
      </c>
      <c r="EZ473" s="88">
        <v>0</v>
      </c>
      <c r="FA473" s="88">
        <v>0</v>
      </c>
      <c r="FB473" s="88">
        <v>2</v>
      </c>
      <c r="FC473" s="88">
        <v>0</v>
      </c>
      <c r="FD473" s="88">
        <v>0</v>
      </c>
      <c r="FE473" s="88">
        <v>2</v>
      </c>
      <c r="FF473" s="88">
        <v>0</v>
      </c>
      <c r="FG473" s="88">
        <v>0</v>
      </c>
      <c r="FH473" s="88">
        <v>0</v>
      </c>
      <c r="FI473" s="88">
        <v>0</v>
      </c>
      <c r="FJ473" s="88">
        <v>0</v>
      </c>
      <c r="FK473" s="32">
        <v>33</v>
      </c>
      <c r="FL473" s="88">
        <v>0</v>
      </c>
      <c r="FM473" s="88">
        <v>0</v>
      </c>
      <c r="FN473" s="88">
        <v>4743</v>
      </c>
      <c r="FO473" s="88">
        <v>0</v>
      </c>
      <c r="FP473" s="88">
        <v>0</v>
      </c>
      <c r="FQ473" s="88">
        <v>1132</v>
      </c>
      <c r="FR473" s="88">
        <v>0</v>
      </c>
      <c r="FS473" s="88">
        <v>0</v>
      </c>
      <c r="FT473" s="88">
        <v>0</v>
      </c>
      <c r="FU473" s="88">
        <v>0</v>
      </c>
      <c r="FV473" s="88">
        <v>0</v>
      </c>
      <c r="FW473" s="88">
        <v>374</v>
      </c>
      <c r="FX473" s="32">
        <v>0</v>
      </c>
      <c r="FY473" s="32">
        <v>0</v>
      </c>
      <c r="FZ473" s="32">
        <v>19</v>
      </c>
      <c r="GB473" s="46">
        <f t="shared" si="37"/>
        <v>12222</v>
      </c>
    </row>
    <row r="474" spans="1:184" s="97" customFormat="1" x14ac:dyDescent="0.2">
      <c r="A474" s="92">
        <v>45992</v>
      </c>
      <c r="B474" s="93">
        <f>+E474+H474+K474+N474+Q474+T474+W474+Z474+AC474+AF474+AI474+AL474+AO474+AR474</f>
        <v>122099753.99999999</v>
      </c>
      <c r="C474" s="94">
        <v>27502.850000000002</v>
      </c>
      <c r="D474" s="94">
        <v>348694.05</v>
      </c>
      <c r="E474" s="93">
        <f>+SUM(C474:D474)</f>
        <v>376196.89999999997</v>
      </c>
      <c r="F474" s="94">
        <v>6752283.6500000004</v>
      </c>
      <c r="G474" s="94">
        <v>9190250.7000000011</v>
      </c>
      <c r="H474" s="95">
        <f>+SUM(F474:G474)</f>
        <v>15942534.350000001</v>
      </c>
      <c r="I474" s="94"/>
      <c r="J474" s="94"/>
      <c r="K474" s="99">
        <v>25433791.240000002</v>
      </c>
      <c r="L474" s="94"/>
      <c r="M474" s="94"/>
      <c r="N474" s="99">
        <v>38755964.049999997</v>
      </c>
      <c r="O474" s="94"/>
      <c r="P474" s="94"/>
      <c r="Q474" s="99">
        <v>38868907.140000001</v>
      </c>
      <c r="R474" s="94"/>
      <c r="S474" s="94"/>
      <c r="T474" s="94">
        <v>184628.22</v>
      </c>
      <c r="U474" s="94">
        <v>19903.079999999998</v>
      </c>
      <c r="V474" s="94">
        <v>25327.33</v>
      </c>
      <c r="W474" s="94">
        <f>+SUM(U474:V474)</f>
        <v>45230.41</v>
      </c>
      <c r="X474" s="94">
        <v>44106.29</v>
      </c>
      <c r="Y474" s="94">
        <v>28621.199999999997</v>
      </c>
      <c r="Z474" s="95">
        <f>+SUM(X474:Y474)</f>
        <v>72727.489999999991</v>
      </c>
      <c r="AA474" s="94">
        <v>27983.729999999996</v>
      </c>
      <c r="AB474" s="94">
        <v>309367.03000000003</v>
      </c>
      <c r="AC474" s="95">
        <f>+SUM(AA474:AB474)</f>
        <v>337350.76</v>
      </c>
      <c r="AD474" s="94">
        <v>5714.7000000000007</v>
      </c>
      <c r="AE474" s="94">
        <v>111780.16</v>
      </c>
      <c r="AF474" s="95">
        <f>+SUM(AD474:AE474)</f>
        <v>117494.86</v>
      </c>
      <c r="AG474" s="95">
        <v>13710.06</v>
      </c>
      <c r="AH474" s="95">
        <v>253939.28</v>
      </c>
      <c r="AI474" s="95">
        <f>+SUM(AG474:AH474)</f>
        <v>267649.34000000003</v>
      </c>
      <c r="AJ474" s="94"/>
      <c r="AK474" s="94"/>
      <c r="AL474" s="94">
        <v>41096.699999999997</v>
      </c>
      <c r="AM474" s="94">
        <v>176243.87</v>
      </c>
      <c r="AN474" s="94">
        <v>344004.32</v>
      </c>
      <c r="AO474" s="94">
        <f>+SUM(AM474:AN474)</f>
        <v>520248.19</v>
      </c>
      <c r="AP474" s="94"/>
      <c r="AQ474" s="94"/>
      <c r="AR474" s="94">
        <v>1135934.3500000001</v>
      </c>
      <c r="AS474" s="94"/>
      <c r="AT474" s="94"/>
      <c r="AU474" s="94">
        <v>1394168.6</v>
      </c>
      <c r="AV474" s="94"/>
      <c r="AW474" s="94"/>
      <c r="AX474" s="94">
        <v>39310.109999999986</v>
      </c>
      <c r="AY474" s="94">
        <v>11115028.1</v>
      </c>
      <c r="AZ474" s="94">
        <v>1539732.5</v>
      </c>
      <c r="BA474" s="93">
        <f t="shared" si="38"/>
        <v>12654760.6</v>
      </c>
      <c r="BB474" s="94"/>
      <c r="BC474" s="94"/>
      <c r="BD474" s="94">
        <v>2573698.3333333335</v>
      </c>
      <c r="BE474" s="117">
        <v>0</v>
      </c>
      <c r="BF474" s="117">
        <v>0</v>
      </c>
      <c r="BG474" s="117">
        <v>132</v>
      </c>
      <c r="BH474" s="117">
        <v>0</v>
      </c>
      <c r="BI474" s="117">
        <v>0</v>
      </c>
      <c r="BJ474" s="117">
        <v>0</v>
      </c>
      <c r="BK474" s="117">
        <v>0</v>
      </c>
      <c r="BL474" s="117">
        <v>0</v>
      </c>
      <c r="BM474" s="117">
        <v>195</v>
      </c>
      <c r="BN474" s="117">
        <v>0</v>
      </c>
      <c r="BO474" s="117">
        <v>0</v>
      </c>
      <c r="BP474" s="117">
        <v>5</v>
      </c>
      <c r="BQ474" s="117">
        <v>0</v>
      </c>
      <c r="BR474" s="117">
        <v>0</v>
      </c>
      <c r="BS474" s="117">
        <v>809</v>
      </c>
      <c r="BT474" s="117">
        <v>0</v>
      </c>
      <c r="BU474" s="117">
        <v>0</v>
      </c>
      <c r="BV474" s="117">
        <v>46</v>
      </c>
      <c r="BW474" s="117">
        <v>0</v>
      </c>
      <c r="BX474" s="117">
        <v>0</v>
      </c>
      <c r="BY474" s="117">
        <v>3</v>
      </c>
      <c r="BZ474" s="117">
        <v>0</v>
      </c>
      <c r="CA474" s="117">
        <v>0</v>
      </c>
      <c r="CB474" s="117">
        <v>590</v>
      </c>
      <c r="CC474" s="117">
        <v>0</v>
      </c>
      <c r="CD474" s="117">
        <v>0</v>
      </c>
      <c r="CE474" s="117">
        <v>39</v>
      </c>
      <c r="CF474" s="117">
        <v>0</v>
      </c>
      <c r="CG474" s="117">
        <v>0</v>
      </c>
      <c r="CH474" s="117">
        <v>0</v>
      </c>
      <c r="CI474" s="117">
        <v>0</v>
      </c>
      <c r="CJ474" s="117">
        <v>0</v>
      </c>
      <c r="CK474" s="117">
        <v>29</v>
      </c>
      <c r="CL474" s="117">
        <v>0</v>
      </c>
      <c r="CM474" s="117">
        <v>0</v>
      </c>
      <c r="CN474" s="117">
        <v>1</v>
      </c>
      <c r="CO474" s="117">
        <v>0</v>
      </c>
      <c r="CP474" s="117">
        <v>0</v>
      </c>
      <c r="CQ474" s="117">
        <v>3</v>
      </c>
      <c r="CR474" s="117">
        <v>0</v>
      </c>
      <c r="CS474" s="117">
        <v>0</v>
      </c>
      <c r="CT474" s="117">
        <v>3</v>
      </c>
      <c r="CU474" s="117">
        <v>0</v>
      </c>
      <c r="CV474" s="117">
        <v>0</v>
      </c>
      <c r="CW474" s="117">
        <v>101</v>
      </c>
      <c r="CX474" s="117">
        <v>0</v>
      </c>
      <c r="CY474" s="117">
        <v>0</v>
      </c>
      <c r="CZ474" s="117">
        <v>0</v>
      </c>
      <c r="DA474" s="117">
        <v>0</v>
      </c>
      <c r="DB474" s="117">
        <v>0</v>
      </c>
      <c r="DC474" s="117">
        <v>0</v>
      </c>
      <c r="DD474" s="117">
        <v>0</v>
      </c>
      <c r="DE474" s="117">
        <v>0</v>
      </c>
      <c r="DF474" s="117">
        <v>0</v>
      </c>
      <c r="DG474" s="117">
        <v>0</v>
      </c>
      <c r="DH474" s="117">
        <v>0</v>
      </c>
      <c r="DI474" s="117">
        <v>2</v>
      </c>
      <c r="DJ474" s="117">
        <v>0</v>
      </c>
      <c r="DK474" s="117">
        <v>0</v>
      </c>
      <c r="DL474" s="117">
        <v>0</v>
      </c>
      <c r="DM474" s="117">
        <v>0</v>
      </c>
      <c r="DN474" s="117">
        <v>0</v>
      </c>
      <c r="DO474" s="117">
        <v>0</v>
      </c>
      <c r="DP474" s="117">
        <v>0</v>
      </c>
      <c r="DQ474" s="117">
        <v>0</v>
      </c>
      <c r="DR474" s="95">
        <v>0</v>
      </c>
      <c r="DS474" s="95">
        <v>0</v>
      </c>
      <c r="DT474" s="95">
        <v>0</v>
      </c>
      <c r="DU474" s="95">
        <v>928</v>
      </c>
      <c r="DV474" s="95">
        <v>0</v>
      </c>
      <c r="DW474" s="95">
        <v>0</v>
      </c>
      <c r="DX474" s="95">
        <v>0</v>
      </c>
      <c r="DY474" s="95">
        <v>0</v>
      </c>
      <c r="DZ474" s="95">
        <v>0</v>
      </c>
      <c r="EA474" s="117">
        <v>1551</v>
      </c>
      <c r="EB474" s="117">
        <v>0</v>
      </c>
      <c r="EC474" s="117">
        <v>0</v>
      </c>
      <c r="ED474" s="117">
        <v>173</v>
      </c>
      <c r="EE474" s="117">
        <v>0</v>
      </c>
      <c r="EF474" s="117">
        <v>0</v>
      </c>
      <c r="EG474" s="117">
        <v>610</v>
      </c>
      <c r="EH474" s="117">
        <v>0</v>
      </c>
      <c r="EI474" s="117">
        <v>0</v>
      </c>
      <c r="EJ474" s="117">
        <v>468</v>
      </c>
      <c r="EK474" s="117">
        <v>0</v>
      </c>
      <c r="EL474" s="117">
        <v>0</v>
      </c>
      <c r="EM474" s="117">
        <v>235</v>
      </c>
      <c r="EN474" s="117">
        <v>0</v>
      </c>
      <c r="EO474" s="117">
        <v>0</v>
      </c>
      <c r="EP474" s="117">
        <v>185</v>
      </c>
      <c r="EQ474" s="117">
        <v>0</v>
      </c>
      <c r="ER474" s="117">
        <v>0</v>
      </c>
      <c r="ES474" s="117">
        <v>10</v>
      </c>
      <c r="ET474" s="117">
        <v>0</v>
      </c>
      <c r="EU474" s="117">
        <v>0</v>
      </c>
      <c r="EV474" s="117">
        <v>20</v>
      </c>
      <c r="EW474" s="117">
        <v>0</v>
      </c>
      <c r="EX474" s="117">
        <v>0</v>
      </c>
      <c r="EY474" s="117">
        <v>5</v>
      </c>
      <c r="EZ474" s="117">
        <v>0</v>
      </c>
      <c r="FA474" s="117">
        <v>0</v>
      </c>
      <c r="FB474" s="117">
        <v>0</v>
      </c>
      <c r="FC474" s="117">
        <v>0</v>
      </c>
      <c r="FD474" s="117">
        <v>0</v>
      </c>
      <c r="FE474" s="117">
        <v>2</v>
      </c>
      <c r="FF474" s="117">
        <v>0</v>
      </c>
      <c r="FG474" s="117">
        <v>0</v>
      </c>
      <c r="FH474" s="117">
        <v>0</v>
      </c>
      <c r="FI474" s="117">
        <v>0</v>
      </c>
      <c r="FJ474" s="117">
        <v>0</v>
      </c>
      <c r="FK474" s="95">
        <v>67</v>
      </c>
      <c r="FL474" s="117">
        <v>0</v>
      </c>
      <c r="FM474" s="117">
        <v>0</v>
      </c>
      <c r="FN474" s="117">
        <v>6545</v>
      </c>
      <c r="FO474" s="117">
        <v>0</v>
      </c>
      <c r="FP474" s="117">
        <v>0</v>
      </c>
      <c r="FQ474" s="117">
        <v>1336</v>
      </c>
      <c r="FR474" s="117">
        <v>0</v>
      </c>
      <c r="FS474" s="117">
        <v>0</v>
      </c>
      <c r="FT474" s="117">
        <v>0</v>
      </c>
      <c r="FU474" s="117">
        <v>0</v>
      </c>
      <c r="FV474" s="117">
        <v>0</v>
      </c>
      <c r="FW474" s="117">
        <v>430</v>
      </c>
      <c r="FX474" s="95">
        <v>0</v>
      </c>
      <c r="FY474" s="95">
        <v>0</v>
      </c>
      <c r="FZ474" s="95">
        <v>18</v>
      </c>
      <c r="GB474" s="121">
        <f>+SUM(BG474:FZ474)</f>
        <v>14541</v>
      </c>
    </row>
    <row r="475" spans="1:184" s="22" customFormat="1" x14ac:dyDescent="0.2">
      <c r="A475" s="41">
        <v>46023</v>
      </c>
      <c r="B475" s="100">
        <f>+E475+H475+K475+N475+Q475+T475+W475+Z475+AC475+AF475+AI475+AL475+AO475+AR475</f>
        <v>92185359.569999978</v>
      </c>
      <c r="C475" s="42">
        <v>17608.13</v>
      </c>
      <c r="D475" s="42">
        <v>154132.87</v>
      </c>
      <c r="E475" s="43">
        <f>+SUM(C475:D475)</f>
        <v>171741</v>
      </c>
      <c r="F475" s="42">
        <v>3420996.8800000004</v>
      </c>
      <c r="G475" s="42">
        <v>4011723.1299999994</v>
      </c>
      <c r="H475" s="32">
        <f>+SUM(F475:G475)</f>
        <v>7432720.0099999998</v>
      </c>
      <c r="I475" s="42"/>
      <c r="J475" s="42"/>
      <c r="K475" s="98">
        <v>16513572.619999999</v>
      </c>
      <c r="L475" s="42"/>
      <c r="M475" s="42"/>
      <c r="N475" s="98">
        <v>23346998.350000001</v>
      </c>
      <c r="O475" s="42"/>
      <c r="P475" s="42"/>
      <c r="Q475" s="98">
        <v>43098454.520000003</v>
      </c>
      <c r="R475" s="42"/>
      <c r="S475" s="42"/>
      <c r="T475" s="42">
        <v>82539.47</v>
      </c>
      <c r="U475" s="42">
        <v>7396</v>
      </c>
      <c r="V475" s="42">
        <v>3042.05</v>
      </c>
      <c r="W475" s="42">
        <f>+SUM(U475:V475)</f>
        <v>10438.049999999999</v>
      </c>
      <c r="X475" s="42">
        <v>6686</v>
      </c>
      <c r="Y475" s="42">
        <v>13208.96</v>
      </c>
      <c r="Z475" s="32">
        <f>+SUM(X475:Y475)</f>
        <v>19894.96</v>
      </c>
      <c r="AA475" s="42">
        <v>194818.13</v>
      </c>
      <c r="AB475" s="42">
        <v>81046.81</v>
      </c>
      <c r="AC475" s="32">
        <f>+SUM(AA475:AB475)</f>
        <v>275864.94</v>
      </c>
      <c r="AD475" s="42">
        <v>2812.18</v>
      </c>
      <c r="AE475" s="42">
        <v>19685.53</v>
      </c>
      <c r="AF475" s="32">
        <f>+SUM(AD475:AE475)</f>
        <v>22497.71</v>
      </c>
      <c r="AG475" s="32">
        <v>8444.81</v>
      </c>
      <c r="AH475" s="32">
        <v>128549.31</v>
      </c>
      <c r="AI475" s="32">
        <f>+SUM(AG475:AH475)</f>
        <v>136994.12</v>
      </c>
      <c r="AJ475" s="42"/>
      <c r="AK475" s="42"/>
      <c r="AL475" s="42">
        <v>34487.1</v>
      </c>
      <c r="AM475" s="42">
        <v>159845.76000000001</v>
      </c>
      <c r="AN475" s="42">
        <v>211912.8</v>
      </c>
      <c r="AO475" s="42">
        <f>+SUM(AM475:AN475)</f>
        <v>371758.56</v>
      </c>
      <c r="AP475" s="42"/>
      <c r="AQ475" s="42"/>
      <c r="AR475" s="42">
        <v>667398.15999999992</v>
      </c>
      <c r="AS475" s="42"/>
      <c r="AT475" s="42"/>
      <c r="AU475" s="42">
        <v>1475669.9999999998</v>
      </c>
      <c r="AV475" s="42"/>
      <c r="AW475" s="42"/>
      <c r="AX475" s="42">
        <v>35649.58</v>
      </c>
      <c r="AY475" s="42">
        <v>4108456.5</v>
      </c>
      <c r="AZ475" s="42">
        <v>1366012.5</v>
      </c>
      <c r="BA475" s="43">
        <f t="shared" si="38"/>
        <v>5474469</v>
      </c>
      <c r="BB475" s="42"/>
      <c r="BC475" s="42"/>
      <c r="BD475" s="42">
        <v>1015373.6666666666</v>
      </c>
      <c r="BE475" s="88">
        <v>0</v>
      </c>
      <c r="BF475" s="88">
        <v>0</v>
      </c>
      <c r="BG475" s="88">
        <v>76</v>
      </c>
      <c r="BH475" s="88">
        <v>0</v>
      </c>
      <c r="BI475" s="88">
        <v>0</v>
      </c>
      <c r="BJ475" s="88">
        <v>0</v>
      </c>
      <c r="BK475" s="88">
        <v>0</v>
      </c>
      <c r="BL475" s="88">
        <v>0</v>
      </c>
      <c r="BM475" s="88">
        <v>119</v>
      </c>
      <c r="BN475" s="88">
        <v>0</v>
      </c>
      <c r="BO475" s="88">
        <v>0</v>
      </c>
      <c r="BP475" s="88">
        <v>1</v>
      </c>
      <c r="BQ475" s="88">
        <v>0</v>
      </c>
      <c r="BR475" s="88">
        <v>0</v>
      </c>
      <c r="BS475" s="88">
        <v>528</v>
      </c>
      <c r="BT475" s="88">
        <v>0</v>
      </c>
      <c r="BU475" s="88">
        <v>0</v>
      </c>
      <c r="BV475" s="88">
        <v>52</v>
      </c>
      <c r="BW475" s="88">
        <v>0</v>
      </c>
      <c r="BX475" s="88">
        <v>0</v>
      </c>
      <c r="BY475" s="88">
        <v>0</v>
      </c>
      <c r="BZ475" s="88">
        <v>0</v>
      </c>
      <c r="CA475" s="88">
        <v>0</v>
      </c>
      <c r="CB475" s="88">
        <v>368</v>
      </c>
      <c r="CC475" s="88">
        <v>0</v>
      </c>
      <c r="CD475" s="88">
        <v>0</v>
      </c>
      <c r="CE475" s="88">
        <v>24</v>
      </c>
      <c r="CF475" s="88">
        <v>0</v>
      </c>
      <c r="CG475" s="88">
        <v>0</v>
      </c>
      <c r="CH475" s="88">
        <v>0</v>
      </c>
      <c r="CI475" s="88">
        <v>0</v>
      </c>
      <c r="CJ475" s="88">
        <v>0</v>
      </c>
      <c r="CK475" s="88">
        <v>18</v>
      </c>
      <c r="CL475" s="88">
        <v>0</v>
      </c>
      <c r="CM475" s="88">
        <v>0</v>
      </c>
      <c r="CN475" s="88">
        <v>0</v>
      </c>
      <c r="CO475" s="88">
        <v>0</v>
      </c>
      <c r="CP475" s="88">
        <v>0</v>
      </c>
      <c r="CQ475" s="88">
        <v>2</v>
      </c>
      <c r="CR475" s="88">
        <v>0</v>
      </c>
      <c r="CS475" s="88">
        <v>0</v>
      </c>
      <c r="CT475" s="88">
        <v>1</v>
      </c>
      <c r="CU475" s="88">
        <v>0</v>
      </c>
      <c r="CV475" s="88">
        <v>0</v>
      </c>
      <c r="CW475" s="88">
        <v>82</v>
      </c>
      <c r="CX475" s="88">
        <v>0</v>
      </c>
      <c r="CY475" s="88">
        <v>0</v>
      </c>
      <c r="CZ475" s="88">
        <v>0</v>
      </c>
      <c r="DA475" s="88">
        <v>0</v>
      </c>
      <c r="DB475" s="88">
        <v>0</v>
      </c>
      <c r="DC475" s="88">
        <v>0</v>
      </c>
      <c r="DD475" s="88">
        <v>0</v>
      </c>
      <c r="DE475" s="88">
        <v>0</v>
      </c>
      <c r="DF475" s="88">
        <v>0</v>
      </c>
      <c r="DG475" s="88">
        <v>0</v>
      </c>
      <c r="DH475" s="88">
        <v>0</v>
      </c>
      <c r="DI475" s="88">
        <v>0</v>
      </c>
      <c r="DJ475" s="88">
        <v>0</v>
      </c>
      <c r="DK475" s="88">
        <v>0</v>
      </c>
      <c r="DL475" s="88">
        <v>0</v>
      </c>
      <c r="DM475" s="88">
        <v>0</v>
      </c>
      <c r="DN475" s="88">
        <v>0</v>
      </c>
      <c r="DO475" s="88">
        <v>0</v>
      </c>
      <c r="DP475" s="88">
        <v>0</v>
      </c>
      <c r="DQ475" s="88">
        <v>0</v>
      </c>
      <c r="DR475" s="87">
        <v>4</v>
      </c>
      <c r="DS475" s="87">
        <v>0</v>
      </c>
      <c r="DT475" s="87">
        <v>0</v>
      </c>
      <c r="DU475" s="87">
        <v>1217</v>
      </c>
      <c r="DV475" s="87">
        <v>0</v>
      </c>
      <c r="DW475" s="87">
        <v>0</v>
      </c>
      <c r="DX475" s="87">
        <v>0</v>
      </c>
      <c r="DY475" s="87">
        <v>0</v>
      </c>
      <c r="DZ475" s="87">
        <v>0</v>
      </c>
      <c r="EA475" s="88">
        <v>792</v>
      </c>
      <c r="EB475" s="88">
        <v>0</v>
      </c>
      <c r="EC475" s="88">
        <v>0</v>
      </c>
      <c r="ED475" s="88">
        <v>95</v>
      </c>
      <c r="EE475" s="88">
        <v>0</v>
      </c>
      <c r="EF475" s="88">
        <v>0</v>
      </c>
      <c r="EG475" s="88">
        <v>528</v>
      </c>
      <c r="EH475" s="88">
        <v>0</v>
      </c>
      <c r="EI475" s="88">
        <v>0</v>
      </c>
      <c r="EJ475" s="88">
        <v>431</v>
      </c>
      <c r="EK475" s="88">
        <v>0</v>
      </c>
      <c r="EL475" s="88">
        <v>0</v>
      </c>
      <c r="EM475" s="88">
        <v>138</v>
      </c>
      <c r="EN475" s="88">
        <v>0</v>
      </c>
      <c r="EO475" s="88">
        <v>0</v>
      </c>
      <c r="EP475" s="88">
        <v>83</v>
      </c>
      <c r="EQ475" s="88">
        <v>0</v>
      </c>
      <c r="ER475" s="88">
        <v>0</v>
      </c>
      <c r="ES475" s="88">
        <v>4</v>
      </c>
      <c r="ET475" s="88">
        <v>0</v>
      </c>
      <c r="EU475" s="88">
        <v>0</v>
      </c>
      <c r="EV475" s="88">
        <v>6</v>
      </c>
      <c r="EW475" s="88">
        <v>0</v>
      </c>
      <c r="EX475" s="88">
        <v>0</v>
      </c>
      <c r="EY475" s="88">
        <v>8</v>
      </c>
      <c r="EZ475" s="88">
        <v>0</v>
      </c>
      <c r="FA475" s="88">
        <v>0</v>
      </c>
      <c r="FB475" s="88">
        <v>4</v>
      </c>
      <c r="FC475" s="88">
        <v>0</v>
      </c>
      <c r="FD475" s="88">
        <v>0</v>
      </c>
      <c r="FE475" s="88">
        <v>1</v>
      </c>
      <c r="FF475" s="88">
        <v>0</v>
      </c>
      <c r="FG475" s="88">
        <v>0</v>
      </c>
      <c r="FH475" s="88">
        <v>0</v>
      </c>
      <c r="FI475" s="88">
        <v>0</v>
      </c>
      <c r="FJ475" s="88">
        <v>0</v>
      </c>
      <c r="FK475" s="32">
        <v>25</v>
      </c>
      <c r="FL475" s="88">
        <v>0</v>
      </c>
      <c r="FM475" s="88">
        <v>0</v>
      </c>
      <c r="FN475" s="88">
        <v>5740</v>
      </c>
      <c r="FO475" s="88">
        <v>0</v>
      </c>
      <c r="FP475" s="88">
        <v>0</v>
      </c>
      <c r="FQ475" s="88">
        <v>1824</v>
      </c>
      <c r="FR475" s="88">
        <v>0</v>
      </c>
      <c r="FS475" s="88">
        <v>0</v>
      </c>
      <c r="FT475" s="88">
        <v>0</v>
      </c>
      <c r="FU475" s="88">
        <v>0</v>
      </c>
      <c r="FV475" s="88">
        <v>0</v>
      </c>
      <c r="FW475" s="88">
        <v>547</v>
      </c>
      <c r="FX475" s="32">
        <v>0</v>
      </c>
      <c r="FY475" s="32">
        <v>0</v>
      </c>
      <c r="FZ475" s="32">
        <v>89</v>
      </c>
      <c r="GB475" s="46">
        <f>+SUM(BG475:FZ475)</f>
        <v>12807</v>
      </c>
    </row>
    <row r="476" spans="1:184" s="22" customFormat="1" x14ac:dyDescent="0.2">
      <c r="A476" s="41">
        <v>46054</v>
      </c>
      <c r="B476" s="100">
        <f>+E476+H476+K476+N476+Q476+T476+W476+Z476+AC476+AF476+AI476+AL476+AO476+AR476</f>
        <v>92192937.649999991</v>
      </c>
      <c r="C476" s="42">
        <v>14062.03</v>
      </c>
      <c r="D476" s="42">
        <v>164880.20000000001</v>
      </c>
      <c r="E476" s="43">
        <f>+SUM(C476:D476)</f>
        <v>178942.23</v>
      </c>
      <c r="F476" s="42">
        <v>3998204.9800000004</v>
      </c>
      <c r="G476" s="42">
        <v>4140207.69</v>
      </c>
      <c r="H476" s="32">
        <f>+SUM(F476:G476)</f>
        <v>8138412.6699999999</v>
      </c>
      <c r="I476" s="42"/>
      <c r="J476" s="42"/>
      <c r="K476" s="98">
        <v>16543813.180000002</v>
      </c>
      <c r="L476" s="42"/>
      <c r="M476" s="42"/>
      <c r="N476" s="98">
        <v>25759712.16</v>
      </c>
      <c r="O476" s="42"/>
      <c r="P476" s="42"/>
      <c r="Q476" s="98">
        <v>40189291.299999997</v>
      </c>
      <c r="R476" s="42"/>
      <c r="S476" s="42"/>
      <c r="T476" s="42">
        <v>222026.53</v>
      </c>
      <c r="U476" s="42">
        <v>4395.6900000000005</v>
      </c>
      <c r="V476" s="42">
        <v>1005.3</v>
      </c>
      <c r="W476" s="42">
        <f>+SUM(U476:V476)</f>
        <v>5400.9900000000007</v>
      </c>
      <c r="X476" s="42">
        <v>19166.75</v>
      </c>
      <c r="Y476" s="42">
        <v>5696.12</v>
      </c>
      <c r="Z476" s="32">
        <f>+SUM(X476:Y476)</f>
        <v>24862.87</v>
      </c>
      <c r="AA476" s="42">
        <v>30382.97</v>
      </c>
      <c r="AB476" s="42">
        <v>76549.819999999992</v>
      </c>
      <c r="AC476" s="32">
        <f>+SUM(AA476:AB476)</f>
        <v>106932.79</v>
      </c>
      <c r="AD476" s="42">
        <v>1801</v>
      </c>
      <c r="AE476" s="42">
        <v>13035.24</v>
      </c>
      <c r="AF476" s="32">
        <f>+SUM(AD476:AE476)</f>
        <v>14836.24</v>
      </c>
      <c r="AG476" s="32">
        <v>5987.34</v>
      </c>
      <c r="AH476" s="32">
        <v>60707.100000000006</v>
      </c>
      <c r="AI476" s="32">
        <f>+SUM(AG476:AH476)</f>
        <v>66694.44</v>
      </c>
      <c r="AJ476" s="42"/>
      <c r="AK476" s="42"/>
      <c r="AL476" s="42">
        <v>20849.400000000001</v>
      </c>
      <c r="AM476" s="42">
        <v>124686.25</v>
      </c>
      <c r="AN476" s="42">
        <v>127708.28</v>
      </c>
      <c r="AO476" s="42">
        <f>+SUM(AM476:AN476)</f>
        <v>252394.53</v>
      </c>
      <c r="AP476" s="42"/>
      <c r="AQ476" s="42"/>
      <c r="AR476" s="42">
        <v>668768.32000000007</v>
      </c>
      <c r="AS476" s="42"/>
      <c r="AT476" s="42"/>
      <c r="AU476" s="42">
        <v>1233568.4400000002</v>
      </c>
      <c r="AV476" s="42"/>
      <c r="AW476" s="42"/>
      <c r="AX476" s="42">
        <v>52575.490000000005</v>
      </c>
      <c r="AY476" s="42">
        <v>2656110</v>
      </c>
      <c r="AZ476" s="42">
        <v>595090</v>
      </c>
      <c r="BA476" s="43">
        <f t="shared" si="38"/>
        <v>3251200</v>
      </c>
      <c r="BB476" s="42"/>
      <c r="BC476" s="42"/>
      <c r="BD476" s="42">
        <v>823975.44444444438</v>
      </c>
      <c r="BE476" s="88">
        <v>0</v>
      </c>
      <c r="BF476" s="88">
        <v>0</v>
      </c>
      <c r="BG476" s="88">
        <v>97</v>
      </c>
      <c r="BH476" s="88">
        <v>0</v>
      </c>
      <c r="BI476" s="88">
        <v>0</v>
      </c>
      <c r="BJ476" s="88">
        <v>1</v>
      </c>
      <c r="BK476" s="88">
        <v>0</v>
      </c>
      <c r="BL476" s="88">
        <v>0</v>
      </c>
      <c r="BM476" s="88">
        <v>175</v>
      </c>
      <c r="BN476" s="88">
        <v>0</v>
      </c>
      <c r="BO476" s="88">
        <v>0</v>
      </c>
      <c r="BP476" s="88">
        <v>1</v>
      </c>
      <c r="BQ476" s="88">
        <v>0</v>
      </c>
      <c r="BR476" s="88">
        <v>0</v>
      </c>
      <c r="BS476" s="88">
        <v>627</v>
      </c>
      <c r="BT476" s="88">
        <v>0</v>
      </c>
      <c r="BU476" s="88">
        <v>0</v>
      </c>
      <c r="BV476" s="88">
        <v>0</v>
      </c>
      <c r="BW476" s="88">
        <v>0</v>
      </c>
      <c r="BX476" s="88">
        <v>0</v>
      </c>
      <c r="BY476" s="88">
        <v>1</v>
      </c>
      <c r="BZ476" s="88">
        <v>0</v>
      </c>
      <c r="CA476" s="88">
        <v>0</v>
      </c>
      <c r="CB476" s="88">
        <v>341</v>
      </c>
      <c r="CC476" s="88">
        <v>0</v>
      </c>
      <c r="CD476" s="88">
        <v>0</v>
      </c>
      <c r="CE476" s="88">
        <v>22</v>
      </c>
      <c r="CF476" s="88">
        <v>0</v>
      </c>
      <c r="CG476" s="88">
        <v>0</v>
      </c>
      <c r="CH476" s="88">
        <v>1</v>
      </c>
      <c r="CI476" s="88">
        <v>0</v>
      </c>
      <c r="CJ476" s="88">
        <v>0</v>
      </c>
      <c r="CK476" s="88">
        <v>19</v>
      </c>
      <c r="CL476" s="88">
        <v>0</v>
      </c>
      <c r="CM476" s="88">
        <v>0</v>
      </c>
      <c r="CN476" s="88">
        <v>0</v>
      </c>
      <c r="CO476" s="88">
        <v>0</v>
      </c>
      <c r="CP476" s="88">
        <v>0</v>
      </c>
      <c r="CQ476" s="88">
        <v>43</v>
      </c>
      <c r="CR476" s="88">
        <v>0</v>
      </c>
      <c r="CS476" s="88">
        <v>0</v>
      </c>
      <c r="CT476" s="88">
        <v>0</v>
      </c>
      <c r="CU476" s="88">
        <v>0</v>
      </c>
      <c r="CV476" s="88">
        <v>0</v>
      </c>
      <c r="CW476" s="88">
        <v>71</v>
      </c>
      <c r="CX476" s="88">
        <v>0</v>
      </c>
      <c r="CY476" s="88">
        <v>0</v>
      </c>
      <c r="CZ476" s="88">
        <v>0</v>
      </c>
      <c r="DA476" s="88">
        <v>0</v>
      </c>
      <c r="DB476" s="88">
        <v>0</v>
      </c>
      <c r="DC476" s="88">
        <v>0</v>
      </c>
      <c r="DD476" s="88">
        <v>0</v>
      </c>
      <c r="DE476" s="88">
        <v>0</v>
      </c>
      <c r="DF476" s="88">
        <v>0</v>
      </c>
      <c r="DG476" s="88">
        <v>0</v>
      </c>
      <c r="DH476" s="88">
        <v>0</v>
      </c>
      <c r="DI476" s="88">
        <v>2</v>
      </c>
      <c r="DJ476" s="88">
        <v>0</v>
      </c>
      <c r="DK476" s="88">
        <v>0</v>
      </c>
      <c r="DL476" s="88">
        <v>0</v>
      </c>
      <c r="DM476" s="88">
        <v>0</v>
      </c>
      <c r="DN476" s="88">
        <v>0</v>
      </c>
      <c r="DO476" s="88">
        <v>0</v>
      </c>
      <c r="DP476" s="88">
        <v>0</v>
      </c>
      <c r="DQ476" s="88">
        <v>0</v>
      </c>
      <c r="DR476" s="87">
        <v>3</v>
      </c>
      <c r="DS476" s="87">
        <v>0</v>
      </c>
      <c r="DT476" s="87">
        <v>0</v>
      </c>
      <c r="DU476" s="87">
        <v>1068</v>
      </c>
      <c r="DV476" s="87">
        <v>0</v>
      </c>
      <c r="DW476" s="87">
        <v>0</v>
      </c>
      <c r="DX476" s="87">
        <v>0</v>
      </c>
      <c r="DY476" s="87">
        <v>0</v>
      </c>
      <c r="DZ476" s="87">
        <v>0</v>
      </c>
      <c r="EA476" s="88">
        <v>1020</v>
      </c>
      <c r="EB476" s="88">
        <v>0</v>
      </c>
      <c r="EC476" s="88">
        <v>0</v>
      </c>
      <c r="ED476" s="88">
        <v>59</v>
      </c>
      <c r="EE476" s="88">
        <v>0</v>
      </c>
      <c r="EF476" s="88">
        <v>0</v>
      </c>
      <c r="EG476" s="88">
        <v>551</v>
      </c>
      <c r="EH476" s="88">
        <v>0</v>
      </c>
      <c r="EI476" s="88">
        <v>0</v>
      </c>
      <c r="EJ476" s="88">
        <v>656</v>
      </c>
      <c r="EK476" s="88">
        <v>0</v>
      </c>
      <c r="EL476" s="88">
        <v>0</v>
      </c>
      <c r="EM476" s="88">
        <v>133</v>
      </c>
      <c r="EN476" s="88">
        <v>0</v>
      </c>
      <c r="EO476" s="88">
        <v>0</v>
      </c>
      <c r="EP476" s="88">
        <v>97</v>
      </c>
      <c r="EQ476" s="88">
        <v>0</v>
      </c>
      <c r="ER476" s="88">
        <v>0</v>
      </c>
      <c r="ES476" s="88">
        <v>1</v>
      </c>
      <c r="ET476" s="88">
        <v>0</v>
      </c>
      <c r="EU476" s="88">
        <v>0</v>
      </c>
      <c r="EV476" s="88">
        <v>1</v>
      </c>
      <c r="EW476" s="88">
        <v>0</v>
      </c>
      <c r="EX476" s="88">
        <v>0</v>
      </c>
      <c r="EY476" s="88">
        <v>1</v>
      </c>
      <c r="EZ476" s="88">
        <v>0</v>
      </c>
      <c r="FA476" s="88">
        <v>0</v>
      </c>
      <c r="FB476" s="88">
        <v>5</v>
      </c>
      <c r="FC476" s="88">
        <v>0</v>
      </c>
      <c r="FD476" s="88">
        <v>0</v>
      </c>
      <c r="FE476" s="88">
        <v>3</v>
      </c>
      <c r="FF476" s="88">
        <v>0</v>
      </c>
      <c r="FG476" s="88">
        <v>0</v>
      </c>
      <c r="FH476" s="88">
        <v>0</v>
      </c>
      <c r="FI476" s="88">
        <v>0</v>
      </c>
      <c r="FJ476" s="88">
        <v>0</v>
      </c>
      <c r="FK476" s="32">
        <v>258</v>
      </c>
      <c r="FL476" s="88">
        <v>0</v>
      </c>
      <c r="FM476" s="88">
        <v>0</v>
      </c>
      <c r="FN476" s="88">
        <v>4510</v>
      </c>
      <c r="FO476" s="88">
        <v>0</v>
      </c>
      <c r="FP476" s="88">
        <v>0</v>
      </c>
      <c r="FQ476" s="88">
        <v>1301</v>
      </c>
      <c r="FR476" s="88">
        <v>0</v>
      </c>
      <c r="FS476" s="88">
        <v>0</v>
      </c>
      <c r="FT476" s="88">
        <v>0</v>
      </c>
      <c r="FU476" s="88">
        <v>0</v>
      </c>
      <c r="FV476" s="88">
        <v>0</v>
      </c>
      <c r="FW476" s="88">
        <v>352</v>
      </c>
      <c r="FX476" s="32">
        <v>0</v>
      </c>
      <c r="FY476" s="32">
        <v>0</v>
      </c>
      <c r="FZ476" s="32">
        <v>24</v>
      </c>
      <c r="GB476" s="46">
        <f>+SUM(BG476:FZ476)</f>
        <v>11444</v>
      </c>
    </row>
    <row r="477" spans="1:184" s="22" customFormat="1" x14ac:dyDescent="0.2">
      <c r="A477" s="41">
        <v>46082</v>
      </c>
      <c r="B477" s="100">
        <f>+E477+H477+K477+N477+Q477+T477+W477+Z477+AC477+AF477+AI477+AL477+AO477+AR477</f>
        <v>96287662.36999999</v>
      </c>
      <c r="C477" s="42">
        <v>19631.02</v>
      </c>
      <c r="D477" s="42">
        <v>186059.93</v>
      </c>
      <c r="E477" s="43">
        <f>+SUM(C477:D477)</f>
        <v>205690.94999999998</v>
      </c>
      <c r="F477" s="42">
        <v>3468480.15</v>
      </c>
      <c r="G477" s="42">
        <v>4342009.6399999997</v>
      </c>
      <c r="H477" s="32">
        <f>+SUM(F477:G477)</f>
        <v>7810489.7899999991</v>
      </c>
      <c r="I477" s="42"/>
      <c r="J477" s="42"/>
      <c r="K477" s="98">
        <v>17861427.930000003</v>
      </c>
      <c r="L477" s="42"/>
      <c r="M477" s="42"/>
      <c r="N477" s="98">
        <v>27643100.34</v>
      </c>
      <c r="O477" s="42"/>
      <c r="P477" s="42"/>
      <c r="Q477" s="98">
        <v>41258344.469999999</v>
      </c>
      <c r="R477" s="42"/>
      <c r="S477" s="42"/>
      <c r="T477" s="42">
        <v>260475.86</v>
      </c>
      <c r="U477" s="42">
        <v>5096.87</v>
      </c>
      <c r="V477" s="42">
        <v>1078.4000000000001</v>
      </c>
      <c r="W477" s="42">
        <f>+SUM(U477:V477)</f>
        <v>6175.27</v>
      </c>
      <c r="X477" s="42">
        <v>963.25</v>
      </c>
      <c r="Y477" s="42">
        <v>10164.030000000001</v>
      </c>
      <c r="Z477" s="32">
        <f>+SUM(X477:Y477)</f>
        <v>11127.28</v>
      </c>
      <c r="AA477" s="42">
        <v>33949.800000000003</v>
      </c>
      <c r="AB477" s="42">
        <v>98757.09</v>
      </c>
      <c r="AC477" s="32">
        <f>+SUM(AA477:AB477)</f>
        <v>132706.89000000001</v>
      </c>
      <c r="AD477" s="42">
        <v>1035.77</v>
      </c>
      <c r="AE477" s="42">
        <v>27774.44</v>
      </c>
      <c r="AF477" s="32">
        <f>+SUM(AD477:AE477)</f>
        <v>28810.21</v>
      </c>
      <c r="AG477" s="32">
        <v>6070.66</v>
      </c>
      <c r="AH477" s="32">
        <v>82085.049999999988</v>
      </c>
      <c r="AI477" s="32">
        <f>+SUM(AG477:AH477)</f>
        <v>88155.709999999992</v>
      </c>
      <c r="AJ477" s="42"/>
      <c r="AK477" s="42"/>
      <c r="AL477" s="42">
        <v>35352.449999999997</v>
      </c>
      <c r="AM477" s="42">
        <v>96996.49</v>
      </c>
      <c r="AN477" s="42">
        <v>190524.15</v>
      </c>
      <c r="AO477" s="42">
        <f>+SUM(AM477:AN477)</f>
        <v>287520.64000000001</v>
      </c>
      <c r="AP477" s="42"/>
      <c r="AQ477" s="42"/>
      <c r="AR477" s="42">
        <v>658284.57999999996</v>
      </c>
      <c r="AS477" s="42"/>
      <c r="AT477" s="42"/>
      <c r="AU477" s="42">
        <v>1932958.5400000007</v>
      </c>
      <c r="AV477" s="42"/>
      <c r="AW477" s="42"/>
      <c r="AX477" s="42">
        <v>68794.060000000012</v>
      </c>
      <c r="AY477" s="42">
        <v>4097090.1</v>
      </c>
      <c r="AZ477" s="42">
        <v>596940</v>
      </c>
      <c r="BA477" s="43">
        <f t="shared" si="38"/>
        <v>4694030.0999999996</v>
      </c>
      <c r="BB477" s="42"/>
      <c r="BC477" s="42"/>
      <c r="BD477" s="42">
        <v>1080979.4444444445</v>
      </c>
      <c r="BE477" s="88">
        <v>0</v>
      </c>
      <c r="BF477" s="88">
        <v>0</v>
      </c>
      <c r="BG477" s="88">
        <v>100</v>
      </c>
      <c r="BH477" s="88">
        <v>0</v>
      </c>
      <c r="BI477" s="88">
        <v>0</v>
      </c>
      <c r="BJ477" s="88">
        <v>12</v>
      </c>
      <c r="BK477" s="88">
        <v>0</v>
      </c>
      <c r="BL477" s="88">
        <v>0</v>
      </c>
      <c r="BM477" s="88">
        <v>195</v>
      </c>
      <c r="BN477" s="88">
        <v>0</v>
      </c>
      <c r="BO477" s="88">
        <v>0</v>
      </c>
      <c r="BP477" s="88">
        <v>1</v>
      </c>
      <c r="BQ477" s="88">
        <v>0</v>
      </c>
      <c r="BR477" s="88">
        <v>0</v>
      </c>
      <c r="BS477" s="88">
        <v>555</v>
      </c>
      <c r="BT477" s="88">
        <v>0</v>
      </c>
      <c r="BU477" s="88">
        <v>0</v>
      </c>
      <c r="BV477" s="88">
        <v>1</v>
      </c>
      <c r="BW477" s="88">
        <v>0</v>
      </c>
      <c r="BX477" s="88">
        <v>0</v>
      </c>
      <c r="BY477" s="88">
        <v>2</v>
      </c>
      <c r="BZ477" s="88">
        <v>0</v>
      </c>
      <c r="CA477" s="88">
        <v>0</v>
      </c>
      <c r="CB477" s="88">
        <v>457</v>
      </c>
      <c r="CC477" s="88">
        <v>0</v>
      </c>
      <c r="CD477" s="88">
        <v>0</v>
      </c>
      <c r="CE477" s="88">
        <v>36</v>
      </c>
      <c r="CF477" s="88">
        <v>0</v>
      </c>
      <c r="CG477" s="88">
        <v>0</v>
      </c>
      <c r="CH477" s="88">
        <v>0</v>
      </c>
      <c r="CI477" s="88">
        <v>0</v>
      </c>
      <c r="CJ477" s="88">
        <v>0</v>
      </c>
      <c r="CK477" s="88">
        <v>30</v>
      </c>
      <c r="CL477" s="88">
        <v>0</v>
      </c>
      <c r="CM477" s="88">
        <v>0</v>
      </c>
      <c r="CN477" s="88">
        <v>0</v>
      </c>
      <c r="CO477" s="88">
        <v>0</v>
      </c>
      <c r="CP477" s="88">
        <v>0</v>
      </c>
      <c r="CQ477" s="88">
        <v>38</v>
      </c>
      <c r="CR477" s="88">
        <v>0</v>
      </c>
      <c r="CS477" s="88">
        <v>0</v>
      </c>
      <c r="CT477" s="88">
        <v>0</v>
      </c>
      <c r="CU477" s="88">
        <v>0</v>
      </c>
      <c r="CV477" s="88">
        <v>0</v>
      </c>
      <c r="CW477" s="88">
        <v>90</v>
      </c>
      <c r="CX477" s="88">
        <v>0</v>
      </c>
      <c r="CY477" s="88">
        <v>0</v>
      </c>
      <c r="CZ477" s="88">
        <v>1</v>
      </c>
      <c r="DA477" s="88">
        <v>0</v>
      </c>
      <c r="DB477" s="88">
        <v>0</v>
      </c>
      <c r="DC477" s="88">
        <v>0</v>
      </c>
      <c r="DD477" s="88">
        <v>0</v>
      </c>
      <c r="DE477" s="88">
        <v>0</v>
      </c>
      <c r="DF477" s="88">
        <v>0</v>
      </c>
      <c r="DG477" s="88">
        <v>0</v>
      </c>
      <c r="DH477" s="88">
        <v>0</v>
      </c>
      <c r="DI477" s="88">
        <v>1</v>
      </c>
      <c r="DJ477" s="88">
        <v>0</v>
      </c>
      <c r="DK477" s="88">
        <v>0</v>
      </c>
      <c r="DL477" s="88">
        <v>0</v>
      </c>
      <c r="DM477" s="88">
        <v>0</v>
      </c>
      <c r="DN477" s="88">
        <v>0</v>
      </c>
      <c r="DO477" s="88">
        <v>0</v>
      </c>
      <c r="DP477" s="88">
        <v>0</v>
      </c>
      <c r="DQ477" s="88">
        <v>0</v>
      </c>
      <c r="DR477" s="87">
        <v>2</v>
      </c>
      <c r="DS477" s="87">
        <v>0</v>
      </c>
      <c r="DT477" s="87">
        <v>0</v>
      </c>
      <c r="DU477" s="87">
        <v>1120</v>
      </c>
      <c r="DV477" s="87">
        <v>0</v>
      </c>
      <c r="DW477" s="87">
        <v>0</v>
      </c>
      <c r="DX477" s="87">
        <v>0</v>
      </c>
      <c r="DY477" s="87">
        <v>0</v>
      </c>
      <c r="DZ477" s="87">
        <v>0</v>
      </c>
      <c r="EA477" s="88">
        <v>1192</v>
      </c>
      <c r="EB477" s="88">
        <v>0</v>
      </c>
      <c r="EC477" s="88">
        <v>0</v>
      </c>
      <c r="ED477" s="88">
        <v>139</v>
      </c>
      <c r="EE477" s="88">
        <v>0</v>
      </c>
      <c r="EF477" s="88">
        <v>0</v>
      </c>
      <c r="EG477" s="88">
        <v>579</v>
      </c>
      <c r="EH477" s="88">
        <v>0</v>
      </c>
      <c r="EI477" s="88">
        <v>0</v>
      </c>
      <c r="EJ477" s="88">
        <v>528</v>
      </c>
      <c r="EK477" s="88">
        <v>0</v>
      </c>
      <c r="EL477" s="88">
        <v>0</v>
      </c>
      <c r="EM477" s="88">
        <v>162</v>
      </c>
      <c r="EN477" s="88">
        <v>0</v>
      </c>
      <c r="EO477" s="88">
        <v>0</v>
      </c>
      <c r="EP477" s="88">
        <v>135</v>
      </c>
      <c r="EQ477" s="88">
        <v>0</v>
      </c>
      <c r="ER477" s="88">
        <v>0</v>
      </c>
      <c r="ES477" s="88">
        <v>9</v>
      </c>
      <c r="ET477" s="88">
        <v>0</v>
      </c>
      <c r="EU477" s="88">
        <v>0</v>
      </c>
      <c r="EV477" s="88">
        <v>0</v>
      </c>
      <c r="EW477" s="88">
        <v>0</v>
      </c>
      <c r="EX477" s="88">
        <v>0</v>
      </c>
      <c r="EY477" s="88">
        <v>4</v>
      </c>
      <c r="EZ477" s="88">
        <v>0</v>
      </c>
      <c r="FA477" s="88">
        <v>0</v>
      </c>
      <c r="FB477" s="88">
        <v>1</v>
      </c>
      <c r="FC477" s="88">
        <v>0</v>
      </c>
      <c r="FD477" s="88">
        <v>0</v>
      </c>
      <c r="FE477" s="88">
        <v>3</v>
      </c>
      <c r="FF477" s="88">
        <v>0</v>
      </c>
      <c r="FG477" s="88">
        <v>0</v>
      </c>
      <c r="FH477" s="88">
        <v>1</v>
      </c>
      <c r="FI477" s="88">
        <v>0</v>
      </c>
      <c r="FJ477" s="88">
        <v>0</v>
      </c>
      <c r="FK477" s="32">
        <v>312</v>
      </c>
      <c r="FL477" s="88">
        <v>0</v>
      </c>
      <c r="FM477" s="88">
        <v>0</v>
      </c>
      <c r="FN477" s="88">
        <v>6697</v>
      </c>
      <c r="FO477" s="88">
        <v>0</v>
      </c>
      <c r="FP477" s="88">
        <v>0</v>
      </c>
      <c r="FQ477" s="88">
        <v>1175</v>
      </c>
      <c r="FR477" s="88">
        <v>0</v>
      </c>
      <c r="FS477" s="88">
        <v>0</v>
      </c>
      <c r="FT477" s="88">
        <v>0</v>
      </c>
      <c r="FU477" s="88">
        <v>0</v>
      </c>
      <c r="FV477" s="88">
        <v>0</v>
      </c>
      <c r="FW477" s="88">
        <v>195</v>
      </c>
      <c r="FX477" s="32">
        <v>0</v>
      </c>
      <c r="FY477" s="32">
        <v>0</v>
      </c>
      <c r="FZ477" s="32">
        <v>15</v>
      </c>
      <c r="GB477" s="46">
        <f>+SUM(BG477:FZ477)</f>
        <v>13788</v>
      </c>
    </row>
    <row r="478" spans="1:184" s="22" customFormat="1" x14ac:dyDescent="0.2">
      <c r="A478" s="41"/>
      <c r="B478" s="100"/>
      <c r="C478" s="42"/>
      <c r="D478" s="42"/>
      <c r="E478" s="43"/>
      <c r="F478" s="42"/>
      <c r="G478" s="42"/>
      <c r="H478" s="32"/>
      <c r="I478" s="42"/>
      <c r="J478" s="42"/>
      <c r="K478" s="98"/>
      <c r="L478" s="42"/>
      <c r="M478" s="42"/>
      <c r="N478" s="98"/>
      <c r="O478" s="42"/>
      <c r="P478" s="42"/>
      <c r="Q478" s="98"/>
      <c r="R478" s="42"/>
      <c r="S478" s="42"/>
      <c r="T478" s="42"/>
      <c r="U478" s="42"/>
      <c r="V478" s="42"/>
      <c r="W478" s="42"/>
      <c r="X478" s="42"/>
      <c r="Y478" s="42"/>
      <c r="Z478" s="32"/>
      <c r="AA478" s="42"/>
      <c r="AB478" s="42"/>
      <c r="AC478" s="32"/>
      <c r="AD478" s="42"/>
      <c r="AE478" s="42"/>
      <c r="AF478" s="32"/>
      <c r="AG478" s="32"/>
      <c r="AH478" s="32"/>
      <c r="AI478" s="3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3"/>
      <c r="BB478" s="42"/>
      <c r="BC478" s="42"/>
      <c r="BD478" s="42"/>
      <c r="BE478" s="88"/>
      <c r="BF478" s="88"/>
      <c r="BG478" s="88"/>
      <c r="BH478" s="88"/>
      <c r="BI478" s="88"/>
      <c r="BJ478" s="88"/>
      <c r="BK478" s="88"/>
      <c r="BL478" s="88"/>
      <c r="BM478" s="88"/>
      <c r="BN478" s="88"/>
      <c r="BO478" s="88"/>
      <c r="BP478" s="88"/>
      <c r="BQ478" s="88"/>
      <c r="BR478" s="88"/>
      <c r="BS478" s="88"/>
      <c r="BT478" s="88"/>
      <c r="BU478" s="88"/>
      <c r="BV478" s="88"/>
      <c r="BW478" s="88"/>
      <c r="BX478" s="88"/>
      <c r="BY478" s="88"/>
      <c r="BZ478" s="88"/>
      <c r="CA478" s="88"/>
      <c r="CB478" s="88"/>
      <c r="CC478" s="88"/>
      <c r="CD478" s="88"/>
      <c r="CE478" s="88"/>
      <c r="CF478" s="88"/>
      <c r="CG478" s="88"/>
      <c r="CH478" s="88"/>
      <c r="CI478" s="88"/>
      <c r="CJ478" s="88"/>
      <c r="CK478" s="88"/>
      <c r="CL478" s="88"/>
      <c r="CM478" s="88"/>
      <c r="CN478" s="88"/>
      <c r="CO478" s="88"/>
      <c r="CP478" s="88"/>
      <c r="CQ478" s="88"/>
      <c r="CR478" s="88"/>
      <c r="CS478" s="88"/>
      <c r="CT478" s="88"/>
      <c r="CU478" s="88"/>
      <c r="CV478" s="88"/>
      <c r="CW478" s="88"/>
      <c r="CX478" s="88"/>
      <c r="CY478" s="88"/>
      <c r="CZ478" s="88"/>
      <c r="DA478" s="88"/>
      <c r="DB478" s="88"/>
      <c r="DC478" s="88"/>
      <c r="DD478" s="88"/>
      <c r="DE478" s="88"/>
      <c r="DF478" s="88"/>
      <c r="DG478" s="88"/>
      <c r="DH478" s="88"/>
      <c r="DI478" s="88"/>
      <c r="DJ478" s="88"/>
      <c r="DK478" s="88"/>
      <c r="DL478" s="88"/>
      <c r="DM478" s="88"/>
      <c r="DN478" s="88"/>
      <c r="DO478" s="88"/>
      <c r="DP478" s="88"/>
      <c r="DQ478" s="88"/>
      <c r="DR478" s="87"/>
      <c r="DS478" s="87"/>
      <c r="DT478" s="87"/>
      <c r="DU478" s="87"/>
      <c r="DV478" s="87"/>
      <c r="DW478" s="87"/>
      <c r="DX478" s="87"/>
      <c r="DY478" s="87"/>
      <c r="DZ478" s="87"/>
      <c r="EA478" s="88"/>
      <c r="EB478" s="88"/>
      <c r="EC478" s="88"/>
      <c r="ED478" s="88"/>
      <c r="EE478" s="88"/>
      <c r="EF478" s="88"/>
      <c r="EG478" s="88"/>
      <c r="EH478" s="88"/>
      <c r="EI478" s="88"/>
      <c r="EJ478" s="88"/>
      <c r="EK478" s="88"/>
      <c r="EL478" s="88"/>
      <c r="EM478" s="88"/>
      <c r="EN478" s="88"/>
      <c r="EO478" s="88"/>
      <c r="EP478" s="88"/>
      <c r="EQ478" s="88"/>
      <c r="ER478" s="88"/>
      <c r="ES478" s="88"/>
      <c r="ET478" s="88"/>
      <c r="EU478" s="88"/>
      <c r="EV478" s="88"/>
      <c r="EW478" s="88"/>
      <c r="EX478" s="88"/>
      <c r="EY478" s="88"/>
      <c r="EZ478" s="88"/>
      <c r="FA478" s="88"/>
      <c r="FB478" s="88"/>
      <c r="FC478" s="88"/>
      <c r="FD478" s="88"/>
      <c r="FE478" s="88"/>
      <c r="FF478" s="88"/>
      <c r="FG478" s="88"/>
      <c r="FH478" s="88"/>
      <c r="FI478" s="88"/>
      <c r="FJ478" s="88"/>
      <c r="FK478" s="32"/>
      <c r="FL478" s="88"/>
      <c r="FM478" s="88"/>
      <c r="FN478" s="88"/>
      <c r="FO478" s="88"/>
      <c r="FP478" s="88"/>
      <c r="FQ478" s="88"/>
      <c r="FR478" s="88"/>
      <c r="FS478" s="88"/>
      <c r="FT478" s="88"/>
      <c r="FU478" s="88"/>
      <c r="FV478" s="88"/>
      <c r="FW478" s="88"/>
      <c r="FX478" s="32"/>
      <c r="FY478" s="32"/>
      <c r="FZ478" s="32"/>
    </row>
    <row r="480" spans="1:184" s="105" customFormat="1" x14ac:dyDescent="0.2">
      <c r="B480" s="105">
        <v>2010</v>
      </c>
      <c r="C480" s="106">
        <f>+SUM(C283:C294)</f>
        <v>3298710.0899999994</v>
      </c>
      <c r="D480" s="106">
        <f t="shared" ref="D480:E480" si="48">+SUM(D283:D294)</f>
        <v>3130014.26</v>
      </c>
      <c r="E480" s="106">
        <f t="shared" si="48"/>
        <v>6428724.3499999996</v>
      </c>
      <c r="F480" s="106">
        <f t="shared" ref="F480:AL480" si="49">+SUM(F283:F294)</f>
        <v>90223190.949999988</v>
      </c>
      <c r="G480" s="106">
        <f t="shared" si="49"/>
        <v>3941468.66</v>
      </c>
      <c r="H480" s="106">
        <f t="shared" si="49"/>
        <v>94164659.610000014</v>
      </c>
      <c r="I480" s="106">
        <f t="shared" si="49"/>
        <v>0</v>
      </c>
      <c r="J480" s="106">
        <f t="shared" si="49"/>
        <v>0</v>
      </c>
      <c r="K480" s="106">
        <f t="shared" si="49"/>
        <v>137366832.38999999</v>
      </c>
      <c r="L480" s="106">
        <f t="shared" si="49"/>
        <v>0</v>
      </c>
      <c r="M480" s="106">
        <f t="shared" si="49"/>
        <v>0</v>
      </c>
      <c r="N480" s="106">
        <f t="shared" si="49"/>
        <v>289154300.67999995</v>
      </c>
      <c r="O480" s="106">
        <f t="shared" si="49"/>
        <v>0</v>
      </c>
      <c r="P480" s="106">
        <f t="shared" si="49"/>
        <v>0</v>
      </c>
      <c r="Q480" s="106">
        <f t="shared" si="49"/>
        <v>215502716.84999999</v>
      </c>
      <c r="R480" s="106">
        <f t="shared" si="49"/>
        <v>0</v>
      </c>
      <c r="S480" s="106">
        <f t="shared" si="49"/>
        <v>0</v>
      </c>
      <c r="T480" s="106">
        <f t="shared" si="49"/>
        <v>1522692.87</v>
      </c>
      <c r="U480" s="106">
        <f t="shared" si="49"/>
        <v>124024.54000000001</v>
      </c>
      <c r="V480" s="106">
        <f t="shared" si="49"/>
        <v>65108.529999999992</v>
      </c>
      <c r="W480" s="106">
        <f t="shared" si="49"/>
        <v>189133.07</v>
      </c>
      <c r="X480" s="106">
        <f t="shared" si="49"/>
        <v>988658.76</v>
      </c>
      <c r="Y480" s="106">
        <f t="shared" si="49"/>
        <v>113730.15000000001</v>
      </c>
      <c r="Z480" s="106">
        <f t="shared" si="49"/>
        <v>1102388.9099999999</v>
      </c>
      <c r="AA480" s="106">
        <f t="shared" si="49"/>
        <v>1725754.2400000002</v>
      </c>
      <c r="AB480" s="106">
        <f t="shared" si="49"/>
        <v>91072.81</v>
      </c>
      <c r="AC480" s="106">
        <f t="shared" si="49"/>
        <v>1816827.05</v>
      </c>
      <c r="AD480" s="106">
        <f t="shared" si="49"/>
        <v>94828.44</v>
      </c>
      <c r="AE480" s="106">
        <f t="shared" si="49"/>
        <v>400161.38</v>
      </c>
      <c r="AF480" s="106">
        <f t="shared" si="49"/>
        <v>494989.82</v>
      </c>
      <c r="AG480" s="106">
        <f t="shared" si="49"/>
        <v>372694.79</v>
      </c>
      <c r="AH480" s="106">
        <f t="shared" si="49"/>
        <v>429487.47000000003</v>
      </c>
      <c r="AI480" s="106">
        <f t="shared" si="49"/>
        <v>802182.26</v>
      </c>
      <c r="AJ480" s="106">
        <f t="shared" si="49"/>
        <v>0</v>
      </c>
      <c r="AK480" s="106">
        <f t="shared" si="49"/>
        <v>0</v>
      </c>
      <c r="AL480" s="106">
        <f t="shared" si="49"/>
        <v>532995.96</v>
      </c>
      <c r="AM480" s="106"/>
      <c r="AN480" s="106"/>
      <c r="AO480" s="106"/>
      <c r="AP480" s="106"/>
      <c r="AQ480" s="106"/>
      <c r="AR480" s="106"/>
      <c r="AS480" s="106">
        <f t="shared" ref="AS480:CG480" si="50">+SUM(AS283:AS294)</f>
        <v>0</v>
      </c>
      <c r="AT480" s="106">
        <f t="shared" si="50"/>
        <v>0</v>
      </c>
      <c r="AU480" s="106">
        <f t="shared" si="50"/>
        <v>18652798.609999999</v>
      </c>
      <c r="AV480" s="106">
        <f t="shared" si="50"/>
        <v>0</v>
      </c>
      <c r="AW480" s="106">
        <f t="shared" si="50"/>
        <v>0</v>
      </c>
      <c r="AX480" s="106">
        <f t="shared" si="50"/>
        <v>453120.99</v>
      </c>
      <c r="AY480" s="106">
        <f t="shared" si="50"/>
        <v>110958425.49999999</v>
      </c>
      <c r="AZ480" s="106">
        <f t="shared" si="50"/>
        <v>1125148.5</v>
      </c>
      <c r="BA480" s="106">
        <f t="shared" si="50"/>
        <v>112083573.99999999</v>
      </c>
      <c r="BB480" s="106">
        <f t="shared" si="50"/>
        <v>0</v>
      </c>
      <c r="BC480" s="106">
        <f t="shared" si="50"/>
        <v>0</v>
      </c>
      <c r="BD480" s="106">
        <f t="shared" si="50"/>
        <v>19736704.355555557</v>
      </c>
      <c r="BE480" s="106">
        <f t="shared" si="50"/>
        <v>0</v>
      </c>
      <c r="BF480" s="106">
        <f t="shared" si="50"/>
        <v>0</v>
      </c>
      <c r="BG480" s="106">
        <f t="shared" si="50"/>
        <v>0</v>
      </c>
      <c r="BH480" s="106">
        <f t="shared" ref="BH480:BJ480" si="51">+SUM(BH283:BH294)</f>
        <v>0</v>
      </c>
      <c r="BI480" s="106">
        <f t="shared" si="51"/>
        <v>0</v>
      </c>
      <c r="BJ480" s="106">
        <f t="shared" si="51"/>
        <v>0</v>
      </c>
      <c r="BK480" s="106">
        <f t="shared" si="50"/>
        <v>0</v>
      </c>
      <c r="BL480" s="106">
        <f t="shared" si="50"/>
        <v>0</v>
      </c>
      <c r="BM480" s="106">
        <f t="shared" si="50"/>
        <v>0</v>
      </c>
      <c r="BN480" s="106">
        <f t="shared" ref="BN480:BP480" si="52">+SUM(BN283:BN294)</f>
        <v>0</v>
      </c>
      <c r="BO480" s="106">
        <f t="shared" si="52"/>
        <v>0</v>
      </c>
      <c r="BP480" s="106">
        <f t="shared" si="52"/>
        <v>0</v>
      </c>
      <c r="BQ480" s="106">
        <f t="shared" si="50"/>
        <v>0</v>
      </c>
      <c r="BR480" s="106">
        <f t="shared" si="50"/>
        <v>0</v>
      </c>
      <c r="BS480" s="106">
        <f t="shared" si="50"/>
        <v>0</v>
      </c>
      <c r="BT480" s="106">
        <f t="shared" ref="BT480:BV480" si="53">+SUM(BT283:BT294)</f>
        <v>0</v>
      </c>
      <c r="BU480" s="106">
        <f t="shared" si="53"/>
        <v>0</v>
      </c>
      <c r="BV480" s="106">
        <f t="shared" si="53"/>
        <v>0</v>
      </c>
      <c r="BW480" s="106"/>
      <c r="BX480" s="106"/>
      <c r="BY480" s="106"/>
      <c r="BZ480" s="106">
        <f t="shared" si="50"/>
        <v>0</v>
      </c>
      <c r="CA480" s="106">
        <f t="shared" si="50"/>
        <v>0</v>
      </c>
      <c r="CB480" s="106">
        <f t="shared" si="50"/>
        <v>0</v>
      </c>
      <c r="CC480" s="106"/>
      <c r="CD480" s="106"/>
      <c r="CE480" s="106"/>
      <c r="CF480" s="106">
        <f t="shared" si="50"/>
        <v>0</v>
      </c>
      <c r="CG480" s="106">
        <f t="shared" si="50"/>
        <v>0</v>
      </c>
      <c r="CH480" s="106">
        <f t="shared" ref="CH480:FW480" si="54">+SUM(CH283:CH294)</f>
        <v>0</v>
      </c>
      <c r="CI480" s="106">
        <f t="shared" si="54"/>
        <v>0</v>
      </c>
      <c r="CJ480" s="106">
        <f t="shared" si="54"/>
        <v>0</v>
      </c>
      <c r="CK480" s="106">
        <f t="shared" si="54"/>
        <v>0</v>
      </c>
      <c r="CL480" s="106">
        <f t="shared" ref="CL480:CN480" si="55">+SUM(CL283:CL294)</f>
        <v>0</v>
      </c>
      <c r="CM480" s="106">
        <f t="shared" si="55"/>
        <v>0</v>
      </c>
      <c r="CN480" s="106">
        <f t="shared" si="55"/>
        <v>0</v>
      </c>
      <c r="CO480" s="106">
        <f t="shared" si="54"/>
        <v>0</v>
      </c>
      <c r="CP480" s="106">
        <f t="shared" si="54"/>
        <v>0</v>
      </c>
      <c r="CQ480" s="106">
        <f t="shared" si="54"/>
        <v>0</v>
      </c>
      <c r="CR480" s="106">
        <f t="shared" ref="CR480:CT480" si="56">+SUM(CR283:CR294)</f>
        <v>0</v>
      </c>
      <c r="CS480" s="106">
        <f t="shared" si="56"/>
        <v>0</v>
      </c>
      <c r="CT480" s="106">
        <f t="shared" si="56"/>
        <v>0</v>
      </c>
      <c r="CU480" s="106">
        <f t="shared" si="54"/>
        <v>0</v>
      </c>
      <c r="CV480" s="106">
        <f t="shared" si="54"/>
        <v>0</v>
      </c>
      <c r="CW480" s="106">
        <f t="shared" si="54"/>
        <v>0</v>
      </c>
      <c r="CX480" s="106">
        <f t="shared" ref="CX480:CZ480" si="57">+SUM(CX283:CX294)</f>
        <v>0</v>
      </c>
      <c r="CY480" s="106">
        <f t="shared" si="57"/>
        <v>0</v>
      </c>
      <c r="CZ480" s="106">
        <f t="shared" si="57"/>
        <v>0</v>
      </c>
      <c r="DA480" s="106">
        <f t="shared" si="54"/>
        <v>0</v>
      </c>
      <c r="DB480" s="106">
        <f t="shared" si="54"/>
        <v>0</v>
      </c>
      <c r="DC480" s="106">
        <f t="shared" si="54"/>
        <v>0</v>
      </c>
      <c r="DD480" s="106">
        <f t="shared" ref="DD480:DF480" si="58">+SUM(DD283:DD294)</f>
        <v>0</v>
      </c>
      <c r="DE480" s="106">
        <f t="shared" si="58"/>
        <v>0</v>
      </c>
      <c r="DF480" s="106">
        <f t="shared" si="58"/>
        <v>0</v>
      </c>
      <c r="DG480" s="106">
        <f t="shared" si="54"/>
        <v>0</v>
      </c>
      <c r="DH480" s="106">
        <f t="shared" si="54"/>
        <v>0</v>
      </c>
      <c r="DI480" s="106">
        <f t="shared" si="54"/>
        <v>0</v>
      </c>
      <c r="DJ480" s="106">
        <f t="shared" ref="DJ480:DL480" si="59">+SUM(DJ283:DJ294)</f>
        <v>0</v>
      </c>
      <c r="DK480" s="106">
        <f t="shared" si="59"/>
        <v>0</v>
      </c>
      <c r="DL480" s="106">
        <f t="shared" si="59"/>
        <v>0</v>
      </c>
      <c r="DM480" s="106">
        <f t="shared" si="54"/>
        <v>0</v>
      </c>
      <c r="DN480" s="106">
        <f t="shared" si="54"/>
        <v>0</v>
      </c>
      <c r="DO480" s="106">
        <f t="shared" si="54"/>
        <v>0</v>
      </c>
      <c r="DP480" s="106">
        <f t="shared" si="54"/>
        <v>0</v>
      </c>
      <c r="DQ480" s="106">
        <f t="shared" si="54"/>
        <v>0</v>
      </c>
      <c r="DR480" s="106">
        <f t="shared" si="54"/>
        <v>0</v>
      </c>
      <c r="DS480" s="106">
        <f t="shared" ref="DS480:DX480" si="60">+SUM(DS283:DS294)</f>
        <v>0</v>
      </c>
      <c r="DT480" s="106">
        <f t="shared" si="60"/>
        <v>0</v>
      </c>
      <c r="DU480" s="106">
        <f t="shared" si="60"/>
        <v>0</v>
      </c>
      <c r="DV480" s="106">
        <f t="shared" si="60"/>
        <v>0</v>
      </c>
      <c r="DW480" s="106">
        <f t="shared" si="60"/>
        <v>0</v>
      </c>
      <c r="DX480" s="106">
        <f t="shared" si="60"/>
        <v>0</v>
      </c>
      <c r="DY480" s="106">
        <f t="shared" si="54"/>
        <v>0</v>
      </c>
      <c r="DZ480" s="106">
        <f t="shared" si="54"/>
        <v>0</v>
      </c>
      <c r="EA480" s="106">
        <f t="shared" si="54"/>
        <v>0</v>
      </c>
      <c r="EB480" s="106">
        <f t="shared" ref="EB480:ED480" si="61">+SUM(EB283:EB294)</f>
        <v>0</v>
      </c>
      <c r="EC480" s="106">
        <f t="shared" si="61"/>
        <v>0</v>
      </c>
      <c r="ED480" s="106">
        <f t="shared" si="61"/>
        <v>0</v>
      </c>
      <c r="EE480" s="106">
        <f t="shared" si="54"/>
        <v>0</v>
      </c>
      <c r="EF480" s="106">
        <f t="shared" si="54"/>
        <v>0</v>
      </c>
      <c r="EG480" s="106">
        <f t="shared" si="54"/>
        <v>0</v>
      </c>
      <c r="EH480" s="106">
        <f t="shared" ref="EH480:EJ480" si="62">+SUM(EH283:EH294)</f>
        <v>0</v>
      </c>
      <c r="EI480" s="106">
        <f t="shared" si="62"/>
        <v>0</v>
      </c>
      <c r="EJ480" s="106">
        <f t="shared" si="62"/>
        <v>0</v>
      </c>
      <c r="EK480" s="106">
        <f t="shared" si="54"/>
        <v>0</v>
      </c>
      <c r="EL480" s="106">
        <f t="shared" si="54"/>
        <v>0</v>
      </c>
      <c r="EM480" s="106">
        <f t="shared" si="54"/>
        <v>0</v>
      </c>
      <c r="EN480" s="106">
        <f t="shared" ref="EN480:EP480" si="63">+SUM(EN283:EN294)</f>
        <v>0</v>
      </c>
      <c r="EO480" s="106">
        <f t="shared" si="63"/>
        <v>0</v>
      </c>
      <c r="EP480" s="106">
        <f t="shared" si="63"/>
        <v>0</v>
      </c>
      <c r="EQ480" s="106">
        <f t="shared" si="54"/>
        <v>0</v>
      </c>
      <c r="ER480" s="106">
        <f t="shared" si="54"/>
        <v>0</v>
      </c>
      <c r="ES480" s="106">
        <f t="shared" si="54"/>
        <v>0</v>
      </c>
      <c r="ET480" s="106">
        <f t="shared" ref="ET480:EV480" si="64">+SUM(ET283:ET294)</f>
        <v>0</v>
      </c>
      <c r="EU480" s="106">
        <f t="shared" si="64"/>
        <v>0</v>
      </c>
      <c r="EV480" s="106">
        <f t="shared" si="64"/>
        <v>0</v>
      </c>
      <c r="EW480" s="106">
        <f t="shared" si="54"/>
        <v>0</v>
      </c>
      <c r="EX480" s="106">
        <f t="shared" si="54"/>
        <v>0</v>
      </c>
      <c r="EY480" s="106">
        <f t="shared" si="54"/>
        <v>0</v>
      </c>
      <c r="EZ480" s="106">
        <f t="shared" ref="EZ480:FH480" si="65">+SUM(EZ283:EZ294)</f>
        <v>0</v>
      </c>
      <c r="FA480" s="106">
        <f t="shared" si="65"/>
        <v>0</v>
      </c>
      <c r="FB480" s="106">
        <f t="shared" si="65"/>
        <v>0</v>
      </c>
      <c r="FC480" s="106">
        <f t="shared" si="65"/>
        <v>0</v>
      </c>
      <c r="FD480" s="106">
        <f t="shared" si="65"/>
        <v>0</v>
      </c>
      <c r="FE480" s="106">
        <f t="shared" si="65"/>
        <v>0</v>
      </c>
      <c r="FF480" s="106">
        <f t="shared" si="65"/>
        <v>0</v>
      </c>
      <c r="FG480" s="106">
        <f t="shared" si="65"/>
        <v>0</v>
      </c>
      <c r="FH480" s="106">
        <f t="shared" si="65"/>
        <v>0</v>
      </c>
      <c r="FI480" s="106">
        <f t="shared" si="54"/>
        <v>0</v>
      </c>
      <c r="FJ480" s="106">
        <f t="shared" si="54"/>
        <v>0</v>
      </c>
      <c r="FK480" s="106">
        <f t="shared" si="54"/>
        <v>0</v>
      </c>
      <c r="FL480" s="106">
        <f t="shared" si="54"/>
        <v>0</v>
      </c>
      <c r="FM480" s="106">
        <f t="shared" si="54"/>
        <v>0</v>
      </c>
      <c r="FN480" s="106">
        <f t="shared" si="54"/>
        <v>0</v>
      </c>
      <c r="FO480" s="106">
        <f t="shared" si="54"/>
        <v>0</v>
      </c>
      <c r="FP480" s="106">
        <f t="shared" si="54"/>
        <v>0</v>
      </c>
      <c r="FQ480" s="106">
        <f t="shared" si="54"/>
        <v>0</v>
      </c>
      <c r="FR480" s="106">
        <f t="shared" si="54"/>
        <v>0</v>
      </c>
      <c r="FS480" s="106">
        <f t="shared" si="54"/>
        <v>0</v>
      </c>
      <c r="FT480" s="106">
        <f t="shared" si="54"/>
        <v>0</v>
      </c>
      <c r="FU480" s="106">
        <f t="shared" si="54"/>
        <v>0</v>
      </c>
      <c r="FV480" s="106">
        <f t="shared" si="54"/>
        <v>0</v>
      </c>
      <c r="FW480" s="106">
        <f t="shared" si="54"/>
        <v>0</v>
      </c>
      <c r="FX480" s="106"/>
      <c r="FY480" s="106"/>
      <c r="FZ480" s="106"/>
    </row>
    <row r="481" spans="2:182 16381:16381" s="105" customFormat="1" x14ac:dyDescent="0.2">
      <c r="B481" s="105">
        <v>2011</v>
      </c>
      <c r="C481" s="106">
        <f>+SUM(C295:C306)</f>
        <v>3415296.62</v>
      </c>
      <c r="D481" s="106">
        <f t="shared" ref="D481:E481" si="66">+SUM(D295:D306)</f>
        <v>3239561.5999999996</v>
      </c>
      <c r="E481" s="106">
        <f t="shared" si="66"/>
        <v>6654858.2199999997</v>
      </c>
      <c r="F481" s="106">
        <f t="shared" ref="F481:AL481" si="67">+SUM(F295:F306)</f>
        <v>97166547.12000002</v>
      </c>
      <c r="G481" s="106">
        <f t="shared" si="67"/>
        <v>5690475.1600000001</v>
      </c>
      <c r="H481" s="106">
        <f t="shared" si="67"/>
        <v>102857022.28</v>
      </c>
      <c r="I481" s="106">
        <f t="shared" si="67"/>
        <v>0</v>
      </c>
      <c r="J481" s="106">
        <f t="shared" si="67"/>
        <v>0</v>
      </c>
      <c r="K481" s="106">
        <f t="shared" si="67"/>
        <v>98152639.109999999</v>
      </c>
      <c r="L481" s="106">
        <f t="shared" si="67"/>
        <v>0</v>
      </c>
      <c r="M481" s="106">
        <f t="shared" si="67"/>
        <v>0</v>
      </c>
      <c r="N481" s="106">
        <f t="shared" si="67"/>
        <v>297811472.68000001</v>
      </c>
      <c r="O481" s="106">
        <f t="shared" si="67"/>
        <v>0</v>
      </c>
      <c r="P481" s="106">
        <f t="shared" si="67"/>
        <v>0</v>
      </c>
      <c r="Q481" s="106">
        <f t="shared" si="67"/>
        <v>219929079.23000002</v>
      </c>
      <c r="R481" s="106">
        <f t="shared" si="67"/>
        <v>0</v>
      </c>
      <c r="S481" s="106">
        <f t="shared" si="67"/>
        <v>0</v>
      </c>
      <c r="T481" s="106">
        <f t="shared" si="67"/>
        <v>1569616.0699999998</v>
      </c>
      <c r="U481" s="106">
        <f t="shared" si="67"/>
        <v>106921.33</v>
      </c>
      <c r="V481" s="106">
        <f t="shared" si="67"/>
        <v>95471.01999999999</v>
      </c>
      <c r="W481" s="106">
        <f t="shared" si="67"/>
        <v>202392.35000000003</v>
      </c>
      <c r="X481" s="106">
        <f t="shared" si="67"/>
        <v>1017199.3599999999</v>
      </c>
      <c r="Y481" s="106">
        <f t="shared" si="67"/>
        <v>81401</v>
      </c>
      <c r="Z481" s="106">
        <f t="shared" si="67"/>
        <v>1098600.3599999999</v>
      </c>
      <c r="AA481" s="106">
        <f t="shared" si="67"/>
        <v>1762624.6300000004</v>
      </c>
      <c r="AB481" s="106">
        <f t="shared" si="67"/>
        <v>143423.21000000002</v>
      </c>
      <c r="AC481" s="106">
        <f t="shared" si="67"/>
        <v>1906047.84</v>
      </c>
      <c r="AD481" s="106">
        <f t="shared" si="67"/>
        <v>99304.87</v>
      </c>
      <c r="AE481" s="106">
        <f t="shared" si="67"/>
        <v>358462.03</v>
      </c>
      <c r="AF481" s="106">
        <f t="shared" si="67"/>
        <v>457766.9</v>
      </c>
      <c r="AG481" s="106">
        <f t="shared" si="67"/>
        <v>446227.49</v>
      </c>
      <c r="AH481" s="106">
        <f t="shared" si="67"/>
        <v>527170.72</v>
      </c>
      <c r="AI481" s="106">
        <f t="shared" si="67"/>
        <v>973398.21000000008</v>
      </c>
      <c r="AJ481" s="106">
        <f t="shared" si="67"/>
        <v>0</v>
      </c>
      <c r="AK481" s="106">
        <f t="shared" si="67"/>
        <v>0</v>
      </c>
      <c r="AL481" s="106">
        <f t="shared" si="67"/>
        <v>576581.25</v>
      </c>
      <c r="AM481" s="106"/>
      <c r="AN481" s="106"/>
      <c r="AO481" s="106"/>
      <c r="AP481" s="106"/>
      <c r="AQ481" s="106"/>
      <c r="AR481" s="106"/>
      <c r="AS481" s="106">
        <f t="shared" ref="AS481:CG481" si="68">+SUM(AS295:AS306)</f>
        <v>0</v>
      </c>
      <c r="AT481" s="106">
        <f t="shared" si="68"/>
        <v>0</v>
      </c>
      <c r="AU481" s="106">
        <f t="shared" si="68"/>
        <v>18991387.91</v>
      </c>
      <c r="AV481" s="106">
        <f t="shared" si="68"/>
        <v>0</v>
      </c>
      <c r="AW481" s="106">
        <f t="shared" si="68"/>
        <v>0</v>
      </c>
      <c r="AX481" s="106">
        <f t="shared" si="68"/>
        <v>491629.89</v>
      </c>
      <c r="AY481" s="106">
        <f t="shared" si="68"/>
        <v>118242579.80000001</v>
      </c>
      <c r="AZ481" s="106">
        <f t="shared" si="68"/>
        <v>1262122.5</v>
      </c>
      <c r="BA481" s="106">
        <f t="shared" si="68"/>
        <v>119504702.30000001</v>
      </c>
      <c r="BB481" s="106">
        <f t="shared" si="68"/>
        <v>0</v>
      </c>
      <c r="BC481" s="106">
        <f t="shared" si="68"/>
        <v>0</v>
      </c>
      <c r="BD481" s="106">
        <f t="shared" si="68"/>
        <v>19960899.977777775</v>
      </c>
      <c r="BE481" s="106">
        <f t="shared" si="68"/>
        <v>0</v>
      </c>
      <c r="BF481" s="106">
        <f t="shared" si="68"/>
        <v>0</v>
      </c>
      <c r="BG481" s="106">
        <f>+SUM(BG295:BG306)</f>
        <v>1847</v>
      </c>
      <c r="BH481" s="106">
        <f t="shared" ref="BH481:BJ481" si="69">+SUM(BH295:BH306)</f>
        <v>0</v>
      </c>
      <c r="BI481" s="106">
        <f t="shared" si="69"/>
        <v>0</v>
      </c>
      <c r="BJ481" s="106">
        <f t="shared" si="69"/>
        <v>0</v>
      </c>
      <c r="BK481" s="106">
        <f t="shared" si="68"/>
        <v>0</v>
      </c>
      <c r="BL481" s="106">
        <f t="shared" si="68"/>
        <v>0</v>
      </c>
      <c r="BM481" s="106">
        <f t="shared" si="68"/>
        <v>3415.01</v>
      </c>
      <c r="BN481" s="106">
        <f t="shared" ref="BN481:BP481" si="70">+SUM(BN295:BN306)</f>
        <v>0</v>
      </c>
      <c r="BO481" s="106">
        <f t="shared" si="70"/>
        <v>0</v>
      </c>
      <c r="BP481" s="106">
        <f t="shared" si="70"/>
        <v>0</v>
      </c>
      <c r="BQ481" s="106">
        <f t="shared" si="68"/>
        <v>0</v>
      </c>
      <c r="BR481" s="106">
        <f t="shared" si="68"/>
        <v>0</v>
      </c>
      <c r="BS481" s="106">
        <f t="shared" si="68"/>
        <v>2143</v>
      </c>
      <c r="BT481" s="106">
        <f t="shared" ref="BT481:BV481" si="71">+SUM(BT295:BT306)</f>
        <v>0</v>
      </c>
      <c r="BU481" s="106">
        <f t="shared" si="71"/>
        <v>0</v>
      </c>
      <c r="BV481" s="106">
        <f t="shared" si="71"/>
        <v>0</v>
      </c>
      <c r="BW481" s="106"/>
      <c r="BX481" s="106"/>
      <c r="BY481" s="106"/>
      <c r="BZ481" s="106">
        <f t="shared" si="68"/>
        <v>0</v>
      </c>
      <c r="CA481" s="106">
        <f t="shared" si="68"/>
        <v>0</v>
      </c>
      <c r="CB481" s="106">
        <f t="shared" si="68"/>
        <v>3321.99</v>
      </c>
      <c r="CC481" s="106"/>
      <c r="CD481" s="106"/>
      <c r="CE481" s="106"/>
      <c r="CF481" s="106">
        <f t="shared" si="68"/>
        <v>0</v>
      </c>
      <c r="CG481" s="106">
        <f t="shared" si="68"/>
        <v>0</v>
      </c>
      <c r="CH481" s="106">
        <f t="shared" ref="CH481:FW481" si="72">+SUM(CH295:CH306)</f>
        <v>79</v>
      </c>
      <c r="CI481" s="106">
        <f t="shared" si="72"/>
        <v>0</v>
      </c>
      <c r="CJ481" s="106">
        <f t="shared" si="72"/>
        <v>0</v>
      </c>
      <c r="CK481" s="106">
        <f t="shared" si="72"/>
        <v>426</v>
      </c>
      <c r="CL481" s="106">
        <f t="shared" ref="CL481:CN481" si="73">+SUM(CL295:CL306)</f>
        <v>0</v>
      </c>
      <c r="CM481" s="106">
        <f t="shared" si="73"/>
        <v>0</v>
      </c>
      <c r="CN481" s="106">
        <f t="shared" si="73"/>
        <v>0</v>
      </c>
      <c r="CO481" s="106">
        <f t="shared" si="72"/>
        <v>0</v>
      </c>
      <c r="CP481" s="106">
        <f t="shared" si="72"/>
        <v>0</v>
      </c>
      <c r="CQ481" s="106">
        <f t="shared" si="72"/>
        <v>117</v>
      </c>
      <c r="CR481" s="106">
        <f t="shared" ref="CR481:CT481" si="74">+SUM(CR295:CR306)</f>
        <v>0</v>
      </c>
      <c r="CS481" s="106">
        <f t="shared" si="74"/>
        <v>0</v>
      </c>
      <c r="CT481" s="106">
        <f t="shared" si="74"/>
        <v>0</v>
      </c>
      <c r="CU481" s="106">
        <f t="shared" si="72"/>
        <v>0</v>
      </c>
      <c r="CV481" s="106">
        <f t="shared" si="72"/>
        <v>0</v>
      </c>
      <c r="CW481" s="106">
        <f t="shared" si="72"/>
        <v>1818</v>
      </c>
      <c r="CX481" s="106">
        <f t="shared" ref="CX481:CZ481" si="75">+SUM(CX295:CX306)</f>
        <v>0</v>
      </c>
      <c r="CY481" s="106">
        <f t="shared" si="75"/>
        <v>0</v>
      </c>
      <c r="CZ481" s="106">
        <f t="shared" si="75"/>
        <v>0</v>
      </c>
      <c r="DA481" s="106">
        <f t="shared" si="72"/>
        <v>0</v>
      </c>
      <c r="DB481" s="106">
        <f t="shared" si="72"/>
        <v>0</v>
      </c>
      <c r="DC481" s="106">
        <f t="shared" si="72"/>
        <v>30</v>
      </c>
      <c r="DD481" s="106">
        <f t="shared" ref="DD481:DF481" si="76">+SUM(DD295:DD306)</f>
        <v>0</v>
      </c>
      <c r="DE481" s="106">
        <f t="shared" si="76"/>
        <v>0</v>
      </c>
      <c r="DF481" s="106">
        <f t="shared" si="76"/>
        <v>0</v>
      </c>
      <c r="DG481" s="106">
        <f t="shared" si="72"/>
        <v>0</v>
      </c>
      <c r="DH481" s="106">
        <f t="shared" si="72"/>
        <v>0</v>
      </c>
      <c r="DI481" s="106">
        <f t="shared" si="72"/>
        <v>0</v>
      </c>
      <c r="DJ481" s="106">
        <f t="shared" ref="DJ481:DL481" si="77">+SUM(DJ295:DJ306)</f>
        <v>0</v>
      </c>
      <c r="DK481" s="106">
        <f t="shared" si="77"/>
        <v>0</v>
      </c>
      <c r="DL481" s="106">
        <f t="shared" si="77"/>
        <v>0</v>
      </c>
      <c r="DM481" s="106">
        <f t="shared" si="72"/>
        <v>0</v>
      </c>
      <c r="DN481" s="106">
        <f t="shared" si="72"/>
        <v>0</v>
      </c>
      <c r="DO481" s="106">
        <f t="shared" si="72"/>
        <v>0</v>
      </c>
      <c r="DP481" s="106">
        <f t="shared" si="72"/>
        <v>0</v>
      </c>
      <c r="DQ481" s="106">
        <f t="shared" si="72"/>
        <v>0</v>
      </c>
      <c r="DR481" s="106">
        <f t="shared" si="72"/>
        <v>0</v>
      </c>
      <c r="DS481" s="106">
        <f t="shared" ref="DS481:DX481" si="78">+SUM(DS295:DS306)</f>
        <v>0</v>
      </c>
      <c r="DT481" s="106">
        <f t="shared" si="78"/>
        <v>0</v>
      </c>
      <c r="DU481" s="106">
        <f t="shared" si="78"/>
        <v>1</v>
      </c>
      <c r="DV481" s="106">
        <f t="shared" si="78"/>
        <v>0</v>
      </c>
      <c r="DW481" s="106">
        <f t="shared" si="78"/>
        <v>0</v>
      </c>
      <c r="DX481" s="106">
        <f t="shared" si="78"/>
        <v>46</v>
      </c>
      <c r="DY481" s="106">
        <f t="shared" si="72"/>
        <v>0</v>
      </c>
      <c r="DZ481" s="106">
        <f t="shared" si="72"/>
        <v>0</v>
      </c>
      <c r="EA481" s="106">
        <f t="shared" si="72"/>
        <v>7037.9</v>
      </c>
      <c r="EB481" s="106">
        <f t="shared" ref="EB481:ED481" si="79">+SUM(EB295:EB306)</f>
        <v>0</v>
      </c>
      <c r="EC481" s="106">
        <f t="shared" si="79"/>
        <v>0</v>
      </c>
      <c r="ED481" s="106">
        <f t="shared" si="79"/>
        <v>0</v>
      </c>
      <c r="EE481" s="106">
        <f t="shared" si="72"/>
        <v>0</v>
      </c>
      <c r="EF481" s="106">
        <f t="shared" si="72"/>
        <v>0</v>
      </c>
      <c r="EG481" s="106">
        <f t="shared" si="72"/>
        <v>13318</v>
      </c>
      <c r="EH481" s="106">
        <f t="shared" ref="EH481:EJ481" si="80">+SUM(EH295:EH306)</f>
        <v>0</v>
      </c>
      <c r="EI481" s="106">
        <f t="shared" si="80"/>
        <v>0</v>
      </c>
      <c r="EJ481" s="106">
        <f t="shared" si="80"/>
        <v>0</v>
      </c>
      <c r="EK481" s="106">
        <f t="shared" si="72"/>
        <v>0</v>
      </c>
      <c r="EL481" s="106">
        <f t="shared" si="72"/>
        <v>0</v>
      </c>
      <c r="EM481" s="106">
        <f t="shared" si="72"/>
        <v>12528</v>
      </c>
      <c r="EN481" s="106">
        <f t="shared" ref="EN481:EP481" si="81">+SUM(EN295:EN306)</f>
        <v>0</v>
      </c>
      <c r="EO481" s="106">
        <f t="shared" si="81"/>
        <v>0</v>
      </c>
      <c r="EP481" s="106">
        <f t="shared" si="81"/>
        <v>0</v>
      </c>
      <c r="EQ481" s="106">
        <f t="shared" si="72"/>
        <v>0</v>
      </c>
      <c r="ER481" s="106">
        <f t="shared" si="72"/>
        <v>0</v>
      </c>
      <c r="ES481" s="106">
        <f t="shared" si="72"/>
        <v>1009</v>
      </c>
      <c r="ET481" s="106">
        <f t="shared" ref="ET481:EV481" si="82">+SUM(ET295:ET306)</f>
        <v>0</v>
      </c>
      <c r="EU481" s="106">
        <f t="shared" si="82"/>
        <v>0</v>
      </c>
      <c r="EV481" s="106">
        <f t="shared" si="82"/>
        <v>0</v>
      </c>
      <c r="EW481" s="106">
        <f t="shared" si="72"/>
        <v>0</v>
      </c>
      <c r="EX481" s="106">
        <f t="shared" si="72"/>
        <v>0</v>
      </c>
      <c r="EY481" s="106">
        <f t="shared" si="72"/>
        <v>136</v>
      </c>
      <c r="EZ481" s="106">
        <f t="shared" ref="EZ481:FH481" si="83">+SUM(EZ295:EZ306)</f>
        <v>0</v>
      </c>
      <c r="FA481" s="106">
        <f t="shared" si="83"/>
        <v>0</v>
      </c>
      <c r="FB481" s="106">
        <f t="shared" si="83"/>
        <v>0</v>
      </c>
      <c r="FC481" s="106">
        <f t="shared" si="83"/>
        <v>0</v>
      </c>
      <c r="FD481" s="106">
        <f t="shared" si="83"/>
        <v>0</v>
      </c>
      <c r="FE481" s="106">
        <f t="shared" si="83"/>
        <v>0</v>
      </c>
      <c r="FF481" s="106">
        <f t="shared" si="83"/>
        <v>0</v>
      </c>
      <c r="FG481" s="106">
        <f t="shared" si="83"/>
        <v>0</v>
      </c>
      <c r="FH481" s="106">
        <f t="shared" si="83"/>
        <v>0</v>
      </c>
      <c r="FI481" s="106">
        <f t="shared" si="72"/>
        <v>0</v>
      </c>
      <c r="FJ481" s="106">
        <f t="shared" si="72"/>
        <v>0</v>
      </c>
      <c r="FK481" s="106">
        <f t="shared" si="72"/>
        <v>32</v>
      </c>
      <c r="FL481" s="106">
        <f t="shared" si="72"/>
        <v>0</v>
      </c>
      <c r="FM481" s="106">
        <f t="shared" si="72"/>
        <v>0</v>
      </c>
      <c r="FN481" s="106">
        <f t="shared" si="72"/>
        <v>92682</v>
      </c>
      <c r="FO481" s="106">
        <f t="shared" si="72"/>
        <v>0</v>
      </c>
      <c r="FP481" s="106">
        <f t="shared" si="72"/>
        <v>0</v>
      </c>
      <c r="FQ481" s="106">
        <f t="shared" si="72"/>
        <v>11585</v>
      </c>
      <c r="FR481" s="106">
        <f t="shared" si="72"/>
        <v>0</v>
      </c>
      <c r="FS481" s="106">
        <f t="shared" si="72"/>
        <v>0</v>
      </c>
      <c r="FT481" s="106">
        <f t="shared" si="72"/>
        <v>0</v>
      </c>
      <c r="FU481" s="106">
        <f t="shared" si="72"/>
        <v>0</v>
      </c>
      <c r="FV481" s="106">
        <f t="shared" si="72"/>
        <v>0</v>
      </c>
      <c r="FW481" s="106">
        <f t="shared" si="72"/>
        <v>719</v>
      </c>
      <c r="FX481" s="106">
        <f t="shared" ref="FX481:FZ481" si="84">+SUM(FX295:FX306)</f>
        <v>0</v>
      </c>
      <c r="FY481" s="106">
        <f t="shared" si="84"/>
        <v>0</v>
      </c>
      <c r="FZ481" s="106">
        <f t="shared" si="84"/>
        <v>52</v>
      </c>
    </row>
    <row r="482" spans="2:182 16381:16381" s="105" customFormat="1" x14ac:dyDescent="0.2">
      <c r="B482" s="105">
        <v>2012</v>
      </c>
      <c r="C482" s="106">
        <f>+SUM(C307:C318)</f>
        <v>2969541.0699999994</v>
      </c>
      <c r="D482" s="106">
        <f t="shared" ref="D482:E482" si="85">+SUM(D307:D318)</f>
        <v>3537358.0300000003</v>
      </c>
      <c r="E482" s="106">
        <f t="shared" si="85"/>
        <v>6506899.0999999996</v>
      </c>
      <c r="F482" s="106">
        <f t="shared" ref="F482:AL482" si="86">+SUM(F307:F318)</f>
        <v>98748633.049999997</v>
      </c>
      <c r="G482" s="106">
        <f t="shared" si="86"/>
        <v>7926973.21</v>
      </c>
      <c r="H482" s="106">
        <f t="shared" si="86"/>
        <v>106675606.25999999</v>
      </c>
      <c r="I482" s="106">
        <f t="shared" si="86"/>
        <v>0</v>
      </c>
      <c r="J482" s="106">
        <f t="shared" si="86"/>
        <v>0</v>
      </c>
      <c r="K482" s="106">
        <f t="shared" si="86"/>
        <v>95978840.879999995</v>
      </c>
      <c r="L482" s="106">
        <f t="shared" si="86"/>
        <v>0</v>
      </c>
      <c r="M482" s="106">
        <f t="shared" si="86"/>
        <v>0</v>
      </c>
      <c r="N482" s="106">
        <f t="shared" si="86"/>
        <v>325211552.84000003</v>
      </c>
      <c r="O482" s="106">
        <f t="shared" si="86"/>
        <v>0</v>
      </c>
      <c r="P482" s="106">
        <f t="shared" si="86"/>
        <v>0</v>
      </c>
      <c r="Q482" s="106">
        <f t="shared" si="86"/>
        <v>252007802.40000001</v>
      </c>
      <c r="R482" s="106">
        <f t="shared" si="86"/>
        <v>0</v>
      </c>
      <c r="S482" s="106">
        <f t="shared" si="86"/>
        <v>0</v>
      </c>
      <c r="T482" s="106">
        <f t="shared" si="86"/>
        <v>1726252.85</v>
      </c>
      <c r="U482" s="106">
        <f t="shared" si="86"/>
        <v>106837.6</v>
      </c>
      <c r="V482" s="106">
        <f t="shared" si="86"/>
        <v>82973.64</v>
      </c>
      <c r="W482" s="106">
        <f t="shared" si="86"/>
        <v>189811.24</v>
      </c>
      <c r="X482" s="106">
        <f t="shared" si="86"/>
        <v>983537.19000000006</v>
      </c>
      <c r="Y482" s="106">
        <f t="shared" si="86"/>
        <v>75432.25</v>
      </c>
      <c r="Z482" s="106">
        <f t="shared" si="86"/>
        <v>1058969.4400000002</v>
      </c>
      <c r="AA482" s="106">
        <f t="shared" si="86"/>
        <v>1692009.8199999998</v>
      </c>
      <c r="AB482" s="106">
        <f t="shared" si="86"/>
        <v>211358.30999999997</v>
      </c>
      <c r="AC482" s="106">
        <f t="shared" si="86"/>
        <v>1903368.1300000001</v>
      </c>
      <c r="AD482" s="106">
        <f t="shared" si="86"/>
        <v>93943.49</v>
      </c>
      <c r="AE482" s="106">
        <f t="shared" si="86"/>
        <v>265915.81999999995</v>
      </c>
      <c r="AF482" s="106">
        <f t="shared" si="86"/>
        <v>359859.31</v>
      </c>
      <c r="AG482" s="106">
        <f t="shared" si="86"/>
        <v>447482.49</v>
      </c>
      <c r="AH482" s="106">
        <f t="shared" si="86"/>
        <v>674022.26</v>
      </c>
      <c r="AI482" s="106">
        <f t="shared" si="86"/>
        <v>1121504.75</v>
      </c>
      <c r="AJ482" s="106">
        <f t="shared" si="86"/>
        <v>0</v>
      </c>
      <c r="AK482" s="106">
        <f t="shared" si="86"/>
        <v>0</v>
      </c>
      <c r="AL482" s="106">
        <f t="shared" si="86"/>
        <v>600458.75</v>
      </c>
      <c r="AM482" s="106"/>
      <c r="AN482" s="106"/>
      <c r="AO482" s="106"/>
      <c r="AP482" s="106"/>
      <c r="AQ482" s="106"/>
      <c r="AR482" s="106"/>
      <c r="AS482" s="106">
        <f t="shared" ref="AS482:CG482" si="87">+SUM(AS307:AS318)</f>
        <v>0</v>
      </c>
      <c r="AT482" s="106">
        <f t="shared" si="87"/>
        <v>0</v>
      </c>
      <c r="AU482" s="106">
        <f t="shared" si="87"/>
        <v>19722531.600000001</v>
      </c>
      <c r="AV482" s="106">
        <f t="shared" si="87"/>
        <v>0</v>
      </c>
      <c r="AW482" s="106">
        <f t="shared" si="87"/>
        <v>0</v>
      </c>
      <c r="AX482" s="106">
        <f t="shared" si="87"/>
        <v>509031.1</v>
      </c>
      <c r="AY482" s="106">
        <f t="shared" si="87"/>
        <v>97831323.600000009</v>
      </c>
      <c r="AZ482" s="106">
        <f t="shared" si="87"/>
        <v>20367343.399999999</v>
      </c>
      <c r="BA482" s="106">
        <f t="shared" si="87"/>
        <v>118198667</v>
      </c>
      <c r="BB482" s="106">
        <f t="shared" si="87"/>
        <v>0</v>
      </c>
      <c r="BC482" s="106">
        <f t="shared" si="87"/>
        <v>0</v>
      </c>
      <c r="BD482" s="106">
        <f t="shared" si="87"/>
        <v>19378047.133333337</v>
      </c>
      <c r="BE482" s="106">
        <f t="shared" si="87"/>
        <v>0</v>
      </c>
      <c r="BF482" s="106">
        <f t="shared" si="87"/>
        <v>0</v>
      </c>
      <c r="BG482" s="106">
        <f t="shared" si="87"/>
        <v>2028</v>
      </c>
      <c r="BH482" s="106">
        <f t="shared" ref="BH482:BJ482" si="88">+SUM(BH307:BH318)</f>
        <v>0</v>
      </c>
      <c r="BI482" s="106">
        <f t="shared" si="88"/>
        <v>0</v>
      </c>
      <c r="BJ482" s="106">
        <f t="shared" si="88"/>
        <v>0</v>
      </c>
      <c r="BK482" s="106">
        <f t="shared" si="87"/>
        <v>0</v>
      </c>
      <c r="BL482" s="106">
        <f t="shared" si="87"/>
        <v>0</v>
      </c>
      <c r="BM482" s="106">
        <f t="shared" si="87"/>
        <v>3133</v>
      </c>
      <c r="BN482" s="106">
        <f t="shared" ref="BN482:BP482" si="89">+SUM(BN307:BN318)</f>
        <v>0</v>
      </c>
      <c r="BO482" s="106">
        <f t="shared" si="89"/>
        <v>0</v>
      </c>
      <c r="BP482" s="106">
        <f t="shared" si="89"/>
        <v>0</v>
      </c>
      <c r="BQ482" s="106">
        <f t="shared" si="87"/>
        <v>0</v>
      </c>
      <c r="BR482" s="106">
        <f t="shared" si="87"/>
        <v>0</v>
      </c>
      <c r="BS482" s="106">
        <f t="shared" si="87"/>
        <v>3077</v>
      </c>
      <c r="BT482" s="106">
        <f t="shared" ref="BT482:BV482" si="90">+SUM(BT307:BT318)</f>
        <v>0</v>
      </c>
      <c r="BU482" s="106">
        <f t="shared" si="90"/>
        <v>0</v>
      </c>
      <c r="BV482" s="106">
        <f t="shared" si="90"/>
        <v>0</v>
      </c>
      <c r="BW482" s="106"/>
      <c r="BX482" s="106"/>
      <c r="BY482" s="106"/>
      <c r="BZ482" s="106">
        <f t="shared" si="87"/>
        <v>0</v>
      </c>
      <c r="CA482" s="106">
        <f t="shared" si="87"/>
        <v>0</v>
      </c>
      <c r="CB482" s="106">
        <f t="shared" si="87"/>
        <v>3627</v>
      </c>
      <c r="CC482" s="106"/>
      <c r="CD482" s="106"/>
      <c r="CE482" s="106"/>
      <c r="CF482" s="106">
        <f t="shared" si="87"/>
        <v>0</v>
      </c>
      <c r="CG482" s="106">
        <f t="shared" si="87"/>
        <v>0</v>
      </c>
      <c r="CH482" s="106">
        <f t="shared" ref="CH482:FW482" si="91">+SUM(CH307:CH318)</f>
        <v>117</v>
      </c>
      <c r="CI482" s="106">
        <f t="shared" si="91"/>
        <v>0</v>
      </c>
      <c r="CJ482" s="106">
        <f t="shared" si="91"/>
        <v>0</v>
      </c>
      <c r="CK482" s="106">
        <f t="shared" si="91"/>
        <v>472</v>
      </c>
      <c r="CL482" s="106">
        <f t="shared" ref="CL482:CN482" si="92">+SUM(CL307:CL318)</f>
        <v>0</v>
      </c>
      <c r="CM482" s="106">
        <f t="shared" si="92"/>
        <v>0</v>
      </c>
      <c r="CN482" s="106">
        <f t="shared" si="92"/>
        <v>0</v>
      </c>
      <c r="CO482" s="106">
        <f t="shared" si="91"/>
        <v>0</v>
      </c>
      <c r="CP482" s="106">
        <f t="shared" si="91"/>
        <v>0</v>
      </c>
      <c r="CQ482" s="106">
        <f t="shared" si="91"/>
        <v>143</v>
      </c>
      <c r="CR482" s="106">
        <f t="shared" ref="CR482:CT482" si="93">+SUM(CR307:CR318)</f>
        <v>0</v>
      </c>
      <c r="CS482" s="106">
        <f t="shared" si="93"/>
        <v>0</v>
      </c>
      <c r="CT482" s="106">
        <f t="shared" si="93"/>
        <v>0</v>
      </c>
      <c r="CU482" s="106">
        <f t="shared" si="91"/>
        <v>0</v>
      </c>
      <c r="CV482" s="106">
        <f t="shared" si="91"/>
        <v>0</v>
      </c>
      <c r="CW482" s="106">
        <f t="shared" si="91"/>
        <v>2298</v>
      </c>
      <c r="CX482" s="106">
        <f t="shared" ref="CX482:CZ482" si="94">+SUM(CX307:CX318)</f>
        <v>0</v>
      </c>
      <c r="CY482" s="106">
        <f t="shared" si="94"/>
        <v>0</v>
      </c>
      <c r="CZ482" s="106">
        <f t="shared" si="94"/>
        <v>0</v>
      </c>
      <c r="DA482" s="106">
        <f t="shared" si="91"/>
        <v>0</v>
      </c>
      <c r="DB482" s="106">
        <f t="shared" si="91"/>
        <v>0</v>
      </c>
      <c r="DC482" s="106">
        <f t="shared" si="91"/>
        <v>14</v>
      </c>
      <c r="DD482" s="106">
        <f t="shared" ref="DD482:DF482" si="95">+SUM(DD307:DD318)</f>
        <v>0</v>
      </c>
      <c r="DE482" s="106">
        <f t="shared" si="95"/>
        <v>0</v>
      </c>
      <c r="DF482" s="106">
        <f t="shared" si="95"/>
        <v>0</v>
      </c>
      <c r="DG482" s="106">
        <f t="shared" si="91"/>
        <v>0</v>
      </c>
      <c r="DH482" s="106">
        <f t="shared" si="91"/>
        <v>0</v>
      </c>
      <c r="DI482" s="106">
        <f t="shared" si="91"/>
        <v>16</v>
      </c>
      <c r="DJ482" s="106">
        <f t="shared" ref="DJ482:DL482" si="96">+SUM(DJ307:DJ318)</f>
        <v>0</v>
      </c>
      <c r="DK482" s="106">
        <f t="shared" si="96"/>
        <v>0</v>
      </c>
      <c r="DL482" s="106">
        <f t="shared" si="96"/>
        <v>0</v>
      </c>
      <c r="DM482" s="106">
        <f t="shared" si="91"/>
        <v>0</v>
      </c>
      <c r="DN482" s="106">
        <f t="shared" si="91"/>
        <v>0</v>
      </c>
      <c r="DO482" s="106">
        <f t="shared" si="91"/>
        <v>0</v>
      </c>
      <c r="DP482" s="106">
        <f t="shared" si="91"/>
        <v>0</v>
      </c>
      <c r="DQ482" s="106">
        <f t="shared" si="91"/>
        <v>0</v>
      </c>
      <c r="DR482" s="106">
        <f t="shared" si="91"/>
        <v>0</v>
      </c>
      <c r="DS482" s="106">
        <f t="shared" ref="DS482:DX482" si="97">+SUM(DS307:DS318)</f>
        <v>0</v>
      </c>
      <c r="DT482" s="106">
        <f t="shared" si="97"/>
        <v>0</v>
      </c>
      <c r="DU482" s="106">
        <f t="shared" si="97"/>
        <v>4</v>
      </c>
      <c r="DV482" s="106">
        <f t="shared" si="97"/>
        <v>0</v>
      </c>
      <c r="DW482" s="106">
        <f t="shared" si="97"/>
        <v>0</v>
      </c>
      <c r="DX482" s="106">
        <f t="shared" si="97"/>
        <v>12</v>
      </c>
      <c r="DY482" s="106">
        <f t="shared" si="91"/>
        <v>0</v>
      </c>
      <c r="DZ482" s="106">
        <f t="shared" si="91"/>
        <v>0</v>
      </c>
      <c r="EA482" s="106">
        <f t="shared" si="91"/>
        <v>9086</v>
      </c>
      <c r="EB482" s="106">
        <f t="shared" ref="EB482:ED482" si="98">+SUM(EB307:EB318)</f>
        <v>0</v>
      </c>
      <c r="EC482" s="106">
        <f t="shared" si="98"/>
        <v>0</v>
      </c>
      <c r="ED482" s="106">
        <f t="shared" si="98"/>
        <v>0</v>
      </c>
      <c r="EE482" s="106">
        <f t="shared" si="91"/>
        <v>0</v>
      </c>
      <c r="EF482" s="106">
        <f t="shared" si="91"/>
        <v>0</v>
      </c>
      <c r="EG482" s="106">
        <f t="shared" si="91"/>
        <v>11001</v>
      </c>
      <c r="EH482" s="106">
        <f t="shared" ref="EH482:EJ482" si="99">+SUM(EH307:EH318)</f>
        <v>0</v>
      </c>
      <c r="EI482" s="106">
        <f t="shared" si="99"/>
        <v>0</v>
      </c>
      <c r="EJ482" s="106">
        <f t="shared" si="99"/>
        <v>1</v>
      </c>
      <c r="EK482" s="106">
        <f t="shared" si="91"/>
        <v>0</v>
      </c>
      <c r="EL482" s="106">
        <f t="shared" si="91"/>
        <v>0</v>
      </c>
      <c r="EM482" s="106">
        <f t="shared" si="91"/>
        <v>11939.8</v>
      </c>
      <c r="EN482" s="106">
        <f t="shared" ref="EN482:EP482" si="100">+SUM(EN307:EN318)</f>
        <v>0</v>
      </c>
      <c r="EO482" s="106">
        <f t="shared" si="100"/>
        <v>0</v>
      </c>
      <c r="EP482" s="106">
        <f t="shared" si="100"/>
        <v>1</v>
      </c>
      <c r="EQ482" s="106">
        <f t="shared" si="91"/>
        <v>0</v>
      </c>
      <c r="ER482" s="106">
        <f t="shared" si="91"/>
        <v>0</v>
      </c>
      <c r="ES482" s="106">
        <f t="shared" si="91"/>
        <v>1069</v>
      </c>
      <c r="ET482" s="106">
        <f t="shared" ref="ET482:EV482" si="101">+SUM(ET307:ET318)</f>
        <v>0</v>
      </c>
      <c r="EU482" s="106">
        <f t="shared" si="101"/>
        <v>0</v>
      </c>
      <c r="EV482" s="106">
        <f t="shared" si="101"/>
        <v>3</v>
      </c>
      <c r="EW482" s="106">
        <f t="shared" si="91"/>
        <v>0</v>
      </c>
      <c r="EX482" s="106">
        <f t="shared" si="91"/>
        <v>0</v>
      </c>
      <c r="EY482" s="106">
        <f t="shared" si="91"/>
        <v>107</v>
      </c>
      <c r="EZ482" s="106">
        <f t="shared" ref="EZ482:FH482" si="102">+SUM(EZ307:EZ318)</f>
        <v>0</v>
      </c>
      <c r="FA482" s="106">
        <f t="shared" si="102"/>
        <v>0</v>
      </c>
      <c r="FB482" s="106">
        <f t="shared" si="102"/>
        <v>0</v>
      </c>
      <c r="FC482" s="106">
        <f t="shared" si="102"/>
        <v>0</v>
      </c>
      <c r="FD482" s="106">
        <f t="shared" si="102"/>
        <v>0</v>
      </c>
      <c r="FE482" s="106">
        <f t="shared" si="102"/>
        <v>162</v>
      </c>
      <c r="FF482" s="106">
        <f t="shared" si="102"/>
        <v>0</v>
      </c>
      <c r="FG482" s="106">
        <f t="shared" si="102"/>
        <v>0</v>
      </c>
      <c r="FH482" s="106">
        <f t="shared" si="102"/>
        <v>0</v>
      </c>
      <c r="FI482" s="106">
        <f t="shared" si="91"/>
        <v>0</v>
      </c>
      <c r="FJ482" s="106">
        <f t="shared" si="91"/>
        <v>0</v>
      </c>
      <c r="FK482" s="106">
        <f t="shared" si="91"/>
        <v>69</v>
      </c>
      <c r="FL482" s="106">
        <f t="shared" si="91"/>
        <v>0</v>
      </c>
      <c r="FM482" s="106">
        <f t="shared" si="91"/>
        <v>0</v>
      </c>
      <c r="FN482" s="106">
        <f t="shared" si="91"/>
        <v>82036</v>
      </c>
      <c r="FO482" s="106">
        <f t="shared" si="91"/>
        <v>0</v>
      </c>
      <c r="FP482" s="106">
        <f t="shared" si="91"/>
        <v>0</v>
      </c>
      <c r="FQ482" s="106">
        <f t="shared" si="91"/>
        <v>10042</v>
      </c>
      <c r="FR482" s="106">
        <f t="shared" si="91"/>
        <v>0</v>
      </c>
      <c r="FS482" s="106">
        <f t="shared" si="91"/>
        <v>0</v>
      </c>
      <c r="FT482" s="106">
        <f t="shared" si="91"/>
        <v>0</v>
      </c>
      <c r="FU482" s="106">
        <f t="shared" si="91"/>
        <v>0</v>
      </c>
      <c r="FV482" s="106">
        <f t="shared" si="91"/>
        <v>0</v>
      </c>
      <c r="FW482" s="106">
        <f t="shared" si="91"/>
        <v>1505</v>
      </c>
      <c r="FX482" s="106">
        <f t="shared" ref="FX482:FZ482" si="103">+SUM(FX307:FX318)</f>
        <v>0</v>
      </c>
      <c r="FY482" s="106">
        <f t="shared" si="103"/>
        <v>0</v>
      </c>
      <c r="FZ482" s="106">
        <f t="shared" si="103"/>
        <v>71</v>
      </c>
    </row>
    <row r="483" spans="2:182 16381:16381" s="105" customFormat="1" x14ac:dyDescent="0.2">
      <c r="B483" s="105">
        <v>2013</v>
      </c>
      <c r="C483" s="106">
        <f>+SUM(C319:C330)</f>
        <v>2778052.39</v>
      </c>
      <c r="D483" s="106">
        <f t="shared" ref="D483:E483" si="104">+SUM(D319:D330)</f>
        <v>3950845.2199999997</v>
      </c>
      <c r="E483" s="106">
        <f t="shared" si="104"/>
        <v>6728897.6099999994</v>
      </c>
      <c r="F483" s="106">
        <f t="shared" ref="F483:AL483" si="105">+SUM(F319:F330)</f>
        <v>96086829.150000006</v>
      </c>
      <c r="G483" s="106">
        <f t="shared" si="105"/>
        <v>8830864.8600000013</v>
      </c>
      <c r="H483" s="106">
        <f t="shared" si="105"/>
        <v>104917694.01000001</v>
      </c>
      <c r="I483" s="106">
        <f t="shared" si="105"/>
        <v>0</v>
      </c>
      <c r="J483" s="106">
        <f t="shared" si="105"/>
        <v>0</v>
      </c>
      <c r="K483" s="106">
        <f t="shared" si="105"/>
        <v>140766225.73000002</v>
      </c>
      <c r="L483" s="106">
        <f t="shared" si="105"/>
        <v>0</v>
      </c>
      <c r="M483" s="106">
        <f t="shared" si="105"/>
        <v>0</v>
      </c>
      <c r="N483" s="106">
        <f t="shared" si="105"/>
        <v>336060712.63</v>
      </c>
      <c r="O483" s="106">
        <f t="shared" si="105"/>
        <v>0</v>
      </c>
      <c r="P483" s="106">
        <f t="shared" si="105"/>
        <v>0</v>
      </c>
      <c r="Q483" s="106">
        <f t="shared" si="105"/>
        <v>275119547.09999996</v>
      </c>
      <c r="R483" s="106">
        <f t="shared" si="105"/>
        <v>0</v>
      </c>
      <c r="S483" s="106">
        <f t="shared" si="105"/>
        <v>0</v>
      </c>
      <c r="T483" s="106">
        <f t="shared" si="105"/>
        <v>1643923.69</v>
      </c>
      <c r="U483" s="106">
        <f t="shared" si="105"/>
        <v>108294.43</v>
      </c>
      <c r="V483" s="106">
        <f t="shared" si="105"/>
        <v>94068.06</v>
      </c>
      <c r="W483" s="106">
        <f t="shared" si="105"/>
        <v>202362.49</v>
      </c>
      <c r="X483" s="106">
        <f t="shared" si="105"/>
        <v>931342.03</v>
      </c>
      <c r="Y483" s="106">
        <f t="shared" si="105"/>
        <v>82238.099999999991</v>
      </c>
      <c r="Z483" s="106">
        <f t="shared" si="105"/>
        <v>1013580.1300000001</v>
      </c>
      <c r="AA483" s="106">
        <f t="shared" si="105"/>
        <v>1742713.3600000003</v>
      </c>
      <c r="AB483" s="106">
        <f t="shared" si="105"/>
        <v>262485.88</v>
      </c>
      <c r="AC483" s="106">
        <f t="shared" si="105"/>
        <v>2005199.24</v>
      </c>
      <c r="AD483" s="106">
        <f t="shared" si="105"/>
        <v>102475.07</v>
      </c>
      <c r="AE483" s="106">
        <f t="shared" si="105"/>
        <v>257669.18</v>
      </c>
      <c r="AF483" s="106">
        <f t="shared" si="105"/>
        <v>360144.25</v>
      </c>
      <c r="AG483" s="106">
        <f t="shared" si="105"/>
        <v>426614.12</v>
      </c>
      <c r="AH483" s="106">
        <f t="shared" si="105"/>
        <v>774743.61</v>
      </c>
      <c r="AI483" s="106">
        <f t="shared" si="105"/>
        <v>1201357.73</v>
      </c>
      <c r="AJ483" s="106">
        <f t="shared" si="105"/>
        <v>0</v>
      </c>
      <c r="AK483" s="106">
        <f t="shared" si="105"/>
        <v>0</v>
      </c>
      <c r="AL483" s="106">
        <f t="shared" si="105"/>
        <v>664196.25</v>
      </c>
      <c r="AM483" s="106"/>
      <c r="AN483" s="106"/>
      <c r="AO483" s="106"/>
      <c r="AP483" s="106"/>
      <c r="AQ483" s="106"/>
      <c r="AR483" s="106"/>
      <c r="AS483" s="106">
        <f t="shared" ref="AS483:CG483" si="106">+SUM(AS319:AS330)</f>
        <v>0</v>
      </c>
      <c r="AT483" s="106">
        <f t="shared" si="106"/>
        <v>0</v>
      </c>
      <c r="AU483" s="106">
        <f t="shared" si="106"/>
        <v>18898138.73</v>
      </c>
      <c r="AV483" s="106">
        <f t="shared" si="106"/>
        <v>0</v>
      </c>
      <c r="AW483" s="106">
        <f t="shared" si="106"/>
        <v>0</v>
      </c>
      <c r="AX483" s="106">
        <f t="shared" si="106"/>
        <v>529220.63</v>
      </c>
      <c r="AY483" s="106">
        <f t="shared" si="106"/>
        <v>101173193.8</v>
      </c>
      <c r="AZ483" s="106">
        <f t="shared" si="106"/>
        <v>16600465.050000001</v>
      </c>
      <c r="BA483" s="106">
        <f t="shared" si="106"/>
        <v>117773658.84999999</v>
      </c>
      <c r="BB483" s="106">
        <f t="shared" si="106"/>
        <v>0</v>
      </c>
      <c r="BC483" s="106">
        <f t="shared" si="106"/>
        <v>0</v>
      </c>
      <c r="BD483" s="106">
        <f t="shared" si="106"/>
        <v>17666223.177777778</v>
      </c>
      <c r="BE483" s="106">
        <f t="shared" si="106"/>
        <v>0</v>
      </c>
      <c r="BF483" s="106">
        <f t="shared" si="106"/>
        <v>0</v>
      </c>
      <c r="BG483" s="106">
        <f t="shared" si="106"/>
        <v>1915</v>
      </c>
      <c r="BH483" s="106">
        <f t="shared" ref="BH483:BJ483" si="107">+SUM(BH319:BH330)</f>
        <v>0</v>
      </c>
      <c r="BI483" s="106">
        <f t="shared" si="107"/>
        <v>0</v>
      </c>
      <c r="BJ483" s="106">
        <f t="shared" si="107"/>
        <v>0</v>
      </c>
      <c r="BK483" s="106">
        <f t="shared" si="106"/>
        <v>0</v>
      </c>
      <c r="BL483" s="106">
        <f t="shared" si="106"/>
        <v>0</v>
      </c>
      <c r="BM483" s="106">
        <f t="shared" si="106"/>
        <v>2872</v>
      </c>
      <c r="BN483" s="106">
        <f t="shared" ref="BN483:BP483" si="108">+SUM(BN319:BN330)</f>
        <v>0</v>
      </c>
      <c r="BO483" s="106">
        <f t="shared" si="108"/>
        <v>0</v>
      </c>
      <c r="BP483" s="106">
        <f t="shared" si="108"/>
        <v>0</v>
      </c>
      <c r="BQ483" s="106">
        <f t="shared" si="106"/>
        <v>0</v>
      </c>
      <c r="BR483" s="106">
        <f t="shared" si="106"/>
        <v>0</v>
      </c>
      <c r="BS483" s="106">
        <f t="shared" si="106"/>
        <v>3766</v>
      </c>
      <c r="BT483" s="106">
        <f t="shared" ref="BT483:BV483" si="109">+SUM(BT319:BT330)</f>
        <v>0</v>
      </c>
      <c r="BU483" s="106">
        <f t="shared" si="109"/>
        <v>0</v>
      </c>
      <c r="BV483" s="106">
        <f t="shared" si="109"/>
        <v>0</v>
      </c>
      <c r="BW483" s="106"/>
      <c r="BX483" s="106"/>
      <c r="BY483" s="106"/>
      <c r="BZ483" s="106">
        <f t="shared" si="106"/>
        <v>0</v>
      </c>
      <c r="CA483" s="106">
        <f t="shared" si="106"/>
        <v>0</v>
      </c>
      <c r="CB483" s="106">
        <f t="shared" si="106"/>
        <v>3190</v>
      </c>
      <c r="CC483" s="106"/>
      <c r="CD483" s="106"/>
      <c r="CE483" s="106"/>
      <c r="CF483" s="106">
        <f t="shared" si="106"/>
        <v>0</v>
      </c>
      <c r="CG483" s="106">
        <f t="shared" si="106"/>
        <v>0</v>
      </c>
      <c r="CH483" s="106">
        <f t="shared" ref="CH483:FW483" si="110">+SUM(CH319:CH330)</f>
        <v>69</v>
      </c>
      <c r="CI483" s="106">
        <f t="shared" si="110"/>
        <v>0</v>
      </c>
      <c r="CJ483" s="106">
        <f t="shared" si="110"/>
        <v>0</v>
      </c>
      <c r="CK483" s="106">
        <f t="shared" si="110"/>
        <v>637</v>
      </c>
      <c r="CL483" s="106">
        <f t="shared" ref="CL483:CN483" si="111">+SUM(CL319:CL330)</f>
        <v>0</v>
      </c>
      <c r="CM483" s="106">
        <f t="shared" si="111"/>
        <v>0</v>
      </c>
      <c r="CN483" s="106">
        <f t="shared" si="111"/>
        <v>0</v>
      </c>
      <c r="CO483" s="106">
        <f t="shared" si="110"/>
        <v>0</v>
      </c>
      <c r="CP483" s="106">
        <f t="shared" si="110"/>
        <v>0</v>
      </c>
      <c r="CQ483" s="106">
        <f t="shared" si="110"/>
        <v>110</v>
      </c>
      <c r="CR483" s="106">
        <f t="shared" ref="CR483:CT483" si="112">+SUM(CR319:CR330)</f>
        <v>0</v>
      </c>
      <c r="CS483" s="106">
        <f t="shared" si="112"/>
        <v>0</v>
      </c>
      <c r="CT483" s="106">
        <f t="shared" si="112"/>
        <v>0</v>
      </c>
      <c r="CU483" s="106">
        <f t="shared" si="110"/>
        <v>0</v>
      </c>
      <c r="CV483" s="106">
        <f t="shared" si="110"/>
        <v>0</v>
      </c>
      <c r="CW483" s="106">
        <f t="shared" si="110"/>
        <v>2311</v>
      </c>
      <c r="CX483" s="106">
        <f t="shared" ref="CX483:CZ483" si="113">+SUM(CX319:CX330)</f>
        <v>0</v>
      </c>
      <c r="CY483" s="106">
        <f t="shared" si="113"/>
        <v>0</v>
      </c>
      <c r="CZ483" s="106">
        <f t="shared" si="113"/>
        <v>0</v>
      </c>
      <c r="DA483" s="106">
        <f t="shared" si="110"/>
        <v>0</v>
      </c>
      <c r="DB483" s="106">
        <f t="shared" si="110"/>
        <v>0</v>
      </c>
      <c r="DC483" s="106">
        <f t="shared" si="110"/>
        <v>11</v>
      </c>
      <c r="DD483" s="106">
        <f t="shared" ref="DD483:DF483" si="114">+SUM(DD319:DD330)</f>
        <v>0</v>
      </c>
      <c r="DE483" s="106">
        <f t="shared" si="114"/>
        <v>0</v>
      </c>
      <c r="DF483" s="106">
        <f t="shared" si="114"/>
        <v>0</v>
      </c>
      <c r="DG483" s="106">
        <f t="shared" si="110"/>
        <v>0</v>
      </c>
      <c r="DH483" s="106">
        <f t="shared" si="110"/>
        <v>0</v>
      </c>
      <c r="DI483" s="106">
        <f t="shared" si="110"/>
        <v>44</v>
      </c>
      <c r="DJ483" s="106">
        <f t="shared" ref="DJ483:DL483" si="115">+SUM(DJ319:DJ330)</f>
        <v>0</v>
      </c>
      <c r="DK483" s="106">
        <f t="shared" si="115"/>
        <v>0</v>
      </c>
      <c r="DL483" s="106">
        <f t="shared" si="115"/>
        <v>0</v>
      </c>
      <c r="DM483" s="106">
        <f t="shared" si="110"/>
        <v>0</v>
      </c>
      <c r="DN483" s="106">
        <f t="shared" si="110"/>
        <v>0</v>
      </c>
      <c r="DO483" s="106">
        <f t="shared" si="110"/>
        <v>0</v>
      </c>
      <c r="DP483" s="106">
        <f t="shared" si="110"/>
        <v>0</v>
      </c>
      <c r="DQ483" s="106">
        <f t="shared" si="110"/>
        <v>0</v>
      </c>
      <c r="DR483" s="106">
        <f t="shared" si="110"/>
        <v>0</v>
      </c>
      <c r="DS483" s="106">
        <f t="shared" ref="DS483:DX483" si="116">+SUM(DS319:DS330)</f>
        <v>0</v>
      </c>
      <c r="DT483" s="106">
        <f t="shared" si="116"/>
        <v>0</v>
      </c>
      <c r="DU483" s="106">
        <f t="shared" si="116"/>
        <v>19</v>
      </c>
      <c r="DV483" s="106">
        <f t="shared" si="116"/>
        <v>0</v>
      </c>
      <c r="DW483" s="106">
        <f t="shared" si="116"/>
        <v>0</v>
      </c>
      <c r="DX483" s="106">
        <f t="shared" si="116"/>
        <v>0</v>
      </c>
      <c r="DY483" s="106">
        <f t="shared" si="110"/>
        <v>0</v>
      </c>
      <c r="DZ483" s="106">
        <f t="shared" si="110"/>
        <v>0</v>
      </c>
      <c r="EA483" s="106">
        <f t="shared" si="110"/>
        <v>10671</v>
      </c>
      <c r="EB483" s="106">
        <f t="shared" ref="EB483:ED483" si="117">+SUM(EB319:EB330)</f>
        <v>0</v>
      </c>
      <c r="EC483" s="106">
        <f t="shared" si="117"/>
        <v>0</v>
      </c>
      <c r="ED483" s="106">
        <f t="shared" si="117"/>
        <v>0</v>
      </c>
      <c r="EE483" s="106">
        <f t="shared" si="110"/>
        <v>0</v>
      </c>
      <c r="EF483" s="106">
        <f t="shared" si="110"/>
        <v>0</v>
      </c>
      <c r="EG483" s="106">
        <f t="shared" si="110"/>
        <v>13791</v>
      </c>
      <c r="EH483" s="106">
        <f t="shared" ref="EH483:EJ483" si="118">+SUM(EH319:EH330)</f>
        <v>0</v>
      </c>
      <c r="EI483" s="106">
        <f t="shared" si="118"/>
        <v>0</v>
      </c>
      <c r="EJ483" s="106">
        <f t="shared" si="118"/>
        <v>1</v>
      </c>
      <c r="EK483" s="106">
        <f t="shared" si="110"/>
        <v>0</v>
      </c>
      <c r="EL483" s="106">
        <f t="shared" si="110"/>
        <v>0</v>
      </c>
      <c r="EM483" s="106">
        <f t="shared" si="110"/>
        <v>9205.1</v>
      </c>
      <c r="EN483" s="106">
        <f t="shared" ref="EN483:EP483" si="119">+SUM(EN319:EN330)</f>
        <v>0</v>
      </c>
      <c r="EO483" s="106">
        <f t="shared" si="119"/>
        <v>0</v>
      </c>
      <c r="EP483" s="106">
        <f t="shared" si="119"/>
        <v>1</v>
      </c>
      <c r="EQ483" s="106">
        <f t="shared" si="110"/>
        <v>0</v>
      </c>
      <c r="ER483" s="106">
        <f t="shared" si="110"/>
        <v>0</v>
      </c>
      <c r="ES483" s="106">
        <f t="shared" si="110"/>
        <v>863</v>
      </c>
      <c r="ET483" s="106">
        <f t="shared" ref="ET483:EV483" si="120">+SUM(ET319:ET330)</f>
        <v>0</v>
      </c>
      <c r="EU483" s="106">
        <f t="shared" si="120"/>
        <v>0</v>
      </c>
      <c r="EV483" s="106">
        <f t="shared" si="120"/>
        <v>2</v>
      </c>
      <c r="EW483" s="106">
        <f t="shared" si="110"/>
        <v>0</v>
      </c>
      <c r="EX483" s="106">
        <f t="shared" si="110"/>
        <v>0</v>
      </c>
      <c r="EY483" s="106">
        <f t="shared" si="110"/>
        <v>111</v>
      </c>
      <c r="EZ483" s="106">
        <f t="shared" ref="EZ483:FH483" si="121">+SUM(EZ319:EZ330)</f>
        <v>0</v>
      </c>
      <c r="FA483" s="106">
        <f t="shared" si="121"/>
        <v>0</v>
      </c>
      <c r="FB483" s="106">
        <f t="shared" si="121"/>
        <v>0</v>
      </c>
      <c r="FC483" s="106">
        <f t="shared" si="121"/>
        <v>0</v>
      </c>
      <c r="FD483" s="106">
        <f t="shared" si="121"/>
        <v>0</v>
      </c>
      <c r="FE483" s="106">
        <f t="shared" si="121"/>
        <v>146</v>
      </c>
      <c r="FF483" s="106">
        <f t="shared" si="121"/>
        <v>0</v>
      </c>
      <c r="FG483" s="106">
        <f t="shared" si="121"/>
        <v>0</v>
      </c>
      <c r="FH483" s="106">
        <f t="shared" si="121"/>
        <v>1</v>
      </c>
      <c r="FI483" s="106">
        <f t="shared" si="110"/>
        <v>0</v>
      </c>
      <c r="FJ483" s="106">
        <f t="shared" si="110"/>
        <v>0</v>
      </c>
      <c r="FK483" s="106">
        <f t="shared" si="110"/>
        <v>99</v>
      </c>
      <c r="FL483" s="106">
        <f t="shared" si="110"/>
        <v>0</v>
      </c>
      <c r="FM483" s="106">
        <f t="shared" si="110"/>
        <v>0</v>
      </c>
      <c r="FN483" s="106">
        <f t="shared" si="110"/>
        <v>74153.010000000009</v>
      </c>
      <c r="FO483" s="106">
        <f t="shared" si="110"/>
        <v>0</v>
      </c>
      <c r="FP483" s="106">
        <f t="shared" si="110"/>
        <v>0</v>
      </c>
      <c r="FQ483" s="106">
        <f t="shared" si="110"/>
        <v>8826</v>
      </c>
      <c r="FR483" s="106">
        <f t="shared" si="110"/>
        <v>0</v>
      </c>
      <c r="FS483" s="106">
        <f t="shared" si="110"/>
        <v>0</v>
      </c>
      <c r="FT483" s="106">
        <f t="shared" si="110"/>
        <v>0</v>
      </c>
      <c r="FU483" s="106">
        <f t="shared" si="110"/>
        <v>0</v>
      </c>
      <c r="FV483" s="106">
        <f t="shared" si="110"/>
        <v>0</v>
      </c>
      <c r="FW483" s="106">
        <f t="shared" si="110"/>
        <v>1599</v>
      </c>
      <c r="FX483" s="106">
        <f t="shared" ref="FX483:FZ483" si="122">+SUM(FX319:FX330)</f>
        <v>0</v>
      </c>
      <c r="FY483" s="106">
        <f t="shared" si="122"/>
        <v>0</v>
      </c>
      <c r="FZ483" s="106">
        <f t="shared" si="122"/>
        <v>690</v>
      </c>
    </row>
    <row r="484" spans="2:182 16381:16381" s="105" customFormat="1" x14ac:dyDescent="0.2">
      <c r="B484" s="105">
        <v>2014</v>
      </c>
      <c r="C484" s="106">
        <f>+SUM(C331:C342)</f>
        <v>2591468.23</v>
      </c>
      <c r="D484" s="106">
        <f t="shared" ref="D484:E484" si="123">+SUM(D331:D342)</f>
        <v>3810362.7700000005</v>
      </c>
      <c r="E484" s="106">
        <f t="shared" si="123"/>
        <v>6401831</v>
      </c>
      <c r="F484" s="106">
        <f t="shared" ref="F484:AL484" si="124">+SUM(F331:F342)</f>
        <v>92010753.300000012</v>
      </c>
      <c r="G484" s="106">
        <f t="shared" si="124"/>
        <v>12011155.289999999</v>
      </c>
      <c r="H484" s="106">
        <f t="shared" si="124"/>
        <v>104021908.59</v>
      </c>
      <c r="I484" s="106">
        <f t="shared" si="124"/>
        <v>0</v>
      </c>
      <c r="J484" s="106">
        <f t="shared" si="124"/>
        <v>0</v>
      </c>
      <c r="K484" s="106">
        <f t="shared" si="124"/>
        <v>194666813.16000003</v>
      </c>
      <c r="L484" s="106">
        <f t="shared" si="124"/>
        <v>0</v>
      </c>
      <c r="M484" s="106">
        <f t="shared" si="124"/>
        <v>0</v>
      </c>
      <c r="N484" s="106">
        <f t="shared" si="124"/>
        <v>338048230.35000002</v>
      </c>
      <c r="O484" s="106">
        <f t="shared" si="124"/>
        <v>0</v>
      </c>
      <c r="P484" s="106">
        <f t="shared" si="124"/>
        <v>0</v>
      </c>
      <c r="Q484" s="106">
        <f t="shared" si="124"/>
        <v>290187331.79000008</v>
      </c>
      <c r="R484" s="106">
        <f t="shared" si="124"/>
        <v>0</v>
      </c>
      <c r="S484" s="106">
        <f t="shared" si="124"/>
        <v>0</v>
      </c>
      <c r="T484" s="106">
        <f t="shared" si="124"/>
        <v>1740410.0299999998</v>
      </c>
      <c r="U484" s="106">
        <f t="shared" si="124"/>
        <v>100373.83</v>
      </c>
      <c r="V484" s="106">
        <f t="shared" si="124"/>
        <v>77804.66</v>
      </c>
      <c r="W484" s="106">
        <f t="shared" si="124"/>
        <v>178178.49</v>
      </c>
      <c r="X484" s="106">
        <f t="shared" si="124"/>
        <v>932896.95</v>
      </c>
      <c r="Y484" s="106">
        <f t="shared" si="124"/>
        <v>44977.000000000007</v>
      </c>
      <c r="Z484" s="106">
        <f t="shared" si="124"/>
        <v>977873.95</v>
      </c>
      <c r="AA484" s="106">
        <f t="shared" si="124"/>
        <v>1694501.7599999998</v>
      </c>
      <c r="AB484" s="106">
        <f t="shared" si="124"/>
        <v>259859.04999999996</v>
      </c>
      <c r="AC484" s="106">
        <f t="shared" si="124"/>
        <v>1954360.81</v>
      </c>
      <c r="AD484" s="106">
        <f t="shared" si="124"/>
        <v>94089.59</v>
      </c>
      <c r="AE484" s="106">
        <f t="shared" si="124"/>
        <v>250815.74</v>
      </c>
      <c r="AF484" s="106">
        <f t="shared" si="124"/>
        <v>344905.32999999996</v>
      </c>
      <c r="AG484" s="106">
        <f t="shared" si="124"/>
        <v>335923.3</v>
      </c>
      <c r="AH484" s="106">
        <f t="shared" si="124"/>
        <v>768850.21000000008</v>
      </c>
      <c r="AI484" s="106">
        <f t="shared" si="124"/>
        <v>1104773.5100000002</v>
      </c>
      <c r="AJ484" s="106">
        <f t="shared" si="124"/>
        <v>0</v>
      </c>
      <c r="AK484" s="106">
        <f t="shared" si="124"/>
        <v>0</v>
      </c>
      <c r="AL484" s="106">
        <f t="shared" si="124"/>
        <v>775938.75</v>
      </c>
      <c r="AM484" s="106"/>
      <c r="AN484" s="106"/>
      <c r="AO484" s="106"/>
      <c r="AP484" s="106"/>
      <c r="AQ484" s="106"/>
      <c r="AR484" s="106"/>
      <c r="AS484" s="106">
        <f t="shared" ref="AS484:CG484" si="125">+SUM(AS331:AS342)</f>
        <v>0</v>
      </c>
      <c r="AT484" s="106">
        <f t="shared" si="125"/>
        <v>0</v>
      </c>
      <c r="AU484" s="106">
        <f t="shared" si="125"/>
        <v>18746599.009999998</v>
      </c>
      <c r="AV484" s="106">
        <f t="shared" si="125"/>
        <v>0</v>
      </c>
      <c r="AW484" s="106">
        <f t="shared" si="125"/>
        <v>0</v>
      </c>
      <c r="AX484" s="106">
        <f t="shared" si="125"/>
        <v>499737.9</v>
      </c>
      <c r="AY484" s="106">
        <f t="shared" si="125"/>
        <v>107671883.10000001</v>
      </c>
      <c r="AZ484" s="106">
        <f t="shared" si="125"/>
        <v>15518885</v>
      </c>
      <c r="BA484" s="106">
        <f t="shared" si="125"/>
        <v>123190768.10000001</v>
      </c>
      <c r="BB484" s="106">
        <f t="shared" si="125"/>
        <v>0</v>
      </c>
      <c r="BC484" s="106">
        <f t="shared" si="125"/>
        <v>0</v>
      </c>
      <c r="BD484" s="106">
        <f t="shared" si="125"/>
        <v>17891869.733333334</v>
      </c>
      <c r="BE484" s="106">
        <f t="shared" si="125"/>
        <v>0</v>
      </c>
      <c r="BF484" s="106">
        <f t="shared" si="125"/>
        <v>0</v>
      </c>
      <c r="BG484" s="106">
        <f t="shared" si="125"/>
        <v>2171</v>
      </c>
      <c r="BH484" s="106">
        <f t="shared" ref="BH484:BJ484" si="126">+SUM(BH331:BH342)</f>
        <v>0</v>
      </c>
      <c r="BI484" s="106">
        <f t="shared" si="126"/>
        <v>0</v>
      </c>
      <c r="BJ484" s="106">
        <f t="shared" si="126"/>
        <v>0</v>
      </c>
      <c r="BK484" s="106">
        <f t="shared" si="125"/>
        <v>0</v>
      </c>
      <c r="BL484" s="106">
        <f t="shared" si="125"/>
        <v>0</v>
      </c>
      <c r="BM484" s="106">
        <f t="shared" si="125"/>
        <v>3166</v>
      </c>
      <c r="BN484" s="106">
        <f t="shared" ref="BN484:BP484" si="127">+SUM(BN331:BN342)</f>
        <v>0</v>
      </c>
      <c r="BO484" s="106">
        <f t="shared" si="127"/>
        <v>0</v>
      </c>
      <c r="BP484" s="106">
        <f t="shared" si="127"/>
        <v>0</v>
      </c>
      <c r="BQ484" s="106">
        <f t="shared" si="125"/>
        <v>0</v>
      </c>
      <c r="BR484" s="106">
        <f t="shared" si="125"/>
        <v>0</v>
      </c>
      <c r="BS484" s="106">
        <f t="shared" si="125"/>
        <v>2698</v>
      </c>
      <c r="BT484" s="106">
        <f t="shared" ref="BT484:BV484" si="128">+SUM(BT331:BT342)</f>
        <v>0</v>
      </c>
      <c r="BU484" s="106">
        <f t="shared" si="128"/>
        <v>0</v>
      </c>
      <c r="BV484" s="106">
        <f t="shared" si="128"/>
        <v>0</v>
      </c>
      <c r="BW484" s="106"/>
      <c r="BX484" s="106"/>
      <c r="BY484" s="106"/>
      <c r="BZ484" s="106">
        <f t="shared" si="125"/>
        <v>0</v>
      </c>
      <c r="CA484" s="106">
        <f t="shared" si="125"/>
        <v>0</v>
      </c>
      <c r="CB484" s="106">
        <f t="shared" si="125"/>
        <v>2855</v>
      </c>
      <c r="CC484" s="106"/>
      <c r="CD484" s="106"/>
      <c r="CE484" s="106"/>
      <c r="CF484" s="106">
        <f t="shared" si="125"/>
        <v>0</v>
      </c>
      <c r="CG484" s="106">
        <f t="shared" si="125"/>
        <v>0</v>
      </c>
      <c r="CH484" s="106">
        <f t="shared" ref="CH484:FW484" si="129">+SUM(CH331:CH342)</f>
        <v>62</v>
      </c>
      <c r="CI484" s="106">
        <f t="shared" si="129"/>
        <v>0</v>
      </c>
      <c r="CJ484" s="106">
        <f t="shared" si="129"/>
        <v>0</v>
      </c>
      <c r="CK484" s="106">
        <f t="shared" si="129"/>
        <v>330</v>
      </c>
      <c r="CL484" s="106">
        <f t="shared" ref="CL484:CN484" si="130">+SUM(CL331:CL342)</f>
        <v>0</v>
      </c>
      <c r="CM484" s="106">
        <f t="shared" si="130"/>
        <v>0</v>
      </c>
      <c r="CN484" s="106">
        <f t="shared" si="130"/>
        <v>0</v>
      </c>
      <c r="CO484" s="106">
        <f t="shared" si="129"/>
        <v>0</v>
      </c>
      <c r="CP484" s="106">
        <f t="shared" si="129"/>
        <v>0</v>
      </c>
      <c r="CQ484" s="106">
        <f t="shared" si="129"/>
        <v>108</v>
      </c>
      <c r="CR484" s="106">
        <f t="shared" ref="CR484:CT484" si="131">+SUM(CR331:CR342)</f>
        <v>0</v>
      </c>
      <c r="CS484" s="106">
        <f t="shared" si="131"/>
        <v>0</v>
      </c>
      <c r="CT484" s="106">
        <f t="shared" si="131"/>
        <v>0</v>
      </c>
      <c r="CU484" s="106">
        <f t="shared" si="129"/>
        <v>0</v>
      </c>
      <c r="CV484" s="106">
        <f t="shared" si="129"/>
        <v>0</v>
      </c>
      <c r="CW484" s="106">
        <f t="shared" si="129"/>
        <v>2650</v>
      </c>
      <c r="CX484" s="106">
        <f t="shared" ref="CX484:CZ484" si="132">+SUM(CX331:CX342)</f>
        <v>0</v>
      </c>
      <c r="CY484" s="106">
        <f t="shared" si="132"/>
        <v>0</v>
      </c>
      <c r="CZ484" s="106">
        <f t="shared" si="132"/>
        <v>0</v>
      </c>
      <c r="DA484" s="106">
        <f t="shared" si="129"/>
        <v>0</v>
      </c>
      <c r="DB484" s="106">
        <f t="shared" si="129"/>
        <v>0</v>
      </c>
      <c r="DC484" s="106">
        <f t="shared" si="129"/>
        <v>9</v>
      </c>
      <c r="DD484" s="106">
        <f t="shared" ref="DD484:DF484" si="133">+SUM(DD331:DD342)</f>
        <v>0</v>
      </c>
      <c r="DE484" s="106">
        <f t="shared" si="133"/>
        <v>0</v>
      </c>
      <c r="DF484" s="106">
        <f t="shared" si="133"/>
        <v>0</v>
      </c>
      <c r="DG484" s="106">
        <f t="shared" si="129"/>
        <v>0</v>
      </c>
      <c r="DH484" s="106">
        <f t="shared" si="129"/>
        <v>0</v>
      </c>
      <c r="DI484" s="106">
        <f t="shared" si="129"/>
        <v>65</v>
      </c>
      <c r="DJ484" s="106">
        <f t="shared" ref="DJ484:DL484" si="134">+SUM(DJ331:DJ342)</f>
        <v>0</v>
      </c>
      <c r="DK484" s="106">
        <f t="shared" si="134"/>
        <v>0</v>
      </c>
      <c r="DL484" s="106">
        <f t="shared" si="134"/>
        <v>0</v>
      </c>
      <c r="DM484" s="106">
        <f t="shared" si="129"/>
        <v>0</v>
      </c>
      <c r="DN484" s="106">
        <f t="shared" si="129"/>
        <v>0</v>
      </c>
      <c r="DO484" s="106">
        <f t="shared" si="129"/>
        <v>0</v>
      </c>
      <c r="DP484" s="106">
        <f t="shared" si="129"/>
        <v>0</v>
      </c>
      <c r="DQ484" s="106">
        <f t="shared" si="129"/>
        <v>0</v>
      </c>
      <c r="DR484" s="106">
        <f t="shared" si="129"/>
        <v>0</v>
      </c>
      <c r="DS484" s="106">
        <f t="shared" ref="DS484:DX484" si="135">+SUM(DS331:DS342)</f>
        <v>0</v>
      </c>
      <c r="DT484" s="106">
        <f t="shared" si="135"/>
        <v>0</v>
      </c>
      <c r="DU484" s="106">
        <f t="shared" si="135"/>
        <v>4</v>
      </c>
      <c r="DV484" s="106">
        <f t="shared" si="135"/>
        <v>0</v>
      </c>
      <c r="DW484" s="106">
        <f t="shared" si="135"/>
        <v>0</v>
      </c>
      <c r="DX484" s="106">
        <f t="shared" si="135"/>
        <v>0</v>
      </c>
      <c r="DY484" s="106">
        <f t="shared" si="129"/>
        <v>0</v>
      </c>
      <c r="DZ484" s="106">
        <f t="shared" si="129"/>
        <v>0</v>
      </c>
      <c r="EA484" s="106">
        <f t="shared" si="129"/>
        <v>8884</v>
      </c>
      <c r="EB484" s="106">
        <f t="shared" ref="EB484:ED484" si="136">+SUM(EB331:EB342)</f>
        <v>0</v>
      </c>
      <c r="EC484" s="106">
        <f t="shared" si="136"/>
        <v>0</v>
      </c>
      <c r="ED484" s="106">
        <f t="shared" si="136"/>
        <v>0</v>
      </c>
      <c r="EE484" s="106">
        <f t="shared" si="129"/>
        <v>0</v>
      </c>
      <c r="EF484" s="106">
        <f t="shared" si="129"/>
        <v>0</v>
      </c>
      <c r="EG484" s="106">
        <f t="shared" si="129"/>
        <v>15324</v>
      </c>
      <c r="EH484" s="106">
        <f t="shared" ref="EH484:EJ484" si="137">+SUM(EH331:EH342)</f>
        <v>0</v>
      </c>
      <c r="EI484" s="106">
        <f t="shared" si="137"/>
        <v>0</v>
      </c>
      <c r="EJ484" s="106">
        <f t="shared" si="137"/>
        <v>1</v>
      </c>
      <c r="EK484" s="106">
        <f t="shared" si="129"/>
        <v>0</v>
      </c>
      <c r="EL484" s="106">
        <f t="shared" si="129"/>
        <v>0</v>
      </c>
      <c r="EM484" s="106">
        <f t="shared" si="129"/>
        <v>11968.2</v>
      </c>
      <c r="EN484" s="106">
        <f t="shared" ref="EN484:EP484" si="138">+SUM(EN331:EN342)</f>
        <v>0</v>
      </c>
      <c r="EO484" s="106">
        <f t="shared" si="138"/>
        <v>0</v>
      </c>
      <c r="EP484" s="106">
        <f t="shared" si="138"/>
        <v>0</v>
      </c>
      <c r="EQ484" s="106">
        <f t="shared" si="129"/>
        <v>0</v>
      </c>
      <c r="ER484" s="106">
        <f t="shared" si="129"/>
        <v>0</v>
      </c>
      <c r="ES484" s="106">
        <f t="shared" si="129"/>
        <v>982</v>
      </c>
      <c r="ET484" s="106">
        <f t="shared" ref="ET484:EV484" si="139">+SUM(ET331:ET342)</f>
        <v>0</v>
      </c>
      <c r="EU484" s="106">
        <f t="shared" si="139"/>
        <v>0</v>
      </c>
      <c r="EV484" s="106">
        <f t="shared" si="139"/>
        <v>2</v>
      </c>
      <c r="EW484" s="106">
        <f t="shared" si="129"/>
        <v>0</v>
      </c>
      <c r="EX484" s="106">
        <f t="shared" si="129"/>
        <v>0</v>
      </c>
      <c r="EY484" s="106">
        <f t="shared" si="129"/>
        <v>83</v>
      </c>
      <c r="EZ484" s="106">
        <f t="shared" ref="EZ484:FH484" si="140">+SUM(EZ331:EZ342)</f>
        <v>0</v>
      </c>
      <c r="FA484" s="106">
        <f t="shared" si="140"/>
        <v>0</v>
      </c>
      <c r="FB484" s="106">
        <f t="shared" si="140"/>
        <v>0</v>
      </c>
      <c r="FC484" s="106">
        <f t="shared" si="140"/>
        <v>0</v>
      </c>
      <c r="FD484" s="106">
        <f t="shared" si="140"/>
        <v>0</v>
      </c>
      <c r="FE484" s="106">
        <f t="shared" si="140"/>
        <v>140</v>
      </c>
      <c r="FF484" s="106">
        <f t="shared" si="140"/>
        <v>0</v>
      </c>
      <c r="FG484" s="106">
        <f t="shared" si="140"/>
        <v>0</v>
      </c>
      <c r="FH484" s="106">
        <f t="shared" si="140"/>
        <v>0</v>
      </c>
      <c r="FI484" s="106">
        <f t="shared" si="129"/>
        <v>0</v>
      </c>
      <c r="FJ484" s="106">
        <f t="shared" si="129"/>
        <v>0</v>
      </c>
      <c r="FK484" s="106">
        <f t="shared" si="129"/>
        <v>454</v>
      </c>
      <c r="FL484" s="106">
        <f t="shared" si="129"/>
        <v>0</v>
      </c>
      <c r="FM484" s="106">
        <f t="shared" si="129"/>
        <v>0</v>
      </c>
      <c r="FN484" s="106">
        <f t="shared" si="129"/>
        <v>55500</v>
      </c>
      <c r="FO484" s="106">
        <f t="shared" si="129"/>
        <v>0</v>
      </c>
      <c r="FP484" s="106">
        <f t="shared" si="129"/>
        <v>0</v>
      </c>
      <c r="FQ484" s="106">
        <f t="shared" si="129"/>
        <v>6141</v>
      </c>
      <c r="FR484" s="106">
        <f t="shared" si="129"/>
        <v>0</v>
      </c>
      <c r="FS484" s="106">
        <f t="shared" si="129"/>
        <v>0</v>
      </c>
      <c r="FT484" s="106">
        <f t="shared" si="129"/>
        <v>0</v>
      </c>
      <c r="FU484" s="106">
        <f t="shared" si="129"/>
        <v>0</v>
      </c>
      <c r="FV484" s="106">
        <f t="shared" si="129"/>
        <v>0</v>
      </c>
      <c r="FW484" s="106">
        <f t="shared" si="129"/>
        <v>1840.99</v>
      </c>
      <c r="FX484" s="106">
        <f t="shared" ref="FX484:FZ484" si="141">+SUM(FX331:FX342)</f>
        <v>0</v>
      </c>
      <c r="FY484" s="106">
        <f t="shared" si="141"/>
        <v>0</v>
      </c>
      <c r="FZ484" s="106">
        <f t="shared" si="141"/>
        <v>50</v>
      </c>
    </row>
    <row r="485" spans="2:182 16381:16381" s="105" customFormat="1" x14ac:dyDescent="0.2">
      <c r="B485" s="105">
        <v>2015</v>
      </c>
      <c r="C485" s="108">
        <f>+SUM(C343:C354)</f>
        <v>2387632.7299999995</v>
      </c>
      <c r="D485" s="108">
        <f t="shared" ref="D485:E485" si="142">+SUM(D343:D354)</f>
        <v>3989605.3600000013</v>
      </c>
      <c r="E485" s="108">
        <f t="shared" si="142"/>
        <v>6377238.0900000017</v>
      </c>
      <c r="F485" s="108">
        <f t="shared" ref="F485:AL485" si="143">+SUM(F343:F354)</f>
        <v>88801714.689999998</v>
      </c>
      <c r="G485" s="108">
        <f t="shared" si="143"/>
        <v>17626991.709999997</v>
      </c>
      <c r="H485" s="108">
        <f t="shared" si="143"/>
        <v>106428706.40000001</v>
      </c>
      <c r="I485" s="108">
        <f t="shared" si="143"/>
        <v>0</v>
      </c>
      <c r="J485" s="108">
        <f t="shared" si="143"/>
        <v>0</v>
      </c>
      <c r="K485" s="108">
        <f t="shared" si="143"/>
        <v>199232230.43000001</v>
      </c>
      <c r="L485" s="108">
        <f t="shared" si="143"/>
        <v>0</v>
      </c>
      <c r="M485" s="108">
        <f t="shared" si="143"/>
        <v>0</v>
      </c>
      <c r="N485" s="108">
        <f t="shared" si="143"/>
        <v>329686937.03999996</v>
      </c>
      <c r="O485" s="108">
        <f t="shared" si="143"/>
        <v>0</v>
      </c>
      <c r="P485" s="108">
        <f t="shared" si="143"/>
        <v>0</v>
      </c>
      <c r="Q485" s="108">
        <f t="shared" si="143"/>
        <v>314670982.72999996</v>
      </c>
      <c r="R485" s="108">
        <f t="shared" si="143"/>
        <v>0</v>
      </c>
      <c r="S485" s="108">
        <f t="shared" si="143"/>
        <v>0</v>
      </c>
      <c r="T485" s="108">
        <f t="shared" si="143"/>
        <v>1873556.94</v>
      </c>
      <c r="U485" s="108">
        <f t="shared" si="143"/>
        <v>81603.709999999992</v>
      </c>
      <c r="V485" s="108">
        <f t="shared" si="143"/>
        <v>48652.19</v>
      </c>
      <c r="W485" s="108">
        <f t="shared" si="143"/>
        <v>130255.9</v>
      </c>
      <c r="X485" s="108">
        <f t="shared" si="143"/>
        <v>723852.43000000017</v>
      </c>
      <c r="Y485" s="108">
        <f t="shared" si="143"/>
        <v>38024.25</v>
      </c>
      <c r="Z485" s="108">
        <f t="shared" si="143"/>
        <v>761876.67999999993</v>
      </c>
      <c r="AA485" s="108">
        <f t="shared" si="143"/>
        <v>1342983.67</v>
      </c>
      <c r="AB485" s="108">
        <f t="shared" si="143"/>
        <v>272536.92</v>
      </c>
      <c r="AC485" s="108">
        <f t="shared" si="143"/>
        <v>1615520.59</v>
      </c>
      <c r="AD485" s="108">
        <f t="shared" si="143"/>
        <v>99736.12000000001</v>
      </c>
      <c r="AE485" s="108">
        <f t="shared" si="143"/>
        <v>418377.83</v>
      </c>
      <c r="AF485" s="108">
        <f t="shared" si="143"/>
        <v>518113.94999999995</v>
      </c>
      <c r="AG485" s="108">
        <f t="shared" si="143"/>
        <v>276970.64</v>
      </c>
      <c r="AH485" s="108">
        <f t="shared" si="143"/>
        <v>811576.37</v>
      </c>
      <c r="AI485" s="108">
        <f t="shared" si="143"/>
        <v>1088547.0099999998</v>
      </c>
      <c r="AJ485" s="108">
        <f t="shared" si="143"/>
        <v>0</v>
      </c>
      <c r="AK485" s="108">
        <f t="shared" si="143"/>
        <v>0</v>
      </c>
      <c r="AL485" s="108">
        <f t="shared" si="143"/>
        <v>569055.94999999995</v>
      </c>
      <c r="AM485" s="108"/>
      <c r="AN485" s="108"/>
      <c r="AO485" s="108"/>
      <c r="AP485" s="108"/>
      <c r="AQ485" s="108"/>
      <c r="AR485" s="108"/>
      <c r="AS485" s="108">
        <f t="shared" ref="AS485:CG485" si="144">+SUM(AS343:AS354)</f>
        <v>0</v>
      </c>
      <c r="AT485" s="108">
        <f t="shared" si="144"/>
        <v>0</v>
      </c>
      <c r="AU485" s="108">
        <f t="shared" si="144"/>
        <v>16970012.82</v>
      </c>
      <c r="AV485" s="108">
        <f t="shared" si="144"/>
        <v>0</v>
      </c>
      <c r="AW485" s="108">
        <f t="shared" si="144"/>
        <v>0</v>
      </c>
      <c r="AX485" s="108">
        <f t="shared" si="144"/>
        <v>494042.79999999993</v>
      </c>
      <c r="AY485" s="108">
        <f t="shared" si="144"/>
        <v>108947576.70000002</v>
      </c>
      <c r="AZ485" s="108">
        <f t="shared" si="144"/>
        <v>16263260</v>
      </c>
      <c r="BA485" s="108">
        <f t="shared" si="144"/>
        <v>125210836.70000003</v>
      </c>
      <c r="BB485" s="108">
        <f t="shared" si="144"/>
        <v>0</v>
      </c>
      <c r="BC485" s="108">
        <f t="shared" si="144"/>
        <v>0</v>
      </c>
      <c r="BD485" s="108">
        <f t="shared" si="144"/>
        <v>17599689.466666669</v>
      </c>
      <c r="BE485" s="108">
        <f t="shared" si="144"/>
        <v>0</v>
      </c>
      <c r="BF485" s="108">
        <f t="shared" si="144"/>
        <v>0</v>
      </c>
      <c r="BG485" s="108">
        <f t="shared" si="144"/>
        <v>1134</v>
      </c>
      <c r="BH485" s="108">
        <f t="shared" ref="BH485:BJ485" si="145">+SUM(BH343:BH354)</f>
        <v>0</v>
      </c>
      <c r="BI485" s="108">
        <f t="shared" si="145"/>
        <v>0</v>
      </c>
      <c r="BJ485" s="108">
        <f t="shared" si="145"/>
        <v>0</v>
      </c>
      <c r="BK485" s="108">
        <f t="shared" si="144"/>
        <v>0</v>
      </c>
      <c r="BL485" s="108">
        <f t="shared" si="144"/>
        <v>0</v>
      </c>
      <c r="BM485" s="108">
        <f t="shared" si="144"/>
        <v>2868</v>
      </c>
      <c r="BN485" s="108">
        <f t="shared" ref="BN485:BP485" si="146">+SUM(BN343:BN354)</f>
        <v>0</v>
      </c>
      <c r="BO485" s="108">
        <f t="shared" si="146"/>
        <v>0</v>
      </c>
      <c r="BP485" s="108">
        <f t="shared" si="146"/>
        <v>0</v>
      </c>
      <c r="BQ485" s="108">
        <f t="shared" si="144"/>
        <v>0</v>
      </c>
      <c r="BR485" s="108">
        <f t="shared" si="144"/>
        <v>0</v>
      </c>
      <c r="BS485" s="108">
        <f t="shared" si="144"/>
        <v>1456</v>
      </c>
      <c r="BT485" s="108">
        <f t="shared" ref="BT485:BV485" si="147">+SUM(BT343:BT354)</f>
        <v>0</v>
      </c>
      <c r="BU485" s="108">
        <f t="shared" si="147"/>
        <v>0</v>
      </c>
      <c r="BV485" s="108">
        <f t="shared" si="147"/>
        <v>7</v>
      </c>
      <c r="BW485" s="108"/>
      <c r="BX485" s="108"/>
      <c r="BY485" s="108"/>
      <c r="BZ485" s="108">
        <f t="shared" si="144"/>
        <v>0</v>
      </c>
      <c r="CA485" s="108">
        <f t="shared" si="144"/>
        <v>0</v>
      </c>
      <c r="CB485" s="108">
        <f t="shared" si="144"/>
        <v>2143</v>
      </c>
      <c r="CC485" s="108"/>
      <c r="CD485" s="108"/>
      <c r="CE485" s="108"/>
      <c r="CF485" s="108">
        <f t="shared" si="144"/>
        <v>0</v>
      </c>
      <c r="CG485" s="108">
        <f t="shared" si="144"/>
        <v>0</v>
      </c>
      <c r="CH485" s="108">
        <f t="shared" ref="CH485:FW485" si="148">+SUM(CH343:CH354)</f>
        <v>39</v>
      </c>
      <c r="CI485" s="108">
        <f t="shared" si="148"/>
        <v>0</v>
      </c>
      <c r="CJ485" s="108">
        <f t="shared" si="148"/>
        <v>0</v>
      </c>
      <c r="CK485" s="108">
        <f t="shared" si="148"/>
        <v>173</v>
      </c>
      <c r="CL485" s="108">
        <f t="shared" ref="CL485:CN485" si="149">+SUM(CL343:CL354)</f>
        <v>0</v>
      </c>
      <c r="CM485" s="108">
        <f t="shared" si="149"/>
        <v>0</v>
      </c>
      <c r="CN485" s="108">
        <f t="shared" si="149"/>
        <v>0</v>
      </c>
      <c r="CO485" s="108">
        <f t="shared" si="148"/>
        <v>0</v>
      </c>
      <c r="CP485" s="108">
        <f t="shared" si="148"/>
        <v>0</v>
      </c>
      <c r="CQ485" s="108">
        <f t="shared" si="148"/>
        <v>72</v>
      </c>
      <c r="CR485" s="108">
        <f t="shared" ref="CR485:CT485" si="150">+SUM(CR343:CR354)</f>
        <v>0</v>
      </c>
      <c r="CS485" s="108">
        <f t="shared" si="150"/>
        <v>0</v>
      </c>
      <c r="CT485" s="108">
        <f t="shared" si="150"/>
        <v>0</v>
      </c>
      <c r="CU485" s="108">
        <f t="shared" si="148"/>
        <v>0</v>
      </c>
      <c r="CV485" s="108">
        <f t="shared" si="148"/>
        <v>0</v>
      </c>
      <c r="CW485" s="108">
        <f t="shared" si="148"/>
        <v>2531</v>
      </c>
      <c r="CX485" s="108">
        <f t="shared" ref="CX485:CZ485" si="151">+SUM(CX343:CX354)</f>
        <v>0</v>
      </c>
      <c r="CY485" s="108">
        <f t="shared" si="151"/>
        <v>0</v>
      </c>
      <c r="CZ485" s="108">
        <f t="shared" si="151"/>
        <v>0</v>
      </c>
      <c r="DA485" s="108">
        <f t="shared" si="148"/>
        <v>0</v>
      </c>
      <c r="DB485" s="108">
        <f t="shared" si="148"/>
        <v>0</v>
      </c>
      <c r="DC485" s="108">
        <f t="shared" si="148"/>
        <v>11</v>
      </c>
      <c r="DD485" s="108">
        <f t="shared" ref="DD485:DF485" si="152">+SUM(DD343:DD354)</f>
        <v>0</v>
      </c>
      <c r="DE485" s="108">
        <f t="shared" si="152"/>
        <v>0</v>
      </c>
      <c r="DF485" s="108">
        <f t="shared" si="152"/>
        <v>1</v>
      </c>
      <c r="DG485" s="108">
        <f t="shared" si="148"/>
        <v>0</v>
      </c>
      <c r="DH485" s="108">
        <f t="shared" si="148"/>
        <v>0</v>
      </c>
      <c r="DI485" s="108">
        <f t="shared" si="148"/>
        <v>28</v>
      </c>
      <c r="DJ485" s="108">
        <f t="shared" ref="DJ485:DL485" si="153">+SUM(DJ343:DJ354)</f>
        <v>0</v>
      </c>
      <c r="DK485" s="108">
        <f t="shared" si="153"/>
        <v>0</v>
      </c>
      <c r="DL485" s="108">
        <f t="shared" si="153"/>
        <v>0</v>
      </c>
      <c r="DM485" s="108">
        <f t="shared" si="148"/>
        <v>0</v>
      </c>
      <c r="DN485" s="108">
        <f t="shared" si="148"/>
        <v>0</v>
      </c>
      <c r="DO485" s="108">
        <f t="shared" si="148"/>
        <v>0</v>
      </c>
      <c r="DP485" s="108">
        <f t="shared" si="148"/>
        <v>0</v>
      </c>
      <c r="DQ485" s="108">
        <f t="shared" si="148"/>
        <v>0</v>
      </c>
      <c r="DR485" s="108">
        <f t="shared" si="148"/>
        <v>0</v>
      </c>
      <c r="DS485" s="108">
        <f t="shared" ref="DS485:DX485" si="154">+SUM(DS343:DS354)</f>
        <v>0</v>
      </c>
      <c r="DT485" s="108">
        <f t="shared" si="154"/>
        <v>0</v>
      </c>
      <c r="DU485" s="108">
        <f t="shared" si="154"/>
        <v>880</v>
      </c>
      <c r="DV485" s="108">
        <f t="shared" si="154"/>
        <v>0</v>
      </c>
      <c r="DW485" s="108">
        <f t="shared" si="154"/>
        <v>0</v>
      </c>
      <c r="DX485" s="108">
        <f t="shared" si="154"/>
        <v>0</v>
      </c>
      <c r="DY485" s="108">
        <f t="shared" si="148"/>
        <v>0</v>
      </c>
      <c r="DZ485" s="108">
        <f t="shared" si="148"/>
        <v>0</v>
      </c>
      <c r="EA485" s="108">
        <f t="shared" si="148"/>
        <v>12612.9</v>
      </c>
      <c r="EB485" s="108">
        <f t="shared" ref="EB485:ED485" si="155">+SUM(EB343:EB354)</f>
        <v>0</v>
      </c>
      <c r="EC485" s="108">
        <f t="shared" si="155"/>
        <v>0</v>
      </c>
      <c r="ED485" s="108">
        <f t="shared" si="155"/>
        <v>0</v>
      </c>
      <c r="EE485" s="108">
        <f t="shared" si="148"/>
        <v>0</v>
      </c>
      <c r="EF485" s="108">
        <f t="shared" si="148"/>
        <v>0</v>
      </c>
      <c r="EG485" s="108">
        <f t="shared" si="148"/>
        <v>13015</v>
      </c>
      <c r="EH485" s="108">
        <f t="shared" ref="EH485:EJ485" si="156">+SUM(EH343:EH354)</f>
        <v>0</v>
      </c>
      <c r="EI485" s="108">
        <f t="shared" si="156"/>
        <v>0</v>
      </c>
      <c r="EJ485" s="108">
        <f t="shared" si="156"/>
        <v>0</v>
      </c>
      <c r="EK485" s="108">
        <f t="shared" si="148"/>
        <v>0</v>
      </c>
      <c r="EL485" s="108">
        <f t="shared" si="148"/>
        <v>0</v>
      </c>
      <c r="EM485" s="108">
        <f t="shared" si="148"/>
        <v>10053</v>
      </c>
      <c r="EN485" s="108">
        <f t="shared" ref="EN485:EP485" si="157">+SUM(EN343:EN354)</f>
        <v>0</v>
      </c>
      <c r="EO485" s="108">
        <f t="shared" si="157"/>
        <v>0</v>
      </c>
      <c r="EP485" s="108">
        <f t="shared" si="157"/>
        <v>0</v>
      </c>
      <c r="EQ485" s="108">
        <f t="shared" si="148"/>
        <v>0</v>
      </c>
      <c r="ER485" s="108">
        <f t="shared" si="148"/>
        <v>0</v>
      </c>
      <c r="ES485" s="108">
        <f t="shared" si="148"/>
        <v>904</v>
      </c>
      <c r="ET485" s="108">
        <f t="shared" ref="ET485:EV485" si="158">+SUM(ET343:ET354)</f>
        <v>0</v>
      </c>
      <c r="EU485" s="108">
        <f t="shared" si="158"/>
        <v>0</v>
      </c>
      <c r="EV485" s="108">
        <f t="shared" si="158"/>
        <v>2</v>
      </c>
      <c r="EW485" s="108">
        <f t="shared" si="148"/>
        <v>0</v>
      </c>
      <c r="EX485" s="108">
        <f t="shared" si="148"/>
        <v>0</v>
      </c>
      <c r="EY485" s="108">
        <f t="shared" si="148"/>
        <v>108</v>
      </c>
      <c r="EZ485" s="108">
        <f t="shared" ref="EZ485:FH485" si="159">+SUM(EZ343:EZ354)</f>
        <v>0</v>
      </c>
      <c r="FA485" s="108">
        <f t="shared" si="159"/>
        <v>0</v>
      </c>
      <c r="FB485" s="108">
        <f t="shared" si="159"/>
        <v>0</v>
      </c>
      <c r="FC485" s="108">
        <f t="shared" si="159"/>
        <v>0</v>
      </c>
      <c r="FD485" s="108">
        <f t="shared" si="159"/>
        <v>0</v>
      </c>
      <c r="FE485" s="108">
        <f t="shared" si="159"/>
        <v>140</v>
      </c>
      <c r="FF485" s="108">
        <f t="shared" si="159"/>
        <v>0</v>
      </c>
      <c r="FG485" s="108">
        <f t="shared" si="159"/>
        <v>0</v>
      </c>
      <c r="FH485" s="108">
        <f t="shared" si="159"/>
        <v>0</v>
      </c>
      <c r="FI485" s="108">
        <f t="shared" si="148"/>
        <v>0</v>
      </c>
      <c r="FJ485" s="108">
        <f t="shared" si="148"/>
        <v>0</v>
      </c>
      <c r="FK485" s="108">
        <f t="shared" si="148"/>
        <v>324</v>
      </c>
      <c r="FL485" s="108">
        <f t="shared" si="148"/>
        <v>0</v>
      </c>
      <c r="FM485" s="108">
        <f t="shared" si="148"/>
        <v>0</v>
      </c>
      <c r="FN485" s="108">
        <f t="shared" si="148"/>
        <v>41304</v>
      </c>
      <c r="FO485" s="108">
        <f t="shared" si="148"/>
        <v>0</v>
      </c>
      <c r="FP485" s="108">
        <f t="shared" si="148"/>
        <v>0</v>
      </c>
      <c r="FQ485" s="108">
        <f t="shared" si="148"/>
        <v>4367.2</v>
      </c>
      <c r="FR485" s="108">
        <f t="shared" si="148"/>
        <v>0</v>
      </c>
      <c r="FS485" s="108">
        <f t="shared" si="148"/>
        <v>0</v>
      </c>
      <c r="FT485" s="108">
        <f t="shared" si="148"/>
        <v>0</v>
      </c>
      <c r="FU485" s="108">
        <f t="shared" si="148"/>
        <v>0</v>
      </c>
      <c r="FV485" s="108">
        <f t="shared" si="148"/>
        <v>0</v>
      </c>
      <c r="FW485" s="108">
        <f t="shared" si="148"/>
        <v>1119</v>
      </c>
      <c r="FX485" s="108">
        <f t="shared" ref="FX485:FZ485" si="160">+SUM(FX343:FX354)</f>
        <v>0</v>
      </c>
      <c r="FY485" s="108">
        <f t="shared" si="160"/>
        <v>0</v>
      </c>
      <c r="FZ485" s="108">
        <f t="shared" si="160"/>
        <v>1561</v>
      </c>
    </row>
    <row r="486" spans="2:182 16381:16381" s="105" customFormat="1" x14ac:dyDescent="0.2">
      <c r="B486" s="105">
        <v>2016</v>
      </c>
      <c r="C486" s="108">
        <f>+SUM(C355:C366)</f>
        <v>1860929.2299999997</v>
      </c>
      <c r="D486" s="108">
        <f t="shared" ref="D486:E486" si="161">+SUM(D355:D366)</f>
        <v>3802304.7500000009</v>
      </c>
      <c r="E486" s="108">
        <f t="shared" si="161"/>
        <v>5663233.9800000004</v>
      </c>
      <c r="F486" s="108">
        <f t="shared" ref="F486:AL486" si="162">+SUM(F355:F366)</f>
        <v>72912232.99000001</v>
      </c>
      <c r="G486" s="108">
        <f t="shared" si="162"/>
        <v>21024408.650000002</v>
      </c>
      <c r="H486" s="108">
        <f t="shared" si="162"/>
        <v>93936641.640000001</v>
      </c>
      <c r="I486" s="108">
        <f t="shared" si="162"/>
        <v>0</v>
      </c>
      <c r="J486" s="108">
        <f t="shared" si="162"/>
        <v>0</v>
      </c>
      <c r="K486" s="108">
        <f t="shared" si="162"/>
        <v>206941571.64000002</v>
      </c>
      <c r="L486" s="108">
        <f t="shared" si="162"/>
        <v>0</v>
      </c>
      <c r="M486" s="108">
        <f t="shared" si="162"/>
        <v>0</v>
      </c>
      <c r="N486" s="108">
        <f t="shared" si="162"/>
        <v>312233428.24999994</v>
      </c>
      <c r="O486" s="108">
        <f t="shared" si="162"/>
        <v>0</v>
      </c>
      <c r="P486" s="108">
        <f t="shared" si="162"/>
        <v>0</v>
      </c>
      <c r="Q486" s="108">
        <f t="shared" si="162"/>
        <v>343312136.54999995</v>
      </c>
      <c r="R486" s="108">
        <f t="shared" si="162"/>
        <v>0</v>
      </c>
      <c r="S486" s="108">
        <f t="shared" si="162"/>
        <v>0</v>
      </c>
      <c r="T486" s="108">
        <f t="shared" si="162"/>
        <v>1843110.26</v>
      </c>
      <c r="U486" s="108">
        <f t="shared" si="162"/>
        <v>72079.41</v>
      </c>
      <c r="V486" s="108">
        <f t="shared" si="162"/>
        <v>69169.320000000007</v>
      </c>
      <c r="W486" s="108">
        <f t="shared" si="162"/>
        <v>141248.73000000001</v>
      </c>
      <c r="X486" s="108">
        <f t="shared" si="162"/>
        <v>675978.57000000007</v>
      </c>
      <c r="Y486" s="108">
        <f t="shared" si="162"/>
        <v>34436.149999999994</v>
      </c>
      <c r="Z486" s="108">
        <f t="shared" si="162"/>
        <v>710414.72</v>
      </c>
      <c r="AA486" s="108">
        <f t="shared" si="162"/>
        <v>1438804.6099999999</v>
      </c>
      <c r="AB486" s="108">
        <f t="shared" si="162"/>
        <v>307180.99</v>
      </c>
      <c r="AC486" s="108">
        <f t="shared" si="162"/>
        <v>1745985.6</v>
      </c>
      <c r="AD486" s="108">
        <f t="shared" si="162"/>
        <v>97567.42</v>
      </c>
      <c r="AE486" s="108">
        <f t="shared" si="162"/>
        <v>278402.58000000007</v>
      </c>
      <c r="AF486" s="108">
        <f t="shared" si="162"/>
        <v>375970</v>
      </c>
      <c r="AG486" s="108">
        <f t="shared" si="162"/>
        <v>218833.54</v>
      </c>
      <c r="AH486" s="108">
        <f t="shared" si="162"/>
        <v>728458.3</v>
      </c>
      <c r="AI486" s="108">
        <f t="shared" si="162"/>
        <v>947291.84000000008</v>
      </c>
      <c r="AJ486" s="108">
        <f t="shared" si="162"/>
        <v>0</v>
      </c>
      <c r="AK486" s="108">
        <f t="shared" si="162"/>
        <v>0</v>
      </c>
      <c r="AL486" s="108">
        <f t="shared" si="162"/>
        <v>685336.5</v>
      </c>
      <c r="AM486" s="108"/>
      <c r="AN486" s="108"/>
      <c r="AO486" s="108"/>
      <c r="AP486" s="108"/>
      <c r="AQ486" s="108"/>
      <c r="AR486" s="108"/>
      <c r="AS486" s="108">
        <f t="shared" ref="AS486:CG486" si="163">+SUM(AS355:AS366)</f>
        <v>0</v>
      </c>
      <c r="AT486" s="108">
        <f t="shared" si="163"/>
        <v>0</v>
      </c>
      <c r="AU486" s="108">
        <f t="shared" si="163"/>
        <v>17367468.07</v>
      </c>
      <c r="AV486" s="108">
        <f t="shared" si="163"/>
        <v>0</v>
      </c>
      <c r="AW486" s="108">
        <f t="shared" si="163"/>
        <v>0</v>
      </c>
      <c r="AX486" s="108">
        <f t="shared" si="163"/>
        <v>520781.81000000006</v>
      </c>
      <c r="AY486" s="108">
        <f t="shared" si="163"/>
        <v>99942964.000000015</v>
      </c>
      <c r="AZ486" s="108">
        <f t="shared" si="163"/>
        <v>15038061.050000001</v>
      </c>
      <c r="BA486" s="108">
        <f t="shared" si="163"/>
        <v>114981025.05000001</v>
      </c>
      <c r="BB486" s="108">
        <f t="shared" si="163"/>
        <v>0</v>
      </c>
      <c r="BC486" s="108">
        <f t="shared" si="163"/>
        <v>0</v>
      </c>
      <c r="BD486" s="108">
        <f t="shared" si="163"/>
        <v>17630067.466666665</v>
      </c>
      <c r="BE486" s="108">
        <f t="shared" si="163"/>
        <v>0</v>
      </c>
      <c r="BF486" s="108">
        <f t="shared" si="163"/>
        <v>0</v>
      </c>
      <c r="BG486" s="108">
        <f>+SUM(BG355:BG366)</f>
        <v>843</v>
      </c>
      <c r="BH486" s="108">
        <f t="shared" ref="BH486:BJ486" si="164">+SUM(BH355:BH366)</f>
        <v>0</v>
      </c>
      <c r="BI486" s="108">
        <f t="shared" si="164"/>
        <v>0</v>
      </c>
      <c r="BJ486" s="108">
        <f t="shared" si="164"/>
        <v>0</v>
      </c>
      <c r="BK486" s="108">
        <f t="shared" si="163"/>
        <v>0</v>
      </c>
      <c r="BL486" s="108">
        <f t="shared" si="163"/>
        <v>0</v>
      </c>
      <c r="BM486" s="108">
        <f t="shared" si="163"/>
        <v>1654</v>
      </c>
      <c r="BN486" s="108">
        <f t="shared" ref="BN486:BP486" si="165">+SUM(BN355:BN366)</f>
        <v>0</v>
      </c>
      <c r="BO486" s="108">
        <f t="shared" si="165"/>
        <v>0</v>
      </c>
      <c r="BP486" s="108">
        <f t="shared" si="165"/>
        <v>0</v>
      </c>
      <c r="BQ486" s="108">
        <f t="shared" si="163"/>
        <v>0</v>
      </c>
      <c r="BR486" s="108">
        <f t="shared" si="163"/>
        <v>0</v>
      </c>
      <c r="BS486" s="108">
        <f t="shared" si="163"/>
        <v>1041</v>
      </c>
      <c r="BT486" s="108">
        <f t="shared" ref="BT486:BV486" si="166">+SUM(BT355:BT366)</f>
        <v>0</v>
      </c>
      <c r="BU486" s="108">
        <f t="shared" si="166"/>
        <v>0</v>
      </c>
      <c r="BV486" s="108">
        <f t="shared" si="166"/>
        <v>8</v>
      </c>
      <c r="BW486" s="108"/>
      <c r="BX486" s="108"/>
      <c r="BY486" s="108"/>
      <c r="BZ486" s="108">
        <f t="shared" si="163"/>
        <v>0</v>
      </c>
      <c r="CA486" s="108">
        <f t="shared" si="163"/>
        <v>0</v>
      </c>
      <c r="CB486" s="108">
        <f t="shared" si="163"/>
        <v>2762</v>
      </c>
      <c r="CC486" s="108"/>
      <c r="CD486" s="108"/>
      <c r="CE486" s="108"/>
      <c r="CF486" s="108">
        <f t="shared" si="163"/>
        <v>0</v>
      </c>
      <c r="CG486" s="108">
        <f t="shared" si="163"/>
        <v>0</v>
      </c>
      <c r="CH486" s="108">
        <f t="shared" ref="CH486:FW486" si="167">+SUM(CH355:CH366)</f>
        <v>17</v>
      </c>
      <c r="CI486" s="108">
        <f t="shared" si="167"/>
        <v>0</v>
      </c>
      <c r="CJ486" s="108">
        <f t="shared" si="167"/>
        <v>0</v>
      </c>
      <c r="CK486" s="108">
        <f t="shared" si="167"/>
        <v>225</v>
      </c>
      <c r="CL486" s="108">
        <f t="shared" ref="CL486:CN486" si="168">+SUM(CL355:CL366)</f>
        <v>0</v>
      </c>
      <c r="CM486" s="108">
        <f t="shared" si="168"/>
        <v>0</v>
      </c>
      <c r="CN486" s="108">
        <f t="shared" si="168"/>
        <v>0</v>
      </c>
      <c r="CO486" s="108">
        <f t="shared" si="167"/>
        <v>0</v>
      </c>
      <c r="CP486" s="108">
        <f t="shared" si="167"/>
        <v>0</v>
      </c>
      <c r="CQ486" s="108">
        <f t="shared" si="167"/>
        <v>92</v>
      </c>
      <c r="CR486" s="108">
        <f t="shared" ref="CR486:CT486" si="169">+SUM(CR355:CR366)</f>
        <v>0</v>
      </c>
      <c r="CS486" s="108">
        <f t="shared" si="169"/>
        <v>0</v>
      </c>
      <c r="CT486" s="108">
        <f t="shared" si="169"/>
        <v>0</v>
      </c>
      <c r="CU486" s="108">
        <f t="shared" si="167"/>
        <v>0</v>
      </c>
      <c r="CV486" s="108">
        <f t="shared" si="167"/>
        <v>0</v>
      </c>
      <c r="CW486" s="108">
        <f t="shared" si="167"/>
        <v>3720</v>
      </c>
      <c r="CX486" s="108">
        <f t="shared" ref="CX486:CZ486" si="170">+SUM(CX355:CX366)</f>
        <v>0</v>
      </c>
      <c r="CY486" s="108">
        <f t="shared" si="170"/>
        <v>0</v>
      </c>
      <c r="CZ486" s="108">
        <f t="shared" si="170"/>
        <v>0</v>
      </c>
      <c r="DA486" s="108">
        <f t="shared" si="167"/>
        <v>0</v>
      </c>
      <c r="DB486" s="108">
        <f t="shared" si="167"/>
        <v>0</v>
      </c>
      <c r="DC486" s="108">
        <f t="shared" si="167"/>
        <v>6</v>
      </c>
      <c r="DD486" s="108">
        <f t="shared" ref="DD486:DF486" si="171">+SUM(DD355:DD366)</f>
        <v>0</v>
      </c>
      <c r="DE486" s="108">
        <f t="shared" si="171"/>
        <v>0</v>
      </c>
      <c r="DF486" s="108">
        <f t="shared" si="171"/>
        <v>1</v>
      </c>
      <c r="DG486" s="108">
        <f t="shared" si="167"/>
        <v>0</v>
      </c>
      <c r="DH486" s="108">
        <f t="shared" si="167"/>
        <v>0</v>
      </c>
      <c r="DI486" s="108">
        <f t="shared" si="167"/>
        <v>38</v>
      </c>
      <c r="DJ486" s="108">
        <f t="shared" ref="DJ486:DL486" si="172">+SUM(DJ355:DJ366)</f>
        <v>0</v>
      </c>
      <c r="DK486" s="108">
        <f t="shared" si="172"/>
        <v>0</v>
      </c>
      <c r="DL486" s="108">
        <f t="shared" si="172"/>
        <v>0</v>
      </c>
      <c r="DM486" s="108">
        <f t="shared" si="167"/>
        <v>0</v>
      </c>
      <c r="DN486" s="108">
        <f t="shared" si="167"/>
        <v>0</v>
      </c>
      <c r="DO486" s="108">
        <f t="shared" si="167"/>
        <v>0</v>
      </c>
      <c r="DP486" s="108">
        <f t="shared" si="167"/>
        <v>0</v>
      </c>
      <c r="DQ486" s="108">
        <f t="shared" si="167"/>
        <v>0</v>
      </c>
      <c r="DR486" s="108">
        <f t="shared" si="167"/>
        <v>0</v>
      </c>
      <c r="DS486" s="108">
        <f t="shared" ref="DS486:DX486" si="173">+SUM(DS355:DS366)</f>
        <v>0</v>
      </c>
      <c r="DT486" s="108">
        <f t="shared" si="173"/>
        <v>0</v>
      </c>
      <c r="DU486" s="108">
        <f t="shared" si="173"/>
        <v>2433</v>
      </c>
      <c r="DV486" s="108">
        <f t="shared" si="173"/>
        <v>0</v>
      </c>
      <c r="DW486" s="108">
        <f t="shared" si="173"/>
        <v>0</v>
      </c>
      <c r="DX486" s="108">
        <f t="shared" si="173"/>
        <v>0</v>
      </c>
      <c r="DY486" s="108">
        <f t="shared" si="167"/>
        <v>0</v>
      </c>
      <c r="DZ486" s="108">
        <f t="shared" si="167"/>
        <v>0</v>
      </c>
      <c r="EA486" s="108">
        <f t="shared" si="167"/>
        <v>11165</v>
      </c>
      <c r="EB486" s="108">
        <f t="shared" ref="EB486:ED486" si="174">+SUM(EB355:EB366)</f>
        <v>0</v>
      </c>
      <c r="EC486" s="108">
        <f t="shared" si="174"/>
        <v>0</v>
      </c>
      <c r="ED486" s="108">
        <f t="shared" si="174"/>
        <v>0</v>
      </c>
      <c r="EE486" s="108">
        <f t="shared" si="167"/>
        <v>0</v>
      </c>
      <c r="EF486" s="108">
        <f t="shared" si="167"/>
        <v>0</v>
      </c>
      <c r="EG486" s="108">
        <f t="shared" si="167"/>
        <v>11538</v>
      </c>
      <c r="EH486" s="108">
        <f t="shared" ref="EH486:EJ486" si="175">+SUM(EH355:EH366)</f>
        <v>0</v>
      </c>
      <c r="EI486" s="108">
        <f t="shared" si="175"/>
        <v>0</v>
      </c>
      <c r="EJ486" s="108">
        <f t="shared" si="175"/>
        <v>0</v>
      </c>
      <c r="EK486" s="108">
        <f t="shared" si="167"/>
        <v>0</v>
      </c>
      <c r="EL486" s="108">
        <f t="shared" si="167"/>
        <v>0</v>
      </c>
      <c r="EM486" s="108">
        <f t="shared" si="167"/>
        <v>11300</v>
      </c>
      <c r="EN486" s="108">
        <f t="shared" ref="EN486:EP486" si="176">+SUM(EN355:EN366)</f>
        <v>0</v>
      </c>
      <c r="EO486" s="108">
        <f t="shared" si="176"/>
        <v>0</v>
      </c>
      <c r="EP486" s="108">
        <f t="shared" si="176"/>
        <v>11</v>
      </c>
      <c r="EQ486" s="108">
        <f t="shared" si="167"/>
        <v>0</v>
      </c>
      <c r="ER486" s="108">
        <f t="shared" si="167"/>
        <v>0</v>
      </c>
      <c r="ES486" s="108">
        <f t="shared" si="167"/>
        <v>436</v>
      </c>
      <c r="ET486" s="108">
        <f t="shared" ref="ET486:EV486" si="177">+SUM(ET355:ET366)</f>
        <v>0</v>
      </c>
      <c r="EU486" s="108">
        <f t="shared" si="177"/>
        <v>0</v>
      </c>
      <c r="EV486" s="108">
        <f t="shared" si="177"/>
        <v>0</v>
      </c>
      <c r="EW486" s="108">
        <f t="shared" si="167"/>
        <v>0</v>
      </c>
      <c r="EX486" s="108">
        <f t="shared" si="167"/>
        <v>0</v>
      </c>
      <c r="EY486" s="108">
        <f t="shared" si="167"/>
        <v>82</v>
      </c>
      <c r="EZ486" s="108">
        <f t="shared" ref="EZ486:FH486" si="178">+SUM(EZ355:EZ366)</f>
        <v>0</v>
      </c>
      <c r="FA486" s="108">
        <f t="shared" si="178"/>
        <v>0</v>
      </c>
      <c r="FB486" s="108">
        <f t="shared" si="178"/>
        <v>0</v>
      </c>
      <c r="FC486" s="108">
        <f t="shared" si="178"/>
        <v>0</v>
      </c>
      <c r="FD486" s="108">
        <f t="shared" si="178"/>
        <v>0</v>
      </c>
      <c r="FE486" s="108">
        <f t="shared" si="178"/>
        <v>69</v>
      </c>
      <c r="FF486" s="108">
        <f t="shared" si="178"/>
        <v>0</v>
      </c>
      <c r="FG486" s="108">
        <f t="shared" si="178"/>
        <v>0</v>
      </c>
      <c r="FH486" s="108">
        <f t="shared" si="178"/>
        <v>0</v>
      </c>
      <c r="FI486" s="108">
        <f t="shared" si="167"/>
        <v>0</v>
      </c>
      <c r="FJ486" s="108">
        <f t="shared" si="167"/>
        <v>0</v>
      </c>
      <c r="FK486" s="108">
        <f t="shared" si="167"/>
        <v>451</v>
      </c>
      <c r="FL486" s="108">
        <f t="shared" si="167"/>
        <v>0</v>
      </c>
      <c r="FM486" s="108">
        <f t="shared" si="167"/>
        <v>0</v>
      </c>
      <c r="FN486" s="108">
        <f t="shared" si="167"/>
        <v>33550</v>
      </c>
      <c r="FO486" s="108">
        <f t="shared" si="167"/>
        <v>0</v>
      </c>
      <c r="FP486" s="108">
        <f t="shared" si="167"/>
        <v>0</v>
      </c>
      <c r="FQ486" s="108">
        <f t="shared" si="167"/>
        <v>3751</v>
      </c>
      <c r="FR486" s="108">
        <f t="shared" si="167"/>
        <v>0</v>
      </c>
      <c r="FS486" s="108">
        <f t="shared" si="167"/>
        <v>0</v>
      </c>
      <c r="FT486" s="108">
        <f t="shared" si="167"/>
        <v>0</v>
      </c>
      <c r="FU486" s="108">
        <f t="shared" si="167"/>
        <v>0</v>
      </c>
      <c r="FV486" s="108">
        <f t="shared" si="167"/>
        <v>0</v>
      </c>
      <c r="FW486" s="108">
        <f t="shared" si="167"/>
        <v>993</v>
      </c>
      <c r="FX486" s="108">
        <f t="shared" ref="FX486:FZ486" si="179">+SUM(FX355:FX366)</f>
        <v>0</v>
      </c>
      <c r="FY486" s="108">
        <f t="shared" si="179"/>
        <v>0</v>
      </c>
      <c r="FZ486" s="108">
        <f t="shared" si="179"/>
        <v>3647</v>
      </c>
    </row>
    <row r="487" spans="2:182 16381:16381" s="105" customFormat="1" x14ac:dyDescent="0.2">
      <c r="B487" s="105">
        <v>2017</v>
      </c>
      <c r="C487" s="106">
        <f>+SUM(C367:C378)</f>
        <v>1723290.9400000004</v>
      </c>
      <c r="D487" s="106">
        <f t="shared" ref="D487:BO487" si="180">+SUM(D367:D378)</f>
        <v>3536987.8600000003</v>
      </c>
      <c r="E487" s="106">
        <f t="shared" si="180"/>
        <v>5260278.8</v>
      </c>
      <c r="F487" s="106">
        <f t="shared" si="180"/>
        <v>77456434.160000011</v>
      </c>
      <c r="G487" s="106">
        <f t="shared" si="180"/>
        <v>29283244.489999995</v>
      </c>
      <c r="H487" s="106">
        <f t="shared" si="180"/>
        <v>106739678.65000001</v>
      </c>
      <c r="I487" s="106">
        <f t="shared" si="180"/>
        <v>0</v>
      </c>
      <c r="J487" s="106">
        <f t="shared" si="180"/>
        <v>0</v>
      </c>
      <c r="K487" s="106">
        <f t="shared" si="180"/>
        <v>226995072.58999994</v>
      </c>
      <c r="L487" s="106">
        <f t="shared" si="180"/>
        <v>0</v>
      </c>
      <c r="M487" s="106">
        <f t="shared" si="180"/>
        <v>0</v>
      </c>
      <c r="N487" s="106">
        <f t="shared" si="180"/>
        <v>304582161.56000006</v>
      </c>
      <c r="O487" s="106">
        <f t="shared" si="180"/>
        <v>0</v>
      </c>
      <c r="P487" s="106">
        <f t="shared" si="180"/>
        <v>0</v>
      </c>
      <c r="Q487" s="106">
        <f t="shared" si="180"/>
        <v>358644785.67999995</v>
      </c>
      <c r="R487" s="106">
        <f t="shared" si="180"/>
        <v>0</v>
      </c>
      <c r="S487" s="106">
        <f t="shared" si="180"/>
        <v>0</v>
      </c>
      <c r="T487" s="106">
        <f t="shared" si="180"/>
        <v>1851392.6199999996</v>
      </c>
      <c r="U487" s="106">
        <f t="shared" si="180"/>
        <v>69003.89</v>
      </c>
      <c r="V487" s="106">
        <f t="shared" si="180"/>
        <v>60128.789999999994</v>
      </c>
      <c r="W487" s="106">
        <f t="shared" si="180"/>
        <v>129132.68</v>
      </c>
      <c r="X487" s="106">
        <f t="shared" si="180"/>
        <v>549903.66</v>
      </c>
      <c r="Y487" s="106">
        <f t="shared" si="180"/>
        <v>33421.749999999993</v>
      </c>
      <c r="Z487" s="106">
        <f t="shared" si="180"/>
        <v>583325.40999999992</v>
      </c>
      <c r="AA487" s="106">
        <f t="shared" si="180"/>
        <v>1268396.6499999999</v>
      </c>
      <c r="AB487" s="106">
        <f t="shared" si="180"/>
        <v>367085.1</v>
      </c>
      <c r="AC487" s="106">
        <f t="shared" si="180"/>
        <v>1635481.75</v>
      </c>
      <c r="AD487" s="106">
        <f t="shared" si="180"/>
        <v>83656.490000000005</v>
      </c>
      <c r="AE487" s="106">
        <f t="shared" si="180"/>
        <v>269927.49</v>
      </c>
      <c r="AF487" s="106">
        <f t="shared" si="180"/>
        <v>353583.98</v>
      </c>
      <c r="AG487" s="106">
        <f t="shared" si="180"/>
        <v>221831.33</v>
      </c>
      <c r="AH487" s="106">
        <f t="shared" si="180"/>
        <v>746274.05999999994</v>
      </c>
      <c r="AI487" s="106">
        <f t="shared" si="180"/>
        <v>968105.3899999999</v>
      </c>
      <c r="AJ487" s="106">
        <f t="shared" si="180"/>
        <v>0</v>
      </c>
      <c r="AK487" s="106">
        <f t="shared" si="180"/>
        <v>0</v>
      </c>
      <c r="AL487" s="106">
        <f t="shared" si="180"/>
        <v>770109.65000000014</v>
      </c>
      <c r="AM487" s="106"/>
      <c r="AN487" s="106"/>
      <c r="AO487" s="106"/>
      <c r="AP487" s="106"/>
      <c r="AQ487" s="106"/>
      <c r="AR487" s="106"/>
      <c r="AS487" s="106">
        <f t="shared" si="180"/>
        <v>0</v>
      </c>
      <c r="AT487" s="106">
        <f t="shared" si="180"/>
        <v>0</v>
      </c>
      <c r="AU487" s="106">
        <f t="shared" si="180"/>
        <v>17671698.18</v>
      </c>
      <c r="AV487" s="106">
        <f t="shared" si="180"/>
        <v>0</v>
      </c>
      <c r="AW487" s="106">
        <f t="shared" si="180"/>
        <v>0</v>
      </c>
      <c r="AX487" s="106">
        <f t="shared" si="180"/>
        <v>428711.63999999996</v>
      </c>
      <c r="AY487" s="106">
        <f t="shared" si="180"/>
        <v>94432937.899999991</v>
      </c>
      <c r="AZ487" s="106">
        <f t="shared" si="180"/>
        <v>16421461.5</v>
      </c>
      <c r="BA487" s="106">
        <f t="shared" si="180"/>
        <v>110854399.40000001</v>
      </c>
      <c r="BB487" s="106">
        <f t="shared" si="180"/>
        <v>0</v>
      </c>
      <c r="BC487" s="106">
        <f t="shared" si="180"/>
        <v>0</v>
      </c>
      <c r="BD487" s="106">
        <f t="shared" si="180"/>
        <v>18436164.888888888</v>
      </c>
      <c r="BE487" s="106">
        <f t="shared" si="180"/>
        <v>0</v>
      </c>
      <c r="BF487" s="106">
        <f t="shared" si="180"/>
        <v>0</v>
      </c>
      <c r="BG487" s="106">
        <f t="shared" si="180"/>
        <v>807</v>
      </c>
      <c r="BH487" s="106">
        <f t="shared" si="180"/>
        <v>0</v>
      </c>
      <c r="BI487" s="106">
        <f t="shared" si="180"/>
        <v>0</v>
      </c>
      <c r="BJ487" s="106">
        <f t="shared" si="180"/>
        <v>0</v>
      </c>
      <c r="BK487" s="106">
        <f t="shared" si="180"/>
        <v>0</v>
      </c>
      <c r="BL487" s="106">
        <f t="shared" si="180"/>
        <v>0</v>
      </c>
      <c r="BM487" s="106">
        <f t="shared" si="180"/>
        <v>3576</v>
      </c>
      <c r="BN487" s="106">
        <f t="shared" si="180"/>
        <v>0</v>
      </c>
      <c r="BO487" s="106">
        <f t="shared" si="180"/>
        <v>0</v>
      </c>
      <c r="BP487" s="106">
        <f t="shared" ref="BP487:EJ487" si="181">+SUM(BP367:BP378)</f>
        <v>1</v>
      </c>
      <c r="BQ487" s="106">
        <f t="shared" si="181"/>
        <v>0</v>
      </c>
      <c r="BR487" s="106">
        <f t="shared" si="181"/>
        <v>0</v>
      </c>
      <c r="BS487" s="106">
        <f t="shared" si="181"/>
        <v>2186</v>
      </c>
      <c r="BT487" s="106">
        <f t="shared" si="181"/>
        <v>0</v>
      </c>
      <c r="BU487" s="106">
        <f t="shared" si="181"/>
        <v>0</v>
      </c>
      <c r="BV487" s="106">
        <f t="shared" si="181"/>
        <v>2</v>
      </c>
      <c r="BW487" s="106"/>
      <c r="BX487" s="106"/>
      <c r="BY487" s="106"/>
      <c r="BZ487" s="106">
        <f t="shared" si="181"/>
        <v>0</v>
      </c>
      <c r="CA487" s="106">
        <f t="shared" si="181"/>
        <v>0</v>
      </c>
      <c r="CB487" s="106">
        <f t="shared" si="181"/>
        <v>2884</v>
      </c>
      <c r="CC487" s="106"/>
      <c r="CD487" s="106"/>
      <c r="CE487" s="106"/>
      <c r="CF487" s="106">
        <f t="shared" si="181"/>
        <v>0</v>
      </c>
      <c r="CG487" s="106">
        <f t="shared" si="181"/>
        <v>0</v>
      </c>
      <c r="CH487" s="106">
        <f t="shared" si="181"/>
        <v>17</v>
      </c>
      <c r="CI487" s="106">
        <f t="shared" si="181"/>
        <v>0</v>
      </c>
      <c r="CJ487" s="106">
        <f t="shared" si="181"/>
        <v>0</v>
      </c>
      <c r="CK487" s="106">
        <f t="shared" si="181"/>
        <v>258</v>
      </c>
      <c r="CL487" s="106">
        <f t="shared" si="181"/>
        <v>0</v>
      </c>
      <c r="CM487" s="106">
        <f t="shared" si="181"/>
        <v>0</v>
      </c>
      <c r="CN487" s="106">
        <f t="shared" si="181"/>
        <v>0</v>
      </c>
      <c r="CO487" s="106">
        <f t="shared" si="181"/>
        <v>0</v>
      </c>
      <c r="CP487" s="106">
        <f t="shared" si="181"/>
        <v>0</v>
      </c>
      <c r="CQ487" s="106">
        <f t="shared" si="181"/>
        <v>70</v>
      </c>
      <c r="CR487" s="106">
        <f t="shared" si="181"/>
        <v>0</v>
      </c>
      <c r="CS487" s="106">
        <f t="shared" si="181"/>
        <v>0</v>
      </c>
      <c r="CT487" s="106">
        <f t="shared" si="181"/>
        <v>0</v>
      </c>
      <c r="CU487" s="106">
        <f t="shared" si="181"/>
        <v>0</v>
      </c>
      <c r="CV487" s="106">
        <f t="shared" si="181"/>
        <v>0</v>
      </c>
      <c r="CW487" s="106">
        <f t="shared" si="181"/>
        <v>3711</v>
      </c>
      <c r="CX487" s="106">
        <f t="shared" si="181"/>
        <v>0</v>
      </c>
      <c r="CY487" s="106">
        <f t="shared" si="181"/>
        <v>0</v>
      </c>
      <c r="CZ487" s="106">
        <f t="shared" si="181"/>
        <v>0</v>
      </c>
      <c r="DA487" s="106">
        <f t="shared" si="181"/>
        <v>0</v>
      </c>
      <c r="DB487" s="106">
        <f t="shared" si="181"/>
        <v>0</v>
      </c>
      <c r="DC487" s="106">
        <f t="shared" si="181"/>
        <v>12</v>
      </c>
      <c r="DD487" s="106">
        <f t="shared" si="181"/>
        <v>0</v>
      </c>
      <c r="DE487" s="106">
        <f t="shared" si="181"/>
        <v>0</v>
      </c>
      <c r="DF487" s="106">
        <f t="shared" si="181"/>
        <v>0</v>
      </c>
      <c r="DG487" s="106">
        <f t="shared" si="181"/>
        <v>0</v>
      </c>
      <c r="DH487" s="106">
        <f t="shared" si="181"/>
        <v>0</v>
      </c>
      <c r="DI487" s="106">
        <f t="shared" si="181"/>
        <v>23</v>
      </c>
      <c r="DJ487" s="106">
        <f t="shared" ref="DJ487:DL487" si="182">+SUM(DJ367:DJ378)</f>
        <v>0</v>
      </c>
      <c r="DK487" s="106">
        <f t="shared" si="182"/>
        <v>0</v>
      </c>
      <c r="DL487" s="106">
        <f t="shared" si="182"/>
        <v>0</v>
      </c>
      <c r="DM487" s="106">
        <f t="shared" si="181"/>
        <v>0</v>
      </c>
      <c r="DN487" s="106">
        <f t="shared" si="181"/>
        <v>0</v>
      </c>
      <c r="DO487" s="106">
        <f t="shared" si="181"/>
        <v>0</v>
      </c>
      <c r="DP487" s="106">
        <f t="shared" si="181"/>
        <v>0</v>
      </c>
      <c r="DQ487" s="106">
        <f t="shared" si="181"/>
        <v>0</v>
      </c>
      <c r="DR487" s="106">
        <f t="shared" si="181"/>
        <v>0</v>
      </c>
      <c r="DS487" s="106">
        <f t="shared" si="181"/>
        <v>0</v>
      </c>
      <c r="DT487" s="106">
        <f t="shared" si="181"/>
        <v>0</v>
      </c>
      <c r="DU487" s="106">
        <f t="shared" si="181"/>
        <v>2858</v>
      </c>
      <c r="DV487" s="106">
        <f t="shared" si="181"/>
        <v>0</v>
      </c>
      <c r="DW487" s="106">
        <f t="shared" si="181"/>
        <v>0</v>
      </c>
      <c r="DX487" s="106">
        <f t="shared" si="181"/>
        <v>0</v>
      </c>
      <c r="DY487" s="106">
        <f t="shared" si="181"/>
        <v>0</v>
      </c>
      <c r="DZ487" s="106">
        <f t="shared" si="181"/>
        <v>0</v>
      </c>
      <c r="EA487" s="106">
        <f t="shared" si="181"/>
        <v>14815</v>
      </c>
      <c r="EB487" s="106">
        <f t="shared" si="181"/>
        <v>0</v>
      </c>
      <c r="EC487" s="106">
        <f t="shared" si="181"/>
        <v>0</v>
      </c>
      <c r="ED487" s="106">
        <f t="shared" si="181"/>
        <v>0</v>
      </c>
      <c r="EE487" s="106">
        <f t="shared" si="181"/>
        <v>0</v>
      </c>
      <c r="EF487" s="106">
        <f t="shared" si="181"/>
        <v>0</v>
      </c>
      <c r="EG487" s="106">
        <f t="shared" si="181"/>
        <v>11404</v>
      </c>
      <c r="EH487" s="106">
        <f t="shared" si="181"/>
        <v>0</v>
      </c>
      <c r="EI487" s="106">
        <f t="shared" si="181"/>
        <v>0</v>
      </c>
      <c r="EJ487" s="106">
        <f t="shared" si="181"/>
        <v>0</v>
      </c>
      <c r="EK487" s="106">
        <f t="shared" ref="EK487:FZ487" si="183">+SUM(EK367:EK378)</f>
        <v>0</v>
      </c>
      <c r="EL487" s="106">
        <f t="shared" si="183"/>
        <v>0</v>
      </c>
      <c r="EM487" s="106">
        <f t="shared" si="183"/>
        <v>13398</v>
      </c>
      <c r="EN487" s="106">
        <f t="shared" si="183"/>
        <v>0</v>
      </c>
      <c r="EO487" s="106">
        <f t="shared" si="183"/>
        <v>0</v>
      </c>
      <c r="EP487" s="106">
        <f t="shared" si="183"/>
        <v>14</v>
      </c>
      <c r="EQ487" s="106">
        <f t="shared" si="183"/>
        <v>0</v>
      </c>
      <c r="ER487" s="106">
        <f t="shared" si="183"/>
        <v>0</v>
      </c>
      <c r="ES487" s="106">
        <f t="shared" si="183"/>
        <v>384</v>
      </c>
      <c r="ET487" s="106">
        <f t="shared" si="183"/>
        <v>0</v>
      </c>
      <c r="EU487" s="106">
        <f t="shared" si="183"/>
        <v>0</v>
      </c>
      <c r="EV487" s="106">
        <f t="shared" si="183"/>
        <v>22</v>
      </c>
      <c r="EW487" s="106">
        <f t="shared" si="183"/>
        <v>0</v>
      </c>
      <c r="EX487" s="106">
        <f t="shared" si="183"/>
        <v>0</v>
      </c>
      <c r="EY487" s="106">
        <f t="shared" si="183"/>
        <v>85</v>
      </c>
      <c r="EZ487" s="106">
        <f t="shared" si="183"/>
        <v>0</v>
      </c>
      <c r="FA487" s="106">
        <f t="shared" si="183"/>
        <v>0</v>
      </c>
      <c r="FB487" s="106">
        <f t="shared" si="183"/>
        <v>0</v>
      </c>
      <c r="FC487" s="106">
        <f t="shared" si="183"/>
        <v>0</v>
      </c>
      <c r="FD487" s="106">
        <f t="shared" si="183"/>
        <v>0</v>
      </c>
      <c r="FE487" s="106">
        <f t="shared" si="183"/>
        <v>64</v>
      </c>
      <c r="FF487" s="106">
        <f t="shared" si="183"/>
        <v>0</v>
      </c>
      <c r="FG487" s="106">
        <f t="shared" si="183"/>
        <v>0</v>
      </c>
      <c r="FH487" s="106">
        <f t="shared" si="183"/>
        <v>0</v>
      </c>
      <c r="FI487" s="106">
        <f t="shared" si="183"/>
        <v>0</v>
      </c>
      <c r="FJ487" s="106">
        <f t="shared" si="183"/>
        <v>0</v>
      </c>
      <c r="FK487" s="106">
        <f t="shared" si="183"/>
        <v>799</v>
      </c>
      <c r="FL487" s="106">
        <f t="shared" si="183"/>
        <v>0</v>
      </c>
      <c r="FM487" s="106">
        <f t="shared" si="183"/>
        <v>0</v>
      </c>
      <c r="FN487" s="106">
        <f t="shared" si="183"/>
        <v>43319</v>
      </c>
      <c r="FO487" s="106">
        <f t="shared" si="183"/>
        <v>0</v>
      </c>
      <c r="FP487" s="106">
        <f t="shared" si="183"/>
        <v>0</v>
      </c>
      <c r="FQ487" s="106">
        <f t="shared" si="183"/>
        <v>4018</v>
      </c>
      <c r="FR487" s="106">
        <f t="shared" si="183"/>
        <v>0</v>
      </c>
      <c r="FS487" s="106">
        <f t="shared" si="183"/>
        <v>0</v>
      </c>
      <c r="FT487" s="106">
        <f t="shared" si="183"/>
        <v>0</v>
      </c>
      <c r="FU487" s="106">
        <f t="shared" si="183"/>
        <v>0</v>
      </c>
      <c r="FV487" s="106">
        <f t="shared" si="183"/>
        <v>0</v>
      </c>
      <c r="FW487" s="106">
        <f t="shared" si="183"/>
        <v>1361</v>
      </c>
      <c r="FX487" s="106">
        <f t="shared" si="183"/>
        <v>0</v>
      </c>
      <c r="FY487" s="106">
        <f t="shared" si="183"/>
        <v>0</v>
      </c>
      <c r="FZ487" s="106">
        <f t="shared" si="183"/>
        <v>7585</v>
      </c>
    </row>
    <row r="488" spans="2:182 16381:16381" s="105" customFormat="1" x14ac:dyDescent="0.2">
      <c r="B488" s="105">
        <v>2018</v>
      </c>
      <c r="C488" s="106">
        <f>+SUM(C379:C390)</f>
        <v>951201.2</v>
      </c>
      <c r="D488" s="106">
        <f t="shared" ref="D488:BO488" si="184">+SUM(D379:D390)</f>
        <v>3944043.87</v>
      </c>
      <c r="E488" s="106">
        <f t="shared" si="184"/>
        <v>4895245.07</v>
      </c>
      <c r="F488" s="106">
        <f t="shared" si="184"/>
        <v>76887992.939999998</v>
      </c>
      <c r="G488" s="106">
        <f t="shared" si="184"/>
        <v>31339352.719999999</v>
      </c>
      <c r="H488" s="106">
        <f t="shared" si="184"/>
        <v>108227345.66000001</v>
      </c>
      <c r="I488" s="106">
        <f t="shared" si="184"/>
        <v>0</v>
      </c>
      <c r="J488" s="106">
        <f t="shared" si="184"/>
        <v>0</v>
      </c>
      <c r="K488" s="106">
        <f t="shared" si="184"/>
        <v>213677902.28999999</v>
      </c>
      <c r="L488" s="106">
        <f t="shared" si="184"/>
        <v>0</v>
      </c>
      <c r="M488" s="106">
        <f t="shared" si="184"/>
        <v>0</v>
      </c>
      <c r="N488" s="106">
        <f t="shared" si="184"/>
        <v>298692808.73000002</v>
      </c>
      <c r="O488" s="106">
        <f t="shared" si="184"/>
        <v>0</v>
      </c>
      <c r="P488" s="106">
        <f t="shared" si="184"/>
        <v>0</v>
      </c>
      <c r="Q488" s="106">
        <f t="shared" si="184"/>
        <v>360548730.95999998</v>
      </c>
      <c r="R488" s="106">
        <f t="shared" si="184"/>
        <v>0</v>
      </c>
      <c r="S488" s="106">
        <f t="shared" si="184"/>
        <v>0</v>
      </c>
      <c r="T488" s="106">
        <f t="shared" si="184"/>
        <v>1787636.6099999999</v>
      </c>
      <c r="U488" s="106">
        <f t="shared" si="184"/>
        <v>55088.71</v>
      </c>
      <c r="V488" s="106">
        <f t="shared" si="184"/>
        <v>81128.399999999994</v>
      </c>
      <c r="W488" s="106">
        <f t="shared" si="184"/>
        <v>136217.10999999999</v>
      </c>
      <c r="X488" s="106">
        <f t="shared" si="184"/>
        <v>534938.14999999991</v>
      </c>
      <c r="Y488" s="106">
        <f t="shared" si="184"/>
        <v>40273.950000000004</v>
      </c>
      <c r="Z488" s="106">
        <f t="shared" si="184"/>
        <v>575212.1</v>
      </c>
      <c r="AA488" s="106">
        <f t="shared" si="184"/>
        <v>1294311.0299999998</v>
      </c>
      <c r="AB488" s="106">
        <f t="shared" si="184"/>
        <v>387297.7</v>
      </c>
      <c r="AC488" s="106">
        <f t="shared" si="184"/>
        <v>1681608.7299999997</v>
      </c>
      <c r="AD488" s="106">
        <f t="shared" si="184"/>
        <v>54660.9</v>
      </c>
      <c r="AE488" s="106">
        <f t="shared" si="184"/>
        <v>286114.56</v>
      </c>
      <c r="AF488" s="106">
        <f t="shared" si="184"/>
        <v>340775.46</v>
      </c>
      <c r="AG488" s="106">
        <f t="shared" si="184"/>
        <v>190563.16</v>
      </c>
      <c r="AH488" s="106">
        <f t="shared" si="184"/>
        <v>676243.48000000021</v>
      </c>
      <c r="AI488" s="106">
        <f t="shared" si="184"/>
        <v>866806.64000000013</v>
      </c>
      <c r="AJ488" s="106">
        <f t="shared" si="184"/>
        <v>0</v>
      </c>
      <c r="AK488" s="106">
        <f t="shared" si="184"/>
        <v>0</v>
      </c>
      <c r="AL488" s="106">
        <f t="shared" si="184"/>
        <v>1050696.8000000003</v>
      </c>
      <c r="AM488" s="106"/>
      <c r="AN488" s="106"/>
      <c r="AO488" s="106"/>
      <c r="AP488" s="106"/>
      <c r="AQ488" s="106"/>
      <c r="AR488" s="106"/>
      <c r="AS488" s="106">
        <f t="shared" si="184"/>
        <v>0</v>
      </c>
      <c r="AT488" s="106">
        <f t="shared" si="184"/>
        <v>0</v>
      </c>
      <c r="AU488" s="106">
        <f t="shared" si="184"/>
        <v>16877236.439999998</v>
      </c>
      <c r="AV488" s="106">
        <f t="shared" si="184"/>
        <v>0</v>
      </c>
      <c r="AW488" s="106">
        <f t="shared" si="184"/>
        <v>0</v>
      </c>
      <c r="AX488" s="106">
        <f t="shared" si="184"/>
        <v>474328.25</v>
      </c>
      <c r="AY488" s="106">
        <f t="shared" si="184"/>
        <v>91205403.199999988</v>
      </c>
      <c r="AZ488" s="106">
        <f t="shared" si="184"/>
        <v>13467932.449999999</v>
      </c>
      <c r="BA488" s="106">
        <f t="shared" si="184"/>
        <v>104673335.64999999</v>
      </c>
      <c r="BB488" s="106">
        <f t="shared" si="184"/>
        <v>0</v>
      </c>
      <c r="BC488" s="106">
        <f t="shared" si="184"/>
        <v>0</v>
      </c>
      <c r="BD488" s="106">
        <f t="shared" si="184"/>
        <v>19036485.06666667</v>
      </c>
      <c r="BE488" s="106">
        <f t="shared" si="184"/>
        <v>0</v>
      </c>
      <c r="BF488" s="106">
        <f t="shared" si="184"/>
        <v>0</v>
      </c>
      <c r="BG488" s="106">
        <f t="shared" si="184"/>
        <v>620</v>
      </c>
      <c r="BH488" s="106">
        <f t="shared" si="184"/>
        <v>0</v>
      </c>
      <c r="BI488" s="106">
        <f t="shared" si="184"/>
        <v>0</v>
      </c>
      <c r="BJ488" s="106">
        <f t="shared" si="184"/>
        <v>0</v>
      </c>
      <c r="BK488" s="106">
        <f t="shared" si="184"/>
        <v>0</v>
      </c>
      <c r="BL488" s="106">
        <f t="shared" si="184"/>
        <v>0</v>
      </c>
      <c r="BM488" s="106">
        <f t="shared" si="184"/>
        <v>2111.9899999999998</v>
      </c>
      <c r="BN488" s="106">
        <f t="shared" si="184"/>
        <v>0</v>
      </c>
      <c r="BO488" s="106">
        <f t="shared" si="184"/>
        <v>0</v>
      </c>
      <c r="BP488" s="106">
        <f t="shared" ref="BP488:EJ488" si="185">+SUM(BP379:BP390)</f>
        <v>12</v>
      </c>
      <c r="BQ488" s="106">
        <f t="shared" si="185"/>
        <v>0</v>
      </c>
      <c r="BR488" s="106">
        <f t="shared" si="185"/>
        <v>0</v>
      </c>
      <c r="BS488" s="106">
        <f t="shared" si="185"/>
        <v>1755</v>
      </c>
      <c r="BT488" s="106">
        <f t="shared" si="185"/>
        <v>0</v>
      </c>
      <c r="BU488" s="106">
        <f t="shared" si="185"/>
        <v>0</v>
      </c>
      <c r="BV488" s="106">
        <f t="shared" si="185"/>
        <v>1</v>
      </c>
      <c r="BW488" s="106"/>
      <c r="BX488" s="106"/>
      <c r="BY488" s="106"/>
      <c r="BZ488" s="106">
        <f t="shared" si="185"/>
        <v>0</v>
      </c>
      <c r="CA488" s="106">
        <f t="shared" si="185"/>
        <v>0</v>
      </c>
      <c r="CB488" s="106">
        <f t="shared" si="185"/>
        <v>2587</v>
      </c>
      <c r="CC488" s="106"/>
      <c r="CD488" s="106"/>
      <c r="CE488" s="106"/>
      <c r="CF488" s="106">
        <f t="shared" si="185"/>
        <v>0</v>
      </c>
      <c r="CG488" s="106">
        <f t="shared" si="185"/>
        <v>0</v>
      </c>
      <c r="CH488" s="106">
        <f t="shared" si="185"/>
        <v>10</v>
      </c>
      <c r="CI488" s="106">
        <f t="shared" si="185"/>
        <v>0</v>
      </c>
      <c r="CJ488" s="106">
        <f t="shared" si="185"/>
        <v>0</v>
      </c>
      <c r="CK488" s="106">
        <f t="shared" si="185"/>
        <v>227</v>
      </c>
      <c r="CL488" s="106">
        <f t="shared" si="185"/>
        <v>0</v>
      </c>
      <c r="CM488" s="106">
        <f t="shared" si="185"/>
        <v>0</v>
      </c>
      <c r="CN488" s="106">
        <f t="shared" si="185"/>
        <v>0</v>
      </c>
      <c r="CO488" s="106">
        <f t="shared" si="185"/>
        <v>0</v>
      </c>
      <c r="CP488" s="106">
        <f t="shared" si="185"/>
        <v>0</v>
      </c>
      <c r="CQ488" s="106">
        <f t="shared" si="185"/>
        <v>111</v>
      </c>
      <c r="CR488" s="106">
        <f t="shared" si="185"/>
        <v>0</v>
      </c>
      <c r="CS488" s="106">
        <f t="shared" si="185"/>
        <v>0</v>
      </c>
      <c r="CT488" s="106">
        <f t="shared" si="185"/>
        <v>0</v>
      </c>
      <c r="CU488" s="106">
        <f t="shared" si="185"/>
        <v>0</v>
      </c>
      <c r="CV488" s="106">
        <f t="shared" si="185"/>
        <v>0</v>
      </c>
      <c r="CW488" s="106">
        <f t="shared" si="185"/>
        <v>2390</v>
      </c>
      <c r="CX488" s="106">
        <f t="shared" si="185"/>
        <v>0</v>
      </c>
      <c r="CY488" s="106">
        <f t="shared" si="185"/>
        <v>0</v>
      </c>
      <c r="CZ488" s="106">
        <f t="shared" si="185"/>
        <v>1</v>
      </c>
      <c r="DA488" s="106">
        <f t="shared" si="185"/>
        <v>0</v>
      </c>
      <c r="DB488" s="106">
        <f t="shared" si="185"/>
        <v>0</v>
      </c>
      <c r="DC488" s="106">
        <f t="shared" si="185"/>
        <v>11</v>
      </c>
      <c r="DD488" s="106">
        <f t="shared" si="185"/>
        <v>0</v>
      </c>
      <c r="DE488" s="106">
        <f t="shared" si="185"/>
        <v>0</v>
      </c>
      <c r="DF488" s="106">
        <f t="shared" si="185"/>
        <v>0</v>
      </c>
      <c r="DG488" s="106">
        <f t="shared" si="185"/>
        <v>0</v>
      </c>
      <c r="DH488" s="106">
        <f t="shared" si="185"/>
        <v>0</v>
      </c>
      <c r="DI488" s="106">
        <f t="shared" si="185"/>
        <v>32</v>
      </c>
      <c r="DJ488" s="106">
        <f t="shared" ref="DJ488:DL488" si="186">+SUM(DJ379:DJ390)</f>
        <v>0</v>
      </c>
      <c r="DK488" s="106">
        <f t="shared" si="186"/>
        <v>0</v>
      </c>
      <c r="DL488" s="106">
        <f t="shared" si="186"/>
        <v>0</v>
      </c>
      <c r="DM488" s="106">
        <f t="shared" si="185"/>
        <v>0</v>
      </c>
      <c r="DN488" s="106">
        <f t="shared" si="185"/>
        <v>0</v>
      </c>
      <c r="DO488" s="106">
        <f t="shared" si="185"/>
        <v>0</v>
      </c>
      <c r="DP488" s="106">
        <f t="shared" si="185"/>
        <v>0</v>
      </c>
      <c r="DQ488" s="106">
        <f t="shared" si="185"/>
        <v>0</v>
      </c>
      <c r="DR488" s="106">
        <f t="shared" si="185"/>
        <v>0</v>
      </c>
      <c r="DS488" s="106">
        <f t="shared" si="185"/>
        <v>0</v>
      </c>
      <c r="DT488" s="106">
        <f t="shared" si="185"/>
        <v>0</v>
      </c>
      <c r="DU488" s="106">
        <f t="shared" si="185"/>
        <v>3134</v>
      </c>
      <c r="DV488" s="106">
        <f t="shared" si="185"/>
        <v>0</v>
      </c>
      <c r="DW488" s="106">
        <f t="shared" si="185"/>
        <v>0</v>
      </c>
      <c r="DX488" s="106">
        <f t="shared" si="185"/>
        <v>0</v>
      </c>
      <c r="DY488" s="106">
        <f t="shared" si="185"/>
        <v>0</v>
      </c>
      <c r="DZ488" s="106">
        <f t="shared" si="185"/>
        <v>0</v>
      </c>
      <c r="EA488" s="106">
        <f t="shared" si="185"/>
        <v>14642</v>
      </c>
      <c r="EB488" s="106">
        <f t="shared" si="185"/>
        <v>0</v>
      </c>
      <c r="EC488" s="106">
        <f t="shared" si="185"/>
        <v>0</v>
      </c>
      <c r="ED488" s="106">
        <f t="shared" si="185"/>
        <v>6</v>
      </c>
      <c r="EE488" s="106">
        <f t="shared" si="185"/>
        <v>0</v>
      </c>
      <c r="EF488" s="106">
        <f t="shared" si="185"/>
        <v>0</v>
      </c>
      <c r="EG488" s="106">
        <f t="shared" si="185"/>
        <v>7523.5</v>
      </c>
      <c r="EH488" s="106">
        <f t="shared" si="185"/>
        <v>0</v>
      </c>
      <c r="EI488" s="106">
        <f t="shared" si="185"/>
        <v>0</v>
      </c>
      <c r="EJ488" s="106">
        <f t="shared" si="185"/>
        <v>518</v>
      </c>
      <c r="EK488" s="106">
        <f t="shared" ref="EK488:FZ488" si="187">+SUM(EK379:EK390)</f>
        <v>0</v>
      </c>
      <c r="EL488" s="106">
        <f t="shared" si="187"/>
        <v>0</v>
      </c>
      <c r="EM488" s="106">
        <f t="shared" si="187"/>
        <v>9176</v>
      </c>
      <c r="EN488" s="106">
        <f t="shared" si="187"/>
        <v>0</v>
      </c>
      <c r="EO488" s="106">
        <f t="shared" si="187"/>
        <v>0</v>
      </c>
      <c r="EP488" s="106">
        <f t="shared" si="187"/>
        <v>244</v>
      </c>
      <c r="EQ488" s="106">
        <f t="shared" si="187"/>
        <v>0</v>
      </c>
      <c r="ER488" s="106">
        <f t="shared" si="187"/>
        <v>0</v>
      </c>
      <c r="ES488" s="106">
        <f t="shared" si="187"/>
        <v>220</v>
      </c>
      <c r="ET488" s="106">
        <f t="shared" si="187"/>
        <v>0</v>
      </c>
      <c r="EU488" s="106">
        <f t="shared" si="187"/>
        <v>0</v>
      </c>
      <c r="EV488" s="106">
        <f t="shared" si="187"/>
        <v>54</v>
      </c>
      <c r="EW488" s="106">
        <f t="shared" si="187"/>
        <v>0</v>
      </c>
      <c r="EX488" s="106">
        <f t="shared" si="187"/>
        <v>0</v>
      </c>
      <c r="EY488" s="106">
        <f t="shared" si="187"/>
        <v>62</v>
      </c>
      <c r="EZ488" s="106">
        <f t="shared" si="187"/>
        <v>0</v>
      </c>
      <c r="FA488" s="106">
        <f t="shared" si="187"/>
        <v>0</v>
      </c>
      <c r="FB488" s="106">
        <f t="shared" si="187"/>
        <v>0</v>
      </c>
      <c r="FC488" s="106">
        <f t="shared" si="187"/>
        <v>0</v>
      </c>
      <c r="FD488" s="106">
        <f t="shared" si="187"/>
        <v>0</v>
      </c>
      <c r="FE488" s="106">
        <f t="shared" si="187"/>
        <v>63</v>
      </c>
      <c r="FF488" s="106">
        <f t="shared" si="187"/>
        <v>0</v>
      </c>
      <c r="FG488" s="106">
        <f t="shared" si="187"/>
        <v>0</v>
      </c>
      <c r="FH488" s="106">
        <f t="shared" si="187"/>
        <v>0</v>
      </c>
      <c r="FI488" s="106">
        <f t="shared" si="187"/>
        <v>0</v>
      </c>
      <c r="FJ488" s="106">
        <f t="shared" si="187"/>
        <v>0</v>
      </c>
      <c r="FK488" s="106">
        <f t="shared" si="187"/>
        <v>1023</v>
      </c>
      <c r="FL488" s="106">
        <f t="shared" si="187"/>
        <v>0</v>
      </c>
      <c r="FM488" s="106">
        <f t="shared" si="187"/>
        <v>0</v>
      </c>
      <c r="FN488" s="106">
        <f t="shared" si="187"/>
        <v>37382</v>
      </c>
      <c r="FO488" s="106">
        <f t="shared" si="187"/>
        <v>0</v>
      </c>
      <c r="FP488" s="106">
        <f t="shared" si="187"/>
        <v>0</v>
      </c>
      <c r="FQ488" s="106">
        <f t="shared" si="187"/>
        <v>3941</v>
      </c>
      <c r="FR488" s="106">
        <f t="shared" si="187"/>
        <v>0</v>
      </c>
      <c r="FS488" s="106">
        <f t="shared" si="187"/>
        <v>0</v>
      </c>
      <c r="FT488" s="106">
        <f t="shared" si="187"/>
        <v>0</v>
      </c>
      <c r="FU488" s="106">
        <f t="shared" si="187"/>
        <v>0</v>
      </c>
      <c r="FV488" s="106">
        <f t="shared" si="187"/>
        <v>0</v>
      </c>
      <c r="FW488" s="106">
        <f t="shared" si="187"/>
        <v>1765</v>
      </c>
      <c r="FX488" s="106">
        <f t="shared" si="187"/>
        <v>0</v>
      </c>
      <c r="FY488" s="106">
        <f t="shared" si="187"/>
        <v>0</v>
      </c>
      <c r="FZ488" s="106">
        <f t="shared" si="187"/>
        <v>8315</v>
      </c>
    </row>
    <row r="489" spans="2:182 16381:16381" s="105" customFormat="1" x14ac:dyDescent="0.2">
      <c r="B489" s="105">
        <v>2019</v>
      </c>
      <c r="C489" s="106">
        <f>+SUM(C391:C402)</f>
        <v>640988.86</v>
      </c>
      <c r="D489" s="106">
        <f t="shared" ref="D489:E489" si="188">+SUM(D391:D402)</f>
        <v>4097685</v>
      </c>
      <c r="E489" s="106">
        <f t="shared" si="188"/>
        <v>4738673.8600000003</v>
      </c>
      <c r="F489" s="106">
        <f t="shared" ref="F489:AL489" si="189">+SUM(F391:F402)</f>
        <v>72785716.260000005</v>
      </c>
      <c r="G489" s="106">
        <f t="shared" si="189"/>
        <v>29379285.73</v>
      </c>
      <c r="H489" s="106">
        <f t="shared" si="189"/>
        <v>102165001.98999999</v>
      </c>
      <c r="I489" s="106">
        <f t="shared" si="189"/>
        <v>0</v>
      </c>
      <c r="J489" s="106">
        <f t="shared" si="189"/>
        <v>0</v>
      </c>
      <c r="K489" s="106">
        <f t="shared" si="189"/>
        <v>207846637.47999999</v>
      </c>
      <c r="L489" s="106">
        <f t="shared" si="189"/>
        <v>0</v>
      </c>
      <c r="M489" s="106">
        <f t="shared" si="189"/>
        <v>0</v>
      </c>
      <c r="N489" s="106">
        <f t="shared" si="189"/>
        <v>286237002.94999999</v>
      </c>
      <c r="O489" s="106">
        <f t="shared" si="189"/>
        <v>0</v>
      </c>
      <c r="P489" s="106">
        <f t="shared" si="189"/>
        <v>0</v>
      </c>
      <c r="Q489" s="106">
        <f t="shared" si="189"/>
        <v>353184284.29999995</v>
      </c>
      <c r="R489" s="106">
        <f t="shared" si="189"/>
        <v>0</v>
      </c>
      <c r="S489" s="106">
        <f t="shared" si="189"/>
        <v>0</v>
      </c>
      <c r="T489" s="106">
        <f t="shared" si="189"/>
        <v>1882442.4700000002</v>
      </c>
      <c r="U489" s="106">
        <f t="shared" si="189"/>
        <v>76184.149999999994</v>
      </c>
      <c r="V489" s="106">
        <f t="shared" si="189"/>
        <v>76518.34</v>
      </c>
      <c r="W489" s="106">
        <f t="shared" si="189"/>
        <v>152702.49</v>
      </c>
      <c r="X489" s="106">
        <f t="shared" si="189"/>
        <v>552534.4</v>
      </c>
      <c r="Y489" s="106">
        <f t="shared" si="189"/>
        <v>32616.05</v>
      </c>
      <c r="Z489" s="106">
        <f t="shared" si="189"/>
        <v>585150.44999999995</v>
      </c>
      <c r="AA489" s="106">
        <f t="shared" si="189"/>
        <v>1041472.8600000001</v>
      </c>
      <c r="AB489" s="106">
        <f t="shared" si="189"/>
        <v>397553.41</v>
      </c>
      <c r="AC489" s="106">
        <f t="shared" si="189"/>
        <v>1439026.27</v>
      </c>
      <c r="AD489" s="106">
        <f t="shared" si="189"/>
        <v>49071.110000000015</v>
      </c>
      <c r="AE489" s="106">
        <f t="shared" si="189"/>
        <v>220747.84999999998</v>
      </c>
      <c r="AF489" s="106">
        <f t="shared" si="189"/>
        <v>269818.96000000002</v>
      </c>
      <c r="AG489" s="106">
        <f t="shared" si="189"/>
        <v>120992.62</v>
      </c>
      <c r="AH489" s="106">
        <f t="shared" si="189"/>
        <v>775547.48999999987</v>
      </c>
      <c r="AI489" s="106">
        <f t="shared" si="189"/>
        <v>896540.1100000001</v>
      </c>
      <c r="AJ489" s="106">
        <f t="shared" si="189"/>
        <v>0</v>
      </c>
      <c r="AK489" s="106">
        <f t="shared" si="189"/>
        <v>0</v>
      </c>
      <c r="AL489" s="106">
        <f t="shared" si="189"/>
        <v>922312.54999999981</v>
      </c>
      <c r="AM489" s="106"/>
      <c r="AN489" s="106"/>
      <c r="AO489" s="106"/>
      <c r="AP489" s="106"/>
      <c r="AQ489" s="106"/>
      <c r="AR489" s="106"/>
      <c r="AS489" s="106">
        <f t="shared" ref="AS489:CG489" si="190">+SUM(AS391:AS402)</f>
        <v>0</v>
      </c>
      <c r="AT489" s="106">
        <f t="shared" si="190"/>
        <v>0</v>
      </c>
      <c r="AU489" s="106">
        <f t="shared" si="190"/>
        <v>16891445.890000001</v>
      </c>
      <c r="AV489" s="106">
        <f t="shared" si="190"/>
        <v>0</v>
      </c>
      <c r="AW489" s="106">
        <f t="shared" si="190"/>
        <v>0</v>
      </c>
      <c r="AX489" s="106">
        <f t="shared" si="190"/>
        <v>443554.16</v>
      </c>
      <c r="AY489" s="106">
        <f t="shared" si="190"/>
        <v>85244040.799999997</v>
      </c>
      <c r="AZ489" s="106">
        <f t="shared" si="190"/>
        <v>12320468.800000001</v>
      </c>
      <c r="BA489" s="106">
        <f t="shared" si="190"/>
        <v>97564509.599999994</v>
      </c>
      <c r="BB489" s="106">
        <f t="shared" si="190"/>
        <v>0</v>
      </c>
      <c r="BC489" s="106">
        <f t="shared" si="190"/>
        <v>0</v>
      </c>
      <c r="BD489" s="106">
        <f t="shared" si="190"/>
        <v>17923380.71111111</v>
      </c>
      <c r="BE489" s="106">
        <f t="shared" si="190"/>
        <v>0</v>
      </c>
      <c r="BF489" s="106">
        <f t="shared" si="190"/>
        <v>0</v>
      </c>
      <c r="BG489" s="106">
        <f t="shared" si="190"/>
        <v>553</v>
      </c>
      <c r="BH489" s="106">
        <f t="shared" ref="BH489:BJ489" si="191">+SUM(BH391:BH402)</f>
        <v>0</v>
      </c>
      <c r="BI489" s="106">
        <f t="shared" si="191"/>
        <v>0</v>
      </c>
      <c r="BJ489" s="106">
        <f t="shared" si="191"/>
        <v>0</v>
      </c>
      <c r="BK489" s="106">
        <f t="shared" si="190"/>
        <v>0</v>
      </c>
      <c r="BL489" s="106">
        <f t="shared" si="190"/>
        <v>0</v>
      </c>
      <c r="BM489" s="106">
        <f t="shared" si="190"/>
        <v>1989</v>
      </c>
      <c r="BN489" s="106">
        <f t="shared" ref="BN489:BP489" si="192">+SUM(BN391:BN402)</f>
        <v>0</v>
      </c>
      <c r="BO489" s="106">
        <f t="shared" si="192"/>
        <v>0</v>
      </c>
      <c r="BP489" s="106">
        <f t="shared" si="192"/>
        <v>16</v>
      </c>
      <c r="BQ489" s="106">
        <f t="shared" si="190"/>
        <v>0</v>
      </c>
      <c r="BR489" s="106">
        <f t="shared" si="190"/>
        <v>0</v>
      </c>
      <c r="BS489" s="106">
        <f t="shared" si="190"/>
        <v>2089</v>
      </c>
      <c r="BT489" s="106">
        <f t="shared" ref="BT489:BV489" si="193">+SUM(BT391:BT402)</f>
        <v>0</v>
      </c>
      <c r="BU489" s="106">
        <f t="shared" si="193"/>
        <v>0</v>
      </c>
      <c r="BV489" s="106">
        <f t="shared" si="193"/>
        <v>5</v>
      </c>
      <c r="BW489" s="106"/>
      <c r="BX489" s="106"/>
      <c r="BY489" s="106"/>
      <c r="BZ489" s="106">
        <f t="shared" si="190"/>
        <v>0</v>
      </c>
      <c r="CA489" s="106">
        <f t="shared" si="190"/>
        <v>0</v>
      </c>
      <c r="CB489" s="106">
        <f t="shared" si="190"/>
        <v>2694</v>
      </c>
      <c r="CC489" s="106"/>
      <c r="CD489" s="106"/>
      <c r="CE489" s="106"/>
      <c r="CF489" s="106">
        <f t="shared" si="190"/>
        <v>0</v>
      </c>
      <c r="CG489" s="106">
        <f t="shared" si="190"/>
        <v>0</v>
      </c>
      <c r="CH489" s="106">
        <f t="shared" ref="CH489:FW489" si="194">+SUM(CH391:CH402)</f>
        <v>24</v>
      </c>
      <c r="CI489" s="106">
        <f t="shared" si="194"/>
        <v>0</v>
      </c>
      <c r="CJ489" s="106">
        <f t="shared" si="194"/>
        <v>0</v>
      </c>
      <c r="CK489" s="106">
        <f t="shared" si="194"/>
        <v>246</v>
      </c>
      <c r="CL489" s="106">
        <f t="shared" ref="CL489:CN489" si="195">+SUM(CL391:CL402)</f>
        <v>0</v>
      </c>
      <c r="CM489" s="106">
        <f t="shared" si="195"/>
        <v>0</v>
      </c>
      <c r="CN489" s="106">
        <f t="shared" si="195"/>
        <v>0</v>
      </c>
      <c r="CO489" s="106">
        <f t="shared" si="194"/>
        <v>0</v>
      </c>
      <c r="CP489" s="106">
        <f t="shared" si="194"/>
        <v>0</v>
      </c>
      <c r="CQ489" s="106">
        <f t="shared" si="194"/>
        <v>99</v>
      </c>
      <c r="CR489" s="106">
        <f t="shared" ref="CR489:CT489" si="196">+SUM(CR391:CR402)</f>
        <v>0</v>
      </c>
      <c r="CS489" s="106">
        <f t="shared" si="196"/>
        <v>0</v>
      </c>
      <c r="CT489" s="106">
        <f t="shared" si="196"/>
        <v>0</v>
      </c>
      <c r="CU489" s="106">
        <f t="shared" si="194"/>
        <v>0</v>
      </c>
      <c r="CV489" s="106">
        <f t="shared" si="194"/>
        <v>0</v>
      </c>
      <c r="CW489" s="106">
        <f t="shared" si="194"/>
        <v>2749</v>
      </c>
      <c r="CX489" s="106">
        <f t="shared" ref="CX489:CZ489" si="197">+SUM(CX391:CX402)</f>
        <v>0</v>
      </c>
      <c r="CY489" s="106">
        <f t="shared" si="197"/>
        <v>0</v>
      </c>
      <c r="CZ489" s="106">
        <f t="shared" si="197"/>
        <v>0</v>
      </c>
      <c r="DA489" s="106">
        <f t="shared" si="194"/>
        <v>0</v>
      </c>
      <c r="DB489" s="106">
        <f t="shared" si="194"/>
        <v>0</v>
      </c>
      <c r="DC489" s="106">
        <f t="shared" si="194"/>
        <v>3</v>
      </c>
      <c r="DD489" s="106">
        <f t="shared" ref="DD489:DF489" si="198">+SUM(DD391:DD402)</f>
        <v>0</v>
      </c>
      <c r="DE489" s="106">
        <f t="shared" si="198"/>
        <v>0</v>
      </c>
      <c r="DF489" s="106">
        <f t="shared" si="198"/>
        <v>6</v>
      </c>
      <c r="DG489" s="106">
        <f t="shared" si="194"/>
        <v>0</v>
      </c>
      <c r="DH489" s="106">
        <f t="shared" si="194"/>
        <v>0</v>
      </c>
      <c r="DI489" s="106">
        <f t="shared" si="194"/>
        <v>35</v>
      </c>
      <c r="DJ489" s="106">
        <f t="shared" ref="DJ489:DL489" si="199">+SUM(DJ391:DJ402)</f>
        <v>0</v>
      </c>
      <c r="DK489" s="106">
        <f t="shared" si="199"/>
        <v>0</v>
      </c>
      <c r="DL489" s="106">
        <f t="shared" si="199"/>
        <v>0</v>
      </c>
      <c r="DM489" s="106">
        <f t="shared" si="194"/>
        <v>0</v>
      </c>
      <c r="DN489" s="106">
        <f t="shared" si="194"/>
        <v>0</v>
      </c>
      <c r="DO489" s="106">
        <f t="shared" si="194"/>
        <v>0</v>
      </c>
      <c r="DP489" s="106">
        <f t="shared" si="194"/>
        <v>0</v>
      </c>
      <c r="DQ489" s="106">
        <f t="shared" si="194"/>
        <v>0</v>
      </c>
      <c r="DR489" s="106">
        <f t="shared" si="194"/>
        <v>0</v>
      </c>
      <c r="DS489" s="106">
        <f t="shared" ref="DS489:DX489" si="200">+SUM(DS391:DS402)</f>
        <v>0</v>
      </c>
      <c r="DT489" s="106">
        <f t="shared" si="200"/>
        <v>0</v>
      </c>
      <c r="DU489" s="106">
        <f t="shared" si="200"/>
        <v>4461</v>
      </c>
      <c r="DV489" s="106">
        <f t="shared" si="200"/>
        <v>0</v>
      </c>
      <c r="DW489" s="106">
        <f t="shared" si="200"/>
        <v>0</v>
      </c>
      <c r="DX489" s="106">
        <f t="shared" si="200"/>
        <v>0</v>
      </c>
      <c r="DY489" s="106">
        <f t="shared" si="194"/>
        <v>0</v>
      </c>
      <c r="DZ489" s="106">
        <f t="shared" si="194"/>
        <v>0</v>
      </c>
      <c r="EA489" s="106">
        <f t="shared" si="194"/>
        <v>10840</v>
      </c>
      <c r="EB489" s="106">
        <f t="shared" ref="EB489:ED489" si="201">+SUM(EB391:EB402)</f>
        <v>0</v>
      </c>
      <c r="EC489" s="106">
        <f t="shared" si="201"/>
        <v>0</v>
      </c>
      <c r="ED489" s="106">
        <f t="shared" si="201"/>
        <v>1</v>
      </c>
      <c r="EE489" s="106">
        <f t="shared" si="194"/>
        <v>0</v>
      </c>
      <c r="EF489" s="106">
        <f t="shared" si="194"/>
        <v>0</v>
      </c>
      <c r="EG489" s="106">
        <f t="shared" si="194"/>
        <v>6679</v>
      </c>
      <c r="EH489" s="106">
        <f t="shared" ref="EH489:EJ489" si="202">+SUM(EH391:EH402)</f>
        <v>0</v>
      </c>
      <c r="EI489" s="106">
        <f t="shared" si="202"/>
        <v>0</v>
      </c>
      <c r="EJ489" s="106">
        <f t="shared" si="202"/>
        <v>428</v>
      </c>
      <c r="EK489" s="106">
        <f t="shared" si="194"/>
        <v>0</v>
      </c>
      <c r="EL489" s="106">
        <f t="shared" si="194"/>
        <v>0</v>
      </c>
      <c r="EM489" s="106">
        <f t="shared" si="194"/>
        <v>8892.1</v>
      </c>
      <c r="EN489" s="106">
        <f t="shared" ref="EN489:EP489" si="203">+SUM(EN391:EN402)</f>
        <v>0</v>
      </c>
      <c r="EO489" s="106">
        <f t="shared" si="203"/>
        <v>0</v>
      </c>
      <c r="EP489" s="106">
        <f t="shared" si="203"/>
        <v>242</v>
      </c>
      <c r="EQ489" s="106">
        <f t="shared" si="194"/>
        <v>0</v>
      </c>
      <c r="ER489" s="106">
        <f t="shared" si="194"/>
        <v>0</v>
      </c>
      <c r="ES489" s="106">
        <f t="shared" si="194"/>
        <v>237</v>
      </c>
      <c r="ET489" s="106">
        <f t="shared" ref="ET489:EV489" si="204">+SUM(ET391:ET402)</f>
        <v>0</v>
      </c>
      <c r="EU489" s="106">
        <f t="shared" si="204"/>
        <v>0</v>
      </c>
      <c r="EV489" s="106">
        <f t="shared" si="204"/>
        <v>177</v>
      </c>
      <c r="EW489" s="106">
        <f t="shared" si="194"/>
        <v>0</v>
      </c>
      <c r="EX489" s="106">
        <f t="shared" si="194"/>
        <v>0</v>
      </c>
      <c r="EY489" s="106">
        <f t="shared" si="194"/>
        <v>73</v>
      </c>
      <c r="EZ489" s="106">
        <f t="shared" ref="EZ489:FH489" si="205">+SUM(EZ391:EZ402)</f>
        <v>0</v>
      </c>
      <c r="FA489" s="106">
        <f t="shared" si="205"/>
        <v>0</v>
      </c>
      <c r="FB489" s="106">
        <f t="shared" si="205"/>
        <v>0</v>
      </c>
      <c r="FC489" s="106">
        <f t="shared" si="205"/>
        <v>0</v>
      </c>
      <c r="FD489" s="106">
        <f t="shared" si="205"/>
        <v>0</v>
      </c>
      <c r="FE489" s="106">
        <f t="shared" si="205"/>
        <v>34</v>
      </c>
      <c r="FF489" s="106">
        <f t="shared" si="205"/>
        <v>0</v>
      </c>
      <c r="FG489" s="106">
        <f t="shared" si="205"/>
        <v>0</v>
      </c>
      <c r="FH489" s="106">
        <f t="shared" si="205"/>
        <v>0</v>
      </c>
      <c r="FI489" s="106">
        <f t="shared" si="194"/>
        <v>0</v>
      </c>
      <c r="FJ489" s="106">
        <f t="shared" si="194"/>
        <v>0</v>
      </c>
      <c r="FK489" s="106">
        <f t="shared" si="194"/>
        <v>1130</v>
      </c>
      <c r="FL489" s="106">
        <f t="shared" si="194"/>
        <v>0</v>
      </c>
      <c r="FM489" s="106">
        <f t="shared" si="194"/>
        <v>0</v>
      </c>
      <c r="FN489" s="106">
        <f t="shared" si="194"/>
        <v>36555</v>
      </c>
      <c r="FO489" s="106">
        <f t="shared" si="194"/>
        <v>0</v>
      </c>
      <c r="FP489" s="106">
        <f t="shared" si="194"/>
        <v>0</v>
      </c>
      <c r="FQ489" s="106">
        <f t="shared" si="194"/>
        <v>3663</v>
      </c>
      <c r="FR489" s="106">
        <f t="shared" si="194"/>
        <v>0</v>
      </c>
      <c r="FS489" s="106">
        <f t="shared" si="194"/>
        <v>0</v>
      </c>
      <c r="FT489" s="106">
        <f t="shared" si="194"/>
        <v>0</v>
      </c>
      <c r="FU489" s="106">
        <f t="shared" si="194"/>
        <v>0</v>
      </c>
      <c r="FV489" s="106">
        <f t="shared" si="194"/>
        <v>0</v>
      </c>
      <c r="FW489" s="106">
        <f t="shared" si="194"/>
        <v>1737</v>
      </c>
      <c r="FX489" s="106">
        <f t="shared" ref="FX489:FZ489" si="206">+SUM(FX391:FX402)</f>
        <v>0</v>
      </c>
      <c r="FY489" s="106">
        <f t="shared" si="206"/>
        <v>0</v>
      </c>
      <c r="FZ489" s="106">
        <f t="shared" si="206"/>
        <v>21123</v>
      </c>
    </row>
    <row r="490" spans="2:182 16381:16381" s="105" customFormat="1" x14ac:dyDescent="0.2">
      <c r="I490" s="107"/>
      <c r="J490" s="107"/>
      <c r="K490" s="107"/>
      <c r="T490" s="107"/>
      <c r="AG490" s="107"/>
      <c r="AH490" s="107"/>
      <c r="AI490" s="107"/>
    </row>
    <row r="491" spans="2:182 16381:16381" s="105" customFormat="1" x14ac:dyDescent="0.2">
      <c r="B491" s="105">
        <v>2020</v>
      </c>
      <c r="C491" s="106">
        <f>+SUM(C403:C414)</f>
        <v>609180.26</v>
      </c>
      <c r="D491" s="106">
        <f t="shared" ref="D491:E491" si="207">+SUM(D403:D414)</f>
        <v>4109747.26</v>
      </c>
      <c r="E491" s="106">
        <f t="shared" si="207"/>
        <v>4718927.5200000005</v>
      </c>
      <c r="F491" s="106">
        <f t="shared" ref="F491:AL491" si="208">+SUM(F403:F414)</f>
        <v>63031917.18999999</v>
      </c>
      <c r="G491" s="106">
        <f t="shared" si="208"/>
        <v>32303929.68</v>
      </c>
      <c r="H491" s="106">
        <f t="shared" si="208"/>
        <v>95335846.870000005</v>
      </c>
      <c r="I491" s="106">
        <f t="shared" si="208"/>
        <v>0</v>
      </c>
      <c r="J491" s="106">
        <f t="shared" si="208"/>
        <v>0</v>
      </c>
      <c r="K491" s="106">
        <f t="shared" si="208"/>
        <v>217340285.71000001</v>
      </c>
      <c r="L491" s="106">
        <f t="shared" si="208"/>
        <v>0</v>
      </c>
      <c r="M491" s="106">
        <f t="shared" si="208"/>
        <v>0</v>
      </c>
      <c r="N491" s="106">
        <f t="shared" si="208"/>
        <v>282030815.54999995</v>
      </c>
      <c r="O491" s="106">
        <f t="shared" si="208"/>
        <v>0</v>
      </c>
      <c r="P491" s="106">
        <f t="shared" si="208"/>
        <v>0</v>
      </c>
      <c r="Q491" s="106">
        <f t="shared" si="208"/>
        <v>339104689.65999997</v>
      </c>
      <c r="R491" s="106">
        <f t="shared" si="208"/>
        <v>0</v>
      </c>
      <c r="S491" s="106">
        <f t="shared" si="208"/>
        <v>0</v>
      </c>
      <c r="T491" s="106">
        <f t="shared" si="208"/>
        <v>1886585.5000000005</v>
      </c>
      <c r="U491" s="106">
        <f t="shared" si="208"/>
        <v>42351.590000000004</v>
      </c>
      <c r="V491" s="106">
        <f t="shared" si="208"/>
        <v>61199.090000000004</v>
      </c>
      <c r="W491" s="106">
        <f t="shared" si="208"/>
        <v>103550.68</v>
      </c>
      <c r="X491" s="106">
        <f t="shared" si="208"/>
        <v>619186.74</v>
      </c>
      <c r="Y491" s="106">
        <f t="shared" si="208"/>
        <v>39640.26</v>
      </c>
      <c r="Z491" s="106">
        <f t="shared" si="208"/>
        <v>658827</v>
      </c>
      <c r="AA491" s="106">
        <f t="shared" si="208"/>
        <v>1066580.5699999998</v>
      </c>
      <c r="AB491" s="106">
        <f t="shared" si="208"/>
        <v>517806.96</v>
      </c>
      <c r="AC491" s="106">
        <f t="shared" si="208"/>
        <v>1584387.53</v>
      </c>
      <c r="AD491" s="106">
        <f t="shared" si="208"/>
        <v>35219.240000000005</v>
      </c>
      <c r="AE491" s="106">
        <f t="shared" si="208"/>
        <v>209597.72</v>
      </c>
      <c r="AF491" s="106">
        <f t="shared" si="208"/>
        <v>244816.96000000002</v>
      </c>
      <c r="AG491" s="106">
        <f t="shared" si="208"/>
        <v>140398.57999999999</v>
      </c>
      <c r="AH491" s="106">
        <f t="shared" si="208"/>
        <v>715415.43</v>
      </c>
      <c r="AI491" s="106">
        <f t="shared" si="208"/>
        <v>855814.01000000013</v>
      </c>
      <c r="AJ491" s="106">
        <f t="shared" si="208"/>
        <v>0</v>
      </c>
      <c r="AK491" s="106">
        <f t="shared" si="208"/>
        <v>0</v>
      </c>
      <c r="AL491" s="106">
        <f t="shared" si="208"/>
        <v>933438.3</v>
      </c>
      <c r="AM491" s="106"/>
      <c r="AN491" s="106"/>
      <c r="AO491" s="106"/>
      <c r="AP491" s="106"/>
      <c r="AQ491" s="106"/>
      <c r="AR491" s="106"/>
      <c r="AS491" s="106">
        <f t="shared" ref="AS491:CG491" si="209">+SUM(AS403:AS414)</f>
        <v>0</v>
      </c>
      <c r="AT491" s="106">
        <f t="shared" si="209"/>
        <v>0</v>
      </c>
      <c r="AU491" s="106">
        <f t="shared" si="209"/>
        <v>15823870.239999998</v>
      </c>
      <c r="AV491" s="106">
        <f t="shared" si="209"/>
        <v>0</v>
      </c>
      <c r="AW491" s="106">
        <f t="shared" si="209"/>
        <v>0</v>
      </c>
      <c r="AX491" s="106">
        <f t="shared" si="209"/>
        <v>516924.24</v>
      </c>
      <c r="AY491" s="106">
        <f t="shared" si="209"/>
        <v>78825584.199999988</v>
      </c>
      <c r="AZ491" s="106">
        <f t="shared" si="209"/>
        <v>13889753.1</v>
      </c>
      <c r="BA491" s="106">
        <f t="shared" si="209"/>
        <v>92715337.299999997</v>
      </c>
      <c r="BB491" s="106">
        <f t="shared" si="209"/>
        <v>0</v>
      </c>
      <c r="BC491" s="106">
        <f t="shared" si="209"/>
        <v>0</v>
      </c>
      <c r="BD491" s="106">
        <f t="shared" si="209"/>
        <v>19252733.244444445</v>
      </c>
      <c r="BE491" s="106">
        <f t="shared" si="209"/>
        <v>0</v>
      </c>
      <c r="BF491" s="106">
        <f t="shared" si="209"/>
        <v>0</v>
      </c>
      <c r="BG491" s="106">
        <f t="shared" si="209"/>
        <v>553</v>
      </c>
      <c r="BH491" s="106">
        <f t="shared" ref="BH491:BJ491" si="210">+SUM(BH403:BH414)</f>
        <v>0</v>
      </c>
      <c r="BI491" s="106">
        <f t="shared" si="210"/>
        <v>0</v>
      </c>
      <c r="BJ491" s="106">
        <f t="shared" si="210"/>
        <v>0</v>
      </c>
      <c r="BK491" s="106">
        <f t="shared" si="209"/>
        <v>0</v>
      </c>
      <c r="BL491" s="106">
        <f t="shared" si="209"/>
        <v>0</v>
      </c>
      <c r="BM491" s="106">
        <f t="shared" si="209"/>
        <v>1649.01</v>
      </c>
      <c r="BN491" s="106">
        <f t="shared" ref="BN491:BP491" si="211">+SUM(BN403:BN414)</f>
        <v>0</v>
      </c>
      <c r="BO491" s="106">
        <f t="shared" si="211"/>
        <v>0</v>
      </c>
      <c r="BP491" s="106">
        <f t="shared" si="211"/>
        <v>10</v>
      </c>
      <c r="BQ491" s="106">
        <f t="shared" si="209"/>
        <v>0</v>
      </c>
      <c r="BR491" s="106">
        <f t="shared" si="209"/>
        <v>0</v>
      </c>
      <c r="BS491" s="106">
        <f t="shared" si="209"/>
        <v>1608</v>
      </c>
      <c r="BT491" s="106">
        <f t="shared" ref="BT491:BV491" si="212">+SUM(BT403:BT414)</f>
        <v>0</v>
      </c>
      <c r="BU491" s="106">
        <f t="shared" si="212"/>
        <v>0</v>
      </c>
      <c r="BV491" s="106">
        <f t="shared" si="212"/>
        <v>2</v>
      </c>
      <c r="BW491" s="106"/>
      <c r="BX491" s="106"/>
      <c r="BY491" s="106"/>
      <c r="BZ491" s="106">
        <f t="shared" si="209"/>
        <v>0</v>
      </c>
      <c r="CA491" s="106">
        <f t="shared" si="209"/>
        <v>0</v>
      </c>
      <c r="CB491" s="106">
        <f t="shared" si="209"/>
        <v>2357</v>
      </c>
      <c r="CC491" s="106"/>
      <c r="CD491" s="106"/>
      <c r="CE491" s="106"/>
      <c r="CF491" s="106">
        <f t="shared" si="209"/>
        <v>0</v>
      </c>
      <c r="CG491" s="106">
        <f t="shared" si="209"/>
        <v>0</v>
      </c>
      <c r="CH491" s="106">
        <f t="shared" ref="CH491:FW491" si="213">+SUM(CH403:CH414)</f>
        <v>32</v>
      </c>
      <c r="CI491" s="106">
        <f t="shared" si="213"/>
        <v>0</v>
      </c>
      <c r="CJ491" s="106">
        <f t="shared" si="213"/>
        <v>0</v>
      </c>
      <c r="CK491" s="106">
        <f t="shared" si="213"/>
        <v>197</v>
      </c>
      <c r="CL491" s="106">
        <f t="shared" ref="CL491:CN491" si="214">+SUM(CL403:CL414)</f>
        <v>0</v>
      </c>
      <c r="CM491" s="106">
        <f t="shared" si="214"/>
        <v>0</v>
      </c>
      <c r="CN491" s="106">
        <f t="shared" si="214"/>
        <v>4</v>
      </c>
      <c r="CO491" s="106">
        <f t="shared" si="213"/>
        <v>0</v>
      </c>
      <c r="CP491" s="106">
        <f t="shared" si="213"/>
        <v>0</v>
      </c>
      <c r="CQ491" s="106">
        <f t="shared" si="213"/>
        <v>99</v>
      </c>
      <c r="CR491" s="106">
        <f t="shared" ref="CR491:CT491" si="215">+SUM(CR403:CR414)</f>
        <v>0</v>
      </c>
      <c r="CS491" s="106">
        <f t="shared" si="215"/>
        <v>0</v>
      </c>
      <c r="CT491" s="106">
        <f t="shared" si="215"/>
        <v>0</v>
      </c>
      <c r="CU491" s="106">
        <f t="shared" si="213"/>
        <v>0</v>
      </c>
      <c r="CV491" s="106">
        <f t="shared" si="213"/>
        <v>0</v>
      </c>
      <c r="CW491" s="106">
        <f t="shared" si="213"/>
        <v>2723.99</v>
      </c>
      <c r="CX491" s="106">
        <f t="shared" ref="CX491:CZ491" si="216">+SUM(CX403:CX414)</f>
        <v>0</v>
      </c>
      <c r="CY491" s="106">
        <f t="shared" si="216"/>
        <v>0</v>
      </c>
      <c r="CZ491" s="106">
        <f t="shared" si="216"/>
        <v>7</v>
      </c>
      <c r="DA491" s="106">
        <f t="shared" si="213"/>
        <v>0</v>
      </c>
      <c r="DB491" s="106">
        <f t="shared" si="213"/>
        <v>0</v>
      </c>
      <c r="DC491" s="106">
        <f t="shared" si="213"/>
        <v>0</v>
      </c>
      <c r="DD491" s="106">
        <f t="shared" ref="DD491:DF491" si="217">+SUM(DD403:DD414)</f>
        <v>0</v>
      </c>
      <c r="DE491" s="106">
        <f t="shared" si="217"/>
        <v>0</v>
      </c>
      <c r="DF491" s="106">
        <f t="shared" si="217"/>
        <v>2</v>
      </c>
      <c r="DG491" s="106">
        <f t="shared" si="213"/>
        <v>0</v>
      </c>
      <c r="DH491" s="106">
        <f t="shared" si="213"/>
        <v>0</v>
      </c>
      <c r="DI491" s="106">
        <f t="shared" si="213"/>
        <v>45</v>
      </c>
      <c r="DJ491" s="106">
        <f t="shared" ref="DJ491:DL491" si="218">+SUM(DJ403:DJ414)</f>
        <v>0</v>
      </c>
      <c r="DK491" s="106">
        <f t="shared" si="218"/>
        <v>0</v>
      </c>
      <c r="DL491" s="106">
        <f t="shared" si="218"/>
        <v>0</v>
      </c>
      <c r="DM491" s="106">
        <f t="shared" si="213"/>
        <v>0</v>
      </c>
      <c r="DN491" s="106">
        <f t="shared" si="213"/>
        <v>0</v>
      </c>
      <c r="DO491" s="106">
        <f t="shared" si="213"/>
        <v>0</v>
      </c>
      <c r="DP491" s="106">
        <f t="shared" si="213"/>
        <v>0</v>
      </c>
      <c r="DQ491" s="106">
        <f t="shared" si="213"/>
        <v>0</v>
      </c>
      <c r="DR491" s="106">
        <f t="shared" si="213"/>
        <v>0</v>
      </c>
      <c r="DS491" s="106">
        <f t="shared" ref="DS491:DX491" si="219">+SUM(DS403:DS414)</f>
        <v>0</v>
      </c>
      <c r="DT491" s="106">
        <f t="shared" si="219"/>
        <v>0</v>
      </c>
      <c r="DU491" s="106">
        <f t="shared" si="219"/>
        <v>3910</v>
      </c>
      <c r="DV491" s="106">
        <f t="shared" si="219"/>
        <v>0</v>
      </c>
      <c r="DW491" s="106">
        <f t="shared" si="219"/>
        <v>0</v>
      </c>
      <c r="DX491" s="106">
        <f t="shared" si="219"/>
        <v>0</v>
      </c>
      <c r="DY491" s="106">
        <f t="shared" si="213"/>
        <v>0</v>
      </c>
      <c r="DZ491" s="106">
        <f t="shared" si="213"/>
        <v>0</v>
      </c>
      <c r="EA491" s="106">
        <f t="shared" si="213"/>
        <v>9993</v>
      </c>
      <c r="EB491" s="106">
        <f t="shared" ref="EB491:ED491" si="220">+SUM(EB403:EB414)</f>
        <v>0</v>
      </c>
      <c r="EC491" s="106">
        <f t="shared" si="220"/>
        <v>0</v>
      </c>
      <c r="ED491" s="106">
        <f t="shared" si="220"/>
        <v>0</v>
      </c>
      <c r="EE491" s="106">
        <f t="shared" si="213"/>
        <v>0</v>
      </c>
      <c r="EF491" s="106">
        <f t="shared" si="213"/>
        <v>0</v>
      </c>
      <c r="EG491" s="106">
        <f t="shared" si="213"/>
        <v>6135.91</v>
      </c>
      <c r="EH491" s="106">
        <f t="shared" ref="EH491:EJ491" si="221">+SUM(EH403:EH414)</f>
        <v>0</v>
      </c>
      <c r="EI491" s="106">
        <f t="shared" si="221"/>
        <v>0</v>
      </c>
      <c r="EJ491" s="106">
        <f t="shared" si="221"/>
        <v>210</v>
      </c>
      <c r="EK491" s="106">
        <f t="shared" si="213"/>
        <v>0</v>
      </c>
      <c r="EL491" s="106">
        <f t="shared" si="213"/>
        <v>0</v>
      </c>
      <c r="EM491" s="106">
        <f t="shared" si="213"/>
        <v>6518</v>
      </c>
      <c r="EN491" s="106">
        <f t="shared" ref="EN491:EP491" si="222">+SUM(EN403:EN414)</f>
        <v>0</v>
      </c>
      <c r="EO491" s="106">
        <f t="shared" si="222"/>
        <v>0</v>
      </c>
      <c r="EP491" s="106">
        <f t="shared" si="222"/>
        <v>611</v>
      </c>
      <c r="EQ491" s="106">
        <f t="shared" si="213"/>
        <v>0</v>
      </c>
      <c r="ER491" s="106">
        <f t="shared" si="213"/>
        <v>0</v>
      </c>
      <c r="ES491" s="106">
        <f t="shared" si="213"/>
        <v>221</v>
      </c>
      <c r="ET491" s="106">
        <f t="shared" ref="ET491:EV491" si="223">+SUM(ET403:ET414)</f>
        <v>0</v>
      </c>
      <c r="EU491" s="106">
        <f t="shared" si="223"/>
        <v>0</v>
      </c>
      <c r="EV491" s="106">
        <f t="shared" si="223"/>
        <v>181</v>
      </c>
      <c r="EW491" s="106">
        <f t="shared" si="213"/>
        <v>0</v>
      </c>
      <c r="EX491" s="106">
        <f t="shared" si="213"/>
        <v>0</v>
      </c>
      <c r="EY491" s="106">
        <f t="shared" si="213"/>
        <v>72</v>
      </c>
      <c r="EZ491" s="106">
        <f t="shared" ref="EZ491:FH491" si="224">+SUM(EZ403:EZ414)</f>
        <v>0</v>
      </c>
      <c r="FA491" s="106">
        <f t="shared" si="224"/>
        <v>0</v>
      </c>
      <c r="FB491" s="106">
        <f t="shared" si="224"/>
        <v>3</v>
      </c>
      <c r="FC491" s="106">
        <f t="shared" si="224"/>
        <v>0</v>
      </c>
      <c r="FD491" s="106">
        <f t="shared" si="224"/>
        <v>0</v>
      </c>
      <c r="FE491" s="106">
        <f t="shared" si="224"/>
        <v>42</v>
      </c>
      <c r="FF491" s="106">
        <f t="shared" si="224"/>
        <v>0</v>
      </c>
      <c r="FG491" s="106">
        <f t="shared" si="224"/>
        <v>0</v>
      </c>
      <c r="FH491" s="106">
        <f t="shared" si="224"/>
        <v>0</v>
      </c>
      <c r="FI491" s="106">
        <f t="shared" si="213"/>
        <v>0</v>
      </c>
      <c r="FJ491" s="106">
        <f t="shared" si="213"/>
        <v>0</v>
      </c>
      <c r="FK491" s="106">
        <f t="shared" si="213"/>
        <v>1841</v>
      </c>
      <c r="FL491" s="106">
        <f t="shared" si="213"/>
        <v>0</v>
      </c>
      <c r="FM491" s="106">
        <f t="shared" si="213"/>
        <v>0</v>
      </c>
      <c r="FN491" s="106">
        <f t="shared" si="213"/>
        <v>30303</v>
      </c>
      <c r="FO491" s="106">
        <f t="shared" si="213"/>
        <v>0</v>
      </c>
      <c r="FP491" s="106">
        <f t="shared" si="213"/>
        <v>0</v>
      </c>
      <c r="FQ491" s="106">
        <f t="shared" si="213"/>
        <v>3197</v>
      </c>
      <c r="FR491" s="106">
        <f t="shared" si="213"/>
        <v>0</v>
      </c>
      <c r="FS491" s="106">
        <f t="shared" si="213"/>
        <v>0</v>
      </c>
      <c r="FT491" s="106">
        <f t="shared" si="213"/>
        <v>0</v>
      </c>
      <c r="FU491" s="106">
        <f t="shared" si="213"/>
        <v>0</v>
      </c>
      <c r="FV491" s="106">
        <f t="shared" si="213"/>
        <v>0</v>
      </c>
      <c r="FW491" s="106">
        <f t="shared" si="213"/>
        <v>1649</v>
      </c>
      <c r="FX491" s="106">
        <f t="shared" ref="FX491:FZ491" si="225">+SUM(FX403:FX414)</f>
        <v>0</v>
      </c>
      <c r="FY491" s="106">
        <f t="shared" si="225"/>
        <v>0</v>
      </c>
      <c r="FZ491" s="106">
        <f t="shared" si="225"/>
        <v>20053</v>
      </c>
    </row>
    <row r="492" spans="2:182 16381:16381" s="105" customFormat="1" x14ac:dyDescent="0.2">
      <c r="I492" s="107"/>
      <c r="J492" s="107"/>
      <c r="K492" s="107"/>
      <c r="T492" s="107"/>
      <c r="AG492" s="107"/>
      <c r="AH492" s="107"/>
      <c r="AI492" s="107"/>
    </row>
    <row r="493" spans="2:182 16381:16381" s="105" customFormat="1" x14ac:dyDescent="0.2">
      <c r="B493" s="105">
        <v>2021</v>
      </c>
      <c r="C493" s="106">
        <f>+SUM(C415:C426)</f>
        <v>456320.50000000006</v>
      </c>
      <c r="D493" s="106">
        <f t="shared" ref="D493:E493" si="226">+SUM(D415:D426)</f>
        <v>4266547.7200000007</v>
      </c>
      <c r="E493" s="106">
        <f t="shared" si="226"/>
        <v>4722868.2200000007</v>
      </c>
      <c r="F493" s="106">
        <f t="shared" ref="F493:AL493" si="227">+SUM(F415:F426)</f>
        <v>66958248.63000001</v>
      </c>
      <c r="G493" s="106">
        <f t="shared" si="227"/>
        <v>35530175.669999994</v>
      </c>
      <c r="H493" s="106">
        <f t="shared" si="227"/>
        <v>102488424.29999998</v>
      </c>
      <c r="I493" s="106">
        <f t="shared" si="227"/>
        <v>0</v>
      </c>
      <c r="J493" s="106">
        <f t="shared" si="227"/>
        <v>0</v>
      </c>
      <c r="K493" s="106">
        <f t="shared" si="227"/>
        <v>210552795.49000001</v>
      </c>
      <c r="L493" s="106">
        <f t="shared" si="227"/>
        <v>0</v>
      </c>
      <c r="M493" s="106">
        <f t="shared" si="227"/>
        <v>0</v>
      </c>
      <c r="N493" s="106">
        <f t="shared" si="227"/>
        <v>291307021.83999997</v>
      </c>
      <c r="O493" s="106">
        <f t="shared" si="227"/>
        <v>0</v>
      </c>
      <c r="P493" s="106">
        <f t="shared" si="227"/>
        <v>0</v>
      </c>
      <c r="Q493" s="106">
        <f t="shared" si="227"/>
        <v>328748099.74000001</v>
      </c>
      <c r="R493" s="106">
        <f t="shared" si="227"/>
        <v>0</v>
      </c>
      <c r="S493" s="106">
        <f t="shared" si="227"/>
        <v>0</v>
      </c>
      <c r="T493" s="106">
        <f t="shared" si="227"/>
        <v>2035337.98</v>
      </c>
      <c r="U493" s="106">
        <f t="shared" si="227"/>
        <v>50505.729999999996</v>
      </c>
      <c r="V493" s="106">
        <f t="shared" si="227"/>
        <v>78576.27</v>
      </c>
      <c r="W493" s="106">
        <f t="shared" si="227"/>
        <v>129082</v>
      </c>
      <c r="X493" s="106">
        <f t="shared" si="227"/>
        <v>519275.66000000003</v>
      </c>
      <c r="Y493" s="106">
        <f t="shared" si="227"/>
        <v>54933.960000000006</v>
      </c>
      <c r="Z493" s="106">
        <f t="shared" si="227"/>
        <v>574209.62</v>
      </c>
      <c r="AA493" s="106">
        <f t="shared" si="227"/>
        <v>1014919.62</v>
      </c>
      <c r="AB493" s="106">
        <f t="shared" si="227"/>
        <v>842969.27000000014</v>
      </c>
      <c r="AC493" s="106">
        <f t="shared" si="227"/>
        <v>1857888.8900000004</v>
      </c>
      <c r="AD493" s="106">
        <f t="shared" si="227"/>
        <v>46363.110000000008</v>
      </c>
      <c r="AE493" s="106">
        <f t="shared" si="227"/>
        <v>239602.55</v>
      </c>
      <c r="AF493" s="106">
        <f t="shared" si="227"/>
        <v>285965.65999999997</v>
      </c>
      <c r="AG493" s="106">
        <f t="shared" si="227"/>
        <v>114339.72</v>
      </c>
      <c r="AH493" s="106">
        <f t="shared" si="227"/>
        <v>952453.30999999994</v>
      </c>
      <c r="AI493" s="106">
        <f t="shared" si="227"/>
        <v>1066793.03</v>
      </c>
      <c r="AJ493" s="106">
        <f t="shared" si="227"/>
        <v>0</v>
      </c>
      <c r="AK493" s="106">
        <f t="shared" si="227"/>
        <v>0</v>
      </c>
      <c r="AL493" s="106">
        <f t="shared" si="227"/>
        <v>976280.86999999988</v>
      </c>
      <c r="AM493" s="106"/>
      <c r="AN493" s="106"/>
      <c r="AO493" s="106"/>
      <c r="AP493" s="106"/>
      <c r="AQ493" s="106"/>
      <c r="AR493" s="106"/>
      <c r="AS493" s="106">
        <f t="shared" ref="AS493:CG493" si="228">+SUM(AS415:AS426)</f>
        <v>0</v>
      </c>
      <c r="AT493" s="106">
        <f t="shared" si="228"/>
        <v>0</v>
      </c>
      <c r="AU493" s="106">
        <f t="shared" si="228"/>
        <v>18167521.629999999</v>
      </c>
      <c r="AV493" s="106">
        <f t="shared" si="228"/>
        <v>0</v>
      </c>
      <c r="AW493" s="106">
        <f t="shared" si="228"/>
        <v>0</v>
      </c>
      <c r="AX493" s="106">
        <f t="shared" si="228"/>
        <v>506882.4</v>
      </c>
      <c r="AY493" s="106">
        <f t="shared" si="228"/>
        <v>77212047.400000006</v>
      </c>
      <c r="AZ493" s="106">
        <f t="shared" si="228"/>
        <v>14041950</v>
      </c>
      <c r="BA493" s="106">
        <f t="shared" si="228"/>
        <v>91253997.399999991</v>
      </c>
      <c r="BB493" s="106">
        <f t="shared" si="228"/>
        <v>0</v>
      </c>
      <c r="BC493" s="106">
        <f t="shared" si="228"/>
        <v>0</v>
      </c>
      <c r="BD493" s="106">
        <f t="shared" si="228"/>
        <v>19004671.733333334</v>
      </c>
      <c r="BE493" s="106">
        <f t="shared" si="228"/>
        <v>0</v>
      </c>
      <c r="BF493" s="106">
        <f t="shared" si="228"/>
        <v>0</v>
      </c>
      <c r="BG493" s="106">
        <f t="shared" si="228"/>
        <v>1038</v>
      </c>
      <c r="BH493" s="106">
        <f t="shared" ref="BH493:BJ493" si="229">+SUM(BH415:BH426)</f>
        <v>0</v>
      </c>
      <c r="BI493" s="106">
        <f t="shared" si="229"/>
        <v>0</v>
      </c>
      <c r="BJ493" s="106">
        <f t="shared" si="229"/>
        <v>5</v>
      </c>
      <c r="BK493" s="106">
        <f t="shared" si="228"/>
        <v>0</v>
      </c>
      <c r="BL493" s="106">
        <f t="shared" si="228"/>
        <v>0</v>
      </c>
      <c r="BM493" s="106">
        <f t="shared" si="228"/>
        <v>2845</v>
      </c>
      <c r="BN493" s="106">
        <f t="shared" ref="BN493:BP493" si="230">+SUM(BN415:BN426)</f>
        <v>0</v>
      </c>
      <c r="BO493" s="106">
        <f t="shared" si="230"/>
        <v>0</v>
      </c>
      <c r="BP493" s="106">
        <f t="shared" si="230"/>
        <v>20</v>
      </c>
      <c r="BQ493" s="106">
        <f t="shared" si="228"/>
        <v>0</v>
      </c>
      <c r="BR493" s="106">
        <f t="shared" si="228"/>
        <v>0</v>
      </c>
      <c r="BS493" s="106">
        <f t="shared" si="228"/>
        <v>4277</v>
      </c>
      <c r="BT493" s="106">
        <f t="shared" ref="BT493:BV493" si="231">+SUM(BT415:BT426)</f>
        <v>0</v>
      </c>
      <c r="BU493" s="106">
        <f t="shared" si="231"/>
        <v>0</v>
      </c>
      <c r="BV493" s="106">
        <f t="shared" si="231"/>
        <v>0</v>
      </c>
      <c r="BW493" s="106"/>
      <c r="BX493" s="106"/>
      <c r="BY493" s="106"/>
      <c r="BZ493" s="106">
        <f t="shared" si="228"/>
        <v>0</v>
      </c>
      <c r="CA493" s="106">
        <f t="shared" si="228"/>
        <v>0</v>
      </c>
      <c r="CB493" s="106">
        <f t="shared" si="228"/>
        <v>3357</v>
      </c>
      <c r="CC493" s="106"/>
      <c r="CD493" s="106"/>
      <c r="CE493" s="106"/>
      <c r="CF493" s="106">
        <f t="shared" si="228"/>
        <v>0</v>
      </c>
      <c r="CG493" s="106">
        <f t="shared" si="228"/>
        <v>0</v>
      </c>
      <c r="CH493" s="106">
        <f t="shared" ref="CH493:FW493" si="232">+SUM(CH415:CH426)</f>
        <v>30</v>
      </c>
      <c r="CI493" s="106">
        <f t="shared" si="232"/>
        <v>0</v>
      </c>
      <c r="CJ493" s="106">
        <f t="shared" si="232"/>
        <v>0</v>
      </c>
      <c r="CK493" s="106">
        <f t="shared" si="232"/>
        <v>331</v>
      </c>
      <c r="CL493" s="106">
        <f t="shared" ref="CL493:CN493" si="233">+SUM(CL415:CL426)</f>
        <v>0</v>
      </c>
      <c r="CM493" s="106">
        <f t="shared" si="233"/>
        <v>0</v>
      </c>
      <c r="CN493" s="106">
        <f t="shared" si="233"/>
        <v>13</v>
      </c>
      <c r="CO493" s="106">
        <f t="shared" si="232"/>
        <v>0</v>
      </c>
      <c r="CP493" s="106">
        <f t="shared" si="232"/>
        <v>0</v>
      </c>
      <c r="CQ493" s="106">
        <f t="shared" si="232"/>
        <v>146</v>
      </c>
      <c r="CR493" s="106">
        <f t="shared" ref="CR493:CT493" si="234">+SUM(CR415:CR426)</f>
        <v>0</v>
      </c>
      <c r="CS493" s="106">
        <f t="shared" si="234"/>
        <v>0</v>
      </c>
      <c r="CT493" s="106">
        <f t="shared" si="234"/>
        <v>0</v>
      </c>
      <c r="CU493" s="106">
        <f t="shared" si="232"/>
        <v>0</v>
      </c>
      <c r="CV493" s="106">
        <f t="shared" si="232"/>
        <v>0</v>
      </c>
      <c r="CW493" s="106">
        <f t="shared" si="232"/>
        <v>3253</v>
      </c>
      <c r="CX493" s="106">
        <f t="shared" ref="CX493:CZ493" si="235">+SUM(CX415:CX426)</f>
        <v>0</v>
      </c>
      <c r="CY493" s="106">
        <f t="shared" si="235"/>
        <v>0</v>
      </c>
      <c r="CZ493" s="106">
        <f t="shared" si="235"/>
        <v>7</v>
      </c>
      <c r="DA493" s="106">
        <f t="shared" si="232"/>
        <v>0</v>
      </c>
      <c r="DB493" s="106">
        <f t="shared" si="232"/>
        <v>0</v>
      </c>
      <c r="DC493" s="106">
        <f t="shared" si="232"/>
        <v>2</v>
      </c>
      <c r="DD493" s="106">
        <f t="shared" ref="DD493:DF493" si="236">+SUM(DD415:DD426)</f>
        <v>0</v>
      </c>
      <c r="DE493" s="106">
        <f t="shared" si="236"/>
        <v>0</v>
      </c>
      <c r="DF493" s="106">
        <f t="shared" si="236"/>
        <v>0</v>
      </c>
      <c r="DG493" s="106">
        <f t="shared" si="232"/>
        <v>0</v>
      </c>
      <c r="DH493" s="106">
        <f t="shared" si="232"/>
        <v>0</v>
      </c>
      <c r="DI493" s="106">
        <f t="shared" si="232"/>
        <v>67</v>
      </c>
      <c r="DJ493" s="106">
        <f t="shared" ref="DJ493:DL493" si="237">+SUM(DJ415:DJ426)</f>
        <v>0</v>
      </c>
      <c r="DK493" s="106">
        <f t="shared" si="237"/>
        <v>0</v>
      </c>
      <c r="DL493" s="106">
        <f t="shared" si="237"/>
        <v>0</v>
      </c>
      <c r="DM493" s="106">
        <f t="shared" si="232"/>
        <v>0</v>
      </c>
      <c r="DN493" s="106">
        <f t="shared" si="232"/>
        <v>0</v>
      </c>
      <c r="DO493" s="106">
        <f t="shared" si="232"/>
        <v>0</v>
      </c>
      <c r="DP493" s="106">
        <f t="shared" si="232"/>
        <v>0</v>
      </c>
      <c r="DQ493" s="106">
        <f t="shared" si="232"/>
        <v>0</v>
      </c>
      <c r="DR493" s="106">
        <f t="shared" si="232"/>
        <v>211</v>
      </c>
      <c r="DS493" s="106">
        <f t="shared" ref="DS493:DX493" si="238">+SUM(DS415:DS426)</f>
        <v>0</v>
      </c>
      <c r="DT493" s="106">
        <f t="shared" si="238"/>
        <v>0</v>
      </c>
      <c r="DU493" s="106">
        <f t="shared" si="238"/>
        <v>1759</v>
      </c>
      <c r="DV493" s="106">
        <f t="shared" si="238"/>
        <v>0</v>
      </c>
      <c r="DW493" s="106">
        <f t="shared" si="238"/>
        <v>0</v>
      </c>
      <c r="DX493" s="106">
        <f t="shared" si="238"/>
        <v>0</v>
      </c>
      <c r="DY493" s="106">
        <f t="shared" si="232"/>
        <v>0</v>
      </c>
      <c r="DZ493" s="106">
        <f t="shared" si="232"/>
        <v>0</v>
      </c>
      <c r="EA493" s="106">
        <f t="shared" si="232"/>
        <v>13563</v>
      </c>
      <c r="EB493" s="106">
        <f t="shared" ref="EB493:ED493" si="239">+SUM(EB415:EB426)</f>
        <v>0</v>
      </c>
      <c r="EC493" s="106">
        <f t="shared" si="239"/>
        <v>0</v>
      </c>
      <c r="ED493" s="106">
        <f t="shared" si="239"/>
        <v>0</v>
      </c>
      <c r="EE493" s="106">
        <f t="shared" si="232"/>
        <v>0</v>
      </c>
      <c r="EF493" s="106">
        <f t="shared" si="232"/>
        <v>0</v>
      </c>
      <c r="EG493" s="106">
        <f t="shared" si="232"/>
        <v>8415</v>
      </c>
      <c r="EH493" s="106">
        <f t="shared" ref="EH493:EJ493" si="240">+SUM(EH415:EH426)</f>
        <v>0</v>
      </c>
      <c r="EI493" s="106">
        <f t="shared" si="240"/>
        <v>0</v>
      </c>
      <c r="EJ493" s="106">
        <f t="shared" si="240"/>
        <v>1039</v>
      </c>
      <c r="EK493" s="106">
        <f t="shared" si="232"/>
        <v>0</v>
      </c>
      <c r="EL493" s="106">
        <f t="shared" si="232"/>
        <v>0</v>
      </c>
      <c r="EM493" s="106">
        <f t="shared" si="232"/>
        <v>8912</v>
      </c>
      <c r="EN493" s="106">
        <f t="shared" ref="EN493:EP493" si="241">+SUM(EN415:EN426)</f>
        <v>0</v>
      </c>
      <c r="EO493" s="106">
        <f t="shared" si="241"/>
        <v>0</v>
      </c>
      <c r="EP493" s="106">
        <f t="shared" si="241"/>
        <v>702</v>
      </c>
      <c r="EQ493" s="106">
        <f t="shared" si="232"/>
        <v>0</v>
      </c>
      <c r="ER493" s="106">
        <f t="shared" si="232"/>
        <v>0</v>
      </c>
      <c r="ES493" s="106">
        <f t="shared" si="232"/>
        <v>154</v>
      </c>
      <c r="ET493" s="106">
        <f t="shared" ref="ET493:EV493" si="242">+SUM(ET415:ET426)</f>
        <v>0</v>
      </c>
      <c r="EU493" s="106">
        <f t="shared" si="242"/>
        <v>0</v>
      </c>
      <c r="EV493" s="106">
        <f t="shared" si="242"/>
        <v>210</v>
      </c>
      <c r="EW493" s="106">
        <f t="shared" si="232"/>
        <v>0</v>
      </c>
      <c r="EX493" s="106">
        <f t="shared" si="232"/>
        <v>0</v>
      </c>
      <c r="EY493" s="106">
        <f t="shared" si="232"/>
        <v>108</v>
      </c>
      <c r="EZ493" s="106">
        <f t="shared" ref="EZ493:FH493" si="243">+SUM(EZ415:EZ426)</f>
        <v>0</v>
      </c>
      <c r="FA493" s="106">
        <f t="shared" si="243"/>
        <v>0</v>
      </c>
      <c r="FB493" s="106">
        <f t="shared" si="243"/>
        <v>1</v>
      </c>
      <c r="FC493" s="106">
        <f t="shared" si="243"/>
        <v>0</v>
      </c>
      <c r="FD493" s="106">
        <f t="shared" si="243"/>
        <v>0</v>
      </c>
      <c r="FE493" s="106">
        <f t="shared" si="243"/>
        <v>45</v>
      </c>
      <c r="FF493" s="106">
        <f t="shared" si="243"/>
        <v>0</v>
      </c>
      <c r="FG493" s="106">
        <f t="shared" si="243"/>
        <v>0</v>
      </c>
      <c r="FH493" s="106">
        <f t="shared" si="243"/>
        <v>0</v>
      </c>
      <c r="FI493" s="106">
        <f t="shared" si="232"/>
        <v>0</v>
      </c>
      <c r="FJ493" s="106">
        <f t="shared" si="232"/>
        <v>0</v>
      </c>
      <c r="FK493" s="106">
        <f t="shared" si="232"/>
        <v>2521</v>
      </c>
      <c r="FL493" s="106">
        <f t="shared" si="232"/>
        <v>0</v>
      </c>
      <c r="FM493" s="106">
        <f t="shared" si="232"/>
        <v>0</v>
      </c>
      <c r="FN493" s="106">
        <f t="shared" si="232"/>
        <v>36228</v>
      </c>
      <c r="FO493" s="106">
        <f t="shared" si="232"/>
        <v>0</v>
      </c>
      <c r="FP493" s="106">
        <f t="shared" si="232"/>
        <v>0</v>
      </c>
      <c r="FQ493" s="106">
        <f t="shared" si="232"/>
        <v>3992</v>
      </c>
      <c r="FR493" s="106">
        <f t="shared" si="232"/>
        <v>0</v>
      </c>
      <c r="FS493" s="106">
        <f t="shared" si="232"/>
        <v>0</v>
      </c>
      <c r="FT493" s="106">
        <f t="shared" si="232"/>
        <v>0</v>
      </c>
      <c r="FU493" s="106">
        <f t="shared" si="232"/>
        <v>0</v>
      </c>
      <c r="FV493" s="106">
        <f t="shared" si="232"/>
        <v>0</v>
      </c>
      <c r="FW493" s="106">
        <f t="shared" si="232"/>
        <v>2009</v>
      </c>
      <c r="FX493" s="106">
        <f t="shared" ref="FX493:FZ493" si="244">+SUM(FX415:FX426)</f>
        <v>0</v>
      </c>
      <c r="FY493" s="106">
        <f t="shared" si="244"/>
        <v>0</v>
      </c>
      <c r="FZ493" s="106">
        <f t="shared" si="244"/>
        <v>22593</v>
      </c>
    </row>
    <row r="494" spans="2:182 16381:16381" s="105" customFormat="1" x14ac:dyDescent="0.2">
      <c r="I494" s="107"/>
      <c r="J494" s="107"/>
      <c r="K494" s="107"/>
      <c r="T494" s="107"/>
      <c r="AG494" s="107"/>
      <c r="AH494" s="107"/>
      <c r="AI494" s="107"/>
    </row>
    <row r="495" spans="2:182 16381:16381" s="105" customFormat="1" x14ac:dyDescent="0.2">
      <c r="B495" s="105">
        <v>2022</v>
      </c>
      <c r="C495" s="106">
        <f t="shared" ref="C495:E495" si="245">+SUM(C427:C438)</f>
        <v>306383.45999999996</v>
      </c>
      <c r="D495" s="106">
        <f t="shared" si="245"/>
        <v>3888245.35</v>
      </c>
      <c r="E495" s="106">
        <f t="shared" si="245"/>
        <v>4194628.8100000005</v>
      </c>
      <c r="F495" s="106">
        <f t="shared" ref="F495:AH495" si="246">+SUM(F427:F438)</f>
        <v>64020988.219999999</v>
      </c>
      <c r="G495" s="106">
        <f t="shared" si="246"/>
        <v>37160516.420000002</v>
      </c>
      <c r="H495" s="106">
        <f t="shared" si="246"/>
        <v>101181504.63999999</v>
      </c>
      <c r="I495" s="106">
        <f t="shared" si="246"/>
        <v>0</v>
      </c>
      <c r="J495" s="106">
        <f t="shared" si="246"/>
        <v>0</v>
      </c>
      <c r="K495" s="106">
        <f t="shared" si="246"/>
        <v>207628323.02000004</v>
      </c>
      <c r="L495" s="106">
        <f t="shared" si="246"/>
        <v>0</v>
      </c>
      <c r="M495" s="106">
        <f t="shared" si="246"/>
        <v>0</v>
      </c>
      <c r="N495" s="106">
        <f t="shared" si="246"/>
        <v>298825244.85000008</v>
      </c>
      <c r="O495" s="106">
        <f t="shared" si="246"/>
        <v>0</v>
      </c>
      <c r="P495" s="106">
        <f t="shared" si="246"/>
        <v>0</v>
      </c>
      <c r="Q495" s="106">
        <f t="shared" si="246"/>
        <v>332716083.65000004</v>
      </c>
      <c r="R495" s="106">
        <f t="shared" si="246"/>
        <v>0</v>
      </c>
      <c r="S495" s="106">
        <f t="shared" si="246"/>
        <v>0</v>
      </c>
      <c r="T495" s="106">
        <f t="shared" si="246"/>
        <v>2111355.4700000002</v>
      </c>
      <c r="U495" s="106">
        <f t="shared" si="246"/>
        <v>61097.57</v>
      </c>
      <c r="V495" s="106">
        <f t="shared" si="246"/>
        <v>82649.33</v>
      </c>
      <c r="W495" s="106">
        <f t="shared" si="246"/>
        <v>143746.9</v>
      </c>
      <c r="X495" s="106">
        <f t="shared" si="246"/>
        <v>475608.64</v>
      </c>
      <c r="Y495" s="106">
        <f t="shared" si="246"/>
        <v>95897.36</v>
      </c>
      <c r="Z495" s="106">
        <f t="shared" si="246"/>
        <v>571506</v>
      </c>
      <c r="AA495" s="106">
        <f t="shared" si="246"/>
        <v>1049046.42</v>
      </c>
      <c r="AB495" s="106">
        <f t="shared" si="246"/>
        <v>1408065.2699999998</v>
      </c>
      <c r="AC495" s="106">
        <f t="shared" si="246"/>
        <v>2457111.69</v>
      </c>
      <c r="AD495" s="106">
        <f t="shared" si="246"/>
        <v>29357.39</v>
      </c>
      <c r="AE495" s="106">
        <f t="shared" si="246"/>
        <v>219718.06999999998</v>
      </c>
      <c r="AF495" s="106">
        <f t="shared" si="246"/>
        <v>249075.46000000002</v>
      </c>
      <c r="AG495" s="106">
        <f t="shared" si="246"/>
        <v>103601.84</v>
      </c>
      <c r="AH495" s="106">
        <f t="shared" si="246"/>
        <v>1186850.8600000001</v>
      </c>
      <c r="AI495" s="106">
        <f t="shared" ref="AI495:BQ495" si="247">+SUM(AI427:AI438)</f>
        <v>1290452.7</v>
      </c>
      <c r="AJ495" s="106">
        <f t="shared" si="247"/>
        <v>0</v>
      </c>
      <c r="AK495" s="106">
        <f t="shared" si="247"/>
        <v>0</v>
      </c>
      <c r="AL495" s="106">
        <f t="shared" si="247"/>
        <v>419164.58</v>
      </c>
      <c r="AM495" s="106">
        <f t="shared" si="247"/>
        <v>12822.72</v>
      </c>
      <c r="AN495" s="106">
        <f t="shared" si="247"/>
        <v>110555.69999999998</v>
      </c>
      <c r="AO495" s="106">
        <f t="shared" si="247"/>
        <v>123378.41999999998</v>
      </c>
      <c r="AP495" s="106">
        <f t="shared" si="247"/>
        <v>0</v>
      </c>
      <c r="AQ495" s="106">
        <f t="shared" si="247"/>
        <v>0</v>
      </c>
      <c r="AR495" s="106">
        <f t="shared" si="247"/>
        <v>3699818.1599999992</v>
      </c>
      <c r="AS495" s="106">
        <f t="shared" si="247"/>
        <v>0</v>
      </c>
      <c r="AT495" s="106">
        <f t="shared" si="247"/>
        <v>0</v>
      </c>
      <c r="AU495" s="106">
        <f t="shared" si="247"/>
        <v>18137292.370000001</v>
      </c>
      <c r="AV495" s="106">
        <f t="shared" si="247"/>
        <v>0</v>
      </c>
      <c r="AW495" s="106">
        <f t="shared" si="247"/>
        <v>0</v>
      </c>
      <c r="AX495" s="106">
        <f t="shared" si="247"/>
        <v>545820.71000000008</v>
      </c>
      <c r="AY495" s="106">
        <f t="shared" si="247"/>
        <v>74072204.299999997</v>
      </c>
      <c r="AZ495" s="106">
        <f t="shared" si="247"/>
        <v>13879037</v>
      </c>
      <c r="BA495" s="106">
        <f t="shared" si="247"/>
        <v>87951241.299999997</v>
      </c>
      <c r="BB495" s="106">
        <f t="shared" si="247"/>
        <v>0</v>
      </c>
      <c r="BC495" s="106">
        <f t="shared" si="247"/>
        <v>0</v>
      </c>
      <c r="BD495" s="106">
        <f t="shared" si="247"/>
        <v>18625104.422222223</v>
      </c>
      <c r="BE495" s="106">
        <f t="shared" si="247"/>
        <v>0</v>
      </c>
      <c r="BF495" s="106">
        <f t="shared" si="247"/>
        <v>0</v>
      </c>
      <c r="BG495" s="106">
        <f t="shared" si="247"/>
        <v>1136</v>
      </c>
      <c r="BH495" s="106">
        <f t="shared" ref="BH495:BJ495" si="248">+SUM(BH427:BH438)</f>
        <v>0</v>
      </c>
      <c r="BI495" s="106">
        <f t="shared" si="248"/>
        <v>0</v>
      </c>
      <c r="BJ495" s="106">
        <f t="shared" si="248"/>
        <v>41</v>
      </c>
      <c r="BK495" s="106">
        <f t="shared" si="247"/>
        <v>0</v>
      </c>
      <c r="BL495" s="106">
        <f t="shared" si="247"/>
        <v>0</v>
      </c>
      <c r="BM495" s="106">
        <f t="shared" si="247"/>
        <v>2655</v>
      </c>
      <c r="BN495" s="106">
        <f t="shared" ref="BN495:BP495" si="249">+SUM(BN427:BN438)</f>
        <v>0</v>
      </c>
      <c r="BO495" s="106">
        <f t="shared" si="249"/>
        <v>0</v>
      </c>
      <c r="BP495" s="106">
        <f t="shared" si="249"/>
        <v>2</v>
      </c>
      <c r="BQ495" s="106">
        <f t="shared" si="247"/>
        <v>0</v>
      </c>
      <c r="BR495" s="106">
        <f t="shared" ref="BR495:DR495" si="250">+SUM(BR427:BR438)</f>
        <v>0</v>
      </c>
      <c r="BS495" s="106">
        <f t="shared" si="250"/>
        <v>4252</v>
      </c>
      <c r="BT495" s="106">
        <f t="shared" ref="BT495:BV495" si="251">+SUM(BT427:BT438)</f>
        <v>0</v>
      </c>
      <c r="BU495" s="106">
        <f t="shared" si="251"/>
        <v>0</v>
      </c>
      <c r="BV495" s="106">
        <f t="shared" si="251"/>
        <v>1</v>
      </c>
      <c r="BW495" s="106"/>
      <c r="BX495" s="106"/>
      <c r="BY495" s="106"/>
      <c r="BZ495" s="106">
        <f t="shared" si="250"/>
        <v>0</v>
      </c>
      <c r="CA495" s="106">
        <f t="shared" si="250"/>
        <v>0</v>
      </c>
      <c r="CB495" s="106">
        <f t="shared" si="250"/>
        <v>3860</v>
      </c>
      <c r="CC495" s="106"/>
      <c r="CD495" s="106"/>
      <c r="CE495" s="106"/>
      <c r="CF495" s="106">
        <f t="shared" si="250"/>
        <v>0</v>
      </c>
      <c r="CG495" s="106">
        <f t="shared" si="250"/>
        <v>0</v>
      </c>
      <c r="CH495" s="106">
        <f t="shared" si="250"/>
        <v>30</v>
      </c>
      <c r="CI495" s="106">
        <f t="shared" si="250"/>
        <v>0</v>
      </c>
      <c r="CJ495" s="106">
        <f t="shared" si="250"/>
        <v>0</v>
      </c>
      <c r="CK495" s="106">
        <f t="shared" si="250"/>
        <v>259</v>
      </c>
      <c r="CL495" s="106">
        <f t="shared" ref="CL495:CN495" si="252">+SUM(CL427:CL438)</f>
        <v>0</v>
      </c>
      <c r="CM495" s="106">
        <f t="shared" si="252"/>
        <v>0</v>
      </c>
      <c r="CN495" s="106">
        <f t="shared" si="252"/>
        <v>11</v>
      </c>
      <c r="CO495" s="106">
        <f t="shared" si="250"/>
        <v>0</v>
      </c>
      <c r="CP495" s="106">
        <f t="shared" si="250"/>
        <v>0</v>
      </c>
      <c r="CQ495" s="106">
        <f t="shared" si="250"/>
        <v>302</v>
      </c>
      <c r="CR495" s="106">
        <f t="shared" ref="CR495:CT495" si="253">+SUM(CR427:CR438)</f>
        <v>0</v>
      </c>
      <c r="CS495" s="106">
        <f t="shared" si="253"/>
        <v>0</v>
      </c>
      <c r="CT495" s="106">
        <f t="shared" si="253"/>
        <v>2</v>
      </c>
      <c r="CU495" s="106">
        <f t="shared" si="250"/>
        <v>0</v>
      </c>
      <c r="CV495" s="106">
        <f t="shared" si="250"/>
        <v>0</v>
      </c>
      <c r="CW495" s="106">
        <f t="shared" si="250"/>
        <v>2731</v>
      </c>
      <c r="CX495" s="106">
        <f t="shared" ref="CX495:CZ495" si="254">+SUM(CX427:CX438)</f>
        <v>0</v>
      </c>
      <c r="CY495" s="106">
        <f t="shared" si="254"/>
        <v>0</v>
      </c>
      <c r="CZ495" s="106">
        <f t="shared" si="254"/>
        <v>12</v>
      </c>
      <c r="DA495" s="106">
        <f t="shared" si="250"/>
        <v>0</v>
      </c>
      <c r="DB495" s="106">
        <f t="shared" si="250"/>
        <v>0</v>
      </c>
      <c r="DC495" s="106">
        <f t="shared" si="250"/>
        <v>2</v>
      </c>
      <c r="DD495" s="106">
        <f t="shared" ref="DD495:DF495" si="255">+SUM(DD427:DD438)</f>
        <v>0</v>
      </c>
      <c r="DE495" s="106">
        <f t="shared" si="255"/>
        <v>0</v>
      </c>
      <c r="DF495" s="106">
        <f t="shared" si="255"/>
        <v>0</v>
      </c>
      <c r="DG495" s="106">
        <f t="shared" si="250"/>
        <v>0</v>
      </c>
      <c r="DH495" s="106">
        <f t="shared" si="250"/>
        <v>0</v>
      </c>
      <c r="DI495" s="106">
        <f t="shared" si="250"/>
        <v>53</v>
      </c>
      <c r="DJ495" s="106">
        <f t="shared" ref="DJ495:DL495" si="256">+SUM(DJ427:DJ438)</f>
        <v>0</v>
      </c>
      <c r="DK495" s="106">
        <f t="shared" si="256"/>
        <v>0</v>
      </c>
      <c r="DL495" s="106">
        <f t="shared" si="256"/>
        <v>0</v>
      </c>
      <c r="DM495" s="106">
        <f t="shared" si="250"/>
        <v>0</v>
      </c>
      <c r="DN495" s="106">
        <f t="shared" si="250"/>
        <v>0</v>
      </c>
      <c r="DO495" s="106">
        <f t="shared" si="250"/>
        <v>0</v>
      </c>
      <c r="DP495" s="106">
        <f t="shared" si="250"/>
        <v>0</v>
      </c>
      <c r="DQ495" s="106">
        <f t="shared" si="250"/>
        <v>0</v>
      </c>
      <c r="DR495" s="106">
        <f t="shared" si="250"/>
        <v>182</v>
      </c>
      <c r="DS495" s="106">
        <f t="shared" ref="DS495:DX495" si="257">+SUM(DS427:DS438)</f>
        <v>0</v>
      </c>
      <c r="DT495" s="106">
        <f t="shared" si="257"/>
        <v>0</v>
      </c>
      <c r="DU495" s="106">
        <f t="shared" si="257"/>
        <v>1548</v>
      </c>
      <c r="DV495" s="106">
        <f t="shared" si="257"/>
        <v>0</v>
      </c>
      <c r="DW495" s="106">
        <f t="shared" si="257"/>
        <v>0</v>
      </c>
      <c r="DX495" s="106">
        <f t="shared" si="257"/>
        <v>0</v>
      </c>
      <c r="DY495" s="106">
        <f t="shared" ref="DY495:FW495" si="258">+SUM(DY427:DY438)</f>
        <v>0</v>
      </c>
      <c r="DZ495" s="106">
        <f t="shared" si="258"/>
        <v>0</v>
      </c>
      <c r="EA495" s="106">
        <f t="shared" si="258"/>
        <v>15105</v>
      </c>
      <c r="EB495" s="106">
        <f t="shared" ref="EB495:ED495" si="259">+SUM(EB427:EB438)</f>
        <v>0</v>
      </c>
      <c r="EC495" s="106">
        <f t="shared" si="259"/>
        <v>0</v>
      </c>
      <c r="ED495" s="106">
        <f t="shared" si="259"/>
        <v>0</v>
      </c>
      <c r="EE495" s="106">
        <f t="shared" si="258"/>
        <v>0</v>
      </c>
      <c r="EF495" s="106">
        <f t="shared" si="258"/>
        <v>0</v>
      </c>
      <c r="EG495" s="106">
        <f t="shared" si="258"/>
        <v>9950</v>
      </c>
      <c r="EH495" s="106">
        <f t="shared" ref="EH495:EJ495" si="260">+SUM(EH427:EH438)</f>
        <v>0</v>
      </c>
      <c r="EI495" s="106">
        <f t="shared" si="260"/>
        <v>0</v>
      </c>
      <c r="EJ495" s="106">
        <f t="shared" si="260"/>
        <v>830</v>
      </c>
      <c r="EK495" s="106">
        <f t="shared" si="258"/>
        <v>0</v>
      </c>
      <c r="EL495" s="106">
        <f t="shared" si="258"/>
        <v>0</v>
      </c>
      <c r="EM495" s="106">
        <f t="shared" si="258"/>
        <v>6949</v>
      </c>
      <c r="EN495" s="106">
        <f t="shared" ref="EN495:EP495" si="261">+SUM(EN427:EN438)</f>
        <v>0</v>
      </c>
      <c r="EO495" s="106">
        <f t="shared" si="261"/>
        <v>0</v>
      </c>
      <c r="EP495" s="106">
        <f t="shared" si="261"/>
        <v>1449</v>
      </c>
      <c r="EQ495" s="106">
        <f t="shared" si="258"/>
        <v>0</v>
      </c>
      <c r="ER495" s="106">
        <f t="shared" si="258"/>
        <v>0</v>
      </c>
      <c r="ES495" s="106">
        <f t="shared" si="258"/>
        <v>107</v>
      </c>
      <c r="ET495" s="106">
        <f t="shared" ref="ET495:EV495" si="262">+SUM(ET427:ET438)</f>
        <v>0</v>
      </c>
      <c r="EU495" s="106">
        <f t="shared" si="262"/>
        <v>0</v>
      </c>
      <c r="EV495" s="106">
        <f t="shared" si="262"/>
        <v>160</v>
      </c>
      <c r="EW495" s="106">
        <f t="shared" si="258"/>
        <v>0</v>
      </c>
      <c r="EX495" s="106">
        <f t="shared" si="258"/>
        <v>0</v>
      </c>
      <c r="EY495" s="106">
        <f t="shared" si="258"/>
        <v>75</v>
      </c>
      <c r="EZ495" s="106">
        <f t="shared" ref="EZ495:FH495" si="263">+SUM(EZ427:EZ438)</f>
        <v>0</v>
      </c>
      <c r="FA495" s="106">
        <f t="shared" si="263"/>
        <v>0</v>
      </c>
      <c r="FB495" s="106">
        <f t="shared" si="263"/>
        <v>10</v>
      </c>
      <c r="FC495" s="106">
        <f t="shared" si="263"/>
        <v>0</v>
      </c>
      <c r="FD495" s="106">
        <f t="shared" si="263"/>
        <v>0</v>
      </c>
      <c r="FE495" s="106">
        <f t="shared" si="263"/>
        <v>52</v>
      </c>
      <c r="FF495" s="106">
        <f t="shared" si="263"/>
        <v>0</v>
      </c>
      <c r="FG495" s="106">
        <f t="shared" si="263"/>
        <v>0</v>
      </c>
      <c r="FH495" s="106">
        <f t="shared" si="263"/>
        <v>0</v>
      </c>
      <c r="FI495" s="106">
        <f t="shared" si="258"/>
        <v>0</v>
      </c>
      <c r="FJ495" s="106">
        <f t="shared" si="258"/>
        <v>0</v>
      </c>
      <c r="FK495" s="106">
        <f t="shared" si="258"/>
        <v>494</v>
      </c>
      <c r="FL495" s="106">
        <f t="shared" si="258"/>
        <v>0</v>
      </c>
      <c r="FM495" s="106">
        <f t="shared" si="258"/>
        <v>0</v>
      </c>
      <c r="FN495" s="106">
        <f t="shared" si="258"/>
        <v>38425</v>
      </c>
      <c r="FO495" s="106">
        <f t="shared" si="258"/>
        <v>0</v>
      </c>
      <c r="FP495" s="106">
        <f t="shared" si="258"/>
        <v>0</v>
      </c>
      <c r="FQ495" s="106">
        <f t="shared" si="258"/>
        <v>6317</v>
      </c>
      <c r="FR495" s="106">
        <f t="shared" si="258"/>
        <v>0</v>
      </c>
      <c r="FS495" s="106">
        <f t="shared" si="258"/>
        <v>0</v>
      </c>
      <c r="FT495" s="106">
        <f t="shared" si="258"/>
        <v>2</v>
      </c>
      <c r="FU495" s="106">
        <f t="shared" si="258"/>
        <v>0</v>
      </c>
      <c r="FV495" s="106">
        <f t="shared" si="258"/>
        <v>0</v>
      </c>
      <c r="FW495" s="106">
        <f t="shared" si="258"/>
        <v>2158</v>
      </c>
      <c r="FX495" s="106">
        <f t="shared" ref="FX495:FZ495" si="264">+SUM(FX427:FX438)</f>
        <v>0</v>
      </c>
      <c r="FY495" s="106">
        <f t="shared" si="264"/>
        <v>0</v>
      </c>
      <c r="FZ495" s="106">
        <f t="shared" si="264"/>
        <v>4997</v>
      </c>
      <c r="XFA495" s="106">
        <f>+SUM(XFA427:XFD438)</f>
        <v>0</v>
      </c>
    </row>
    <row r="496" spans="2:182 16381:16381" s="105" customFormat="1" x14ac:dyDescent="0.2">
      <c r="C496" s="106"/>
      <c r="D496" s="106"/>
      <c r="E496" s="106"/>
      <c r="F496" s="106"/>
      <c r="G496" s="106"/>
      <c r="H496" s="106"/>
      <c r="I496" s="106"/>
      <c r="J496" s="106"/>
      <c r="K496" s="106"/>
      <c r="L496" s="106"/>
      <c r="M496" s="106"/>
      <c r="N496" s="106"/>
      <c r="O496" s="106"/>
      <c r="P496" s="106"/>
      <c r="Q496" s="106"/>
      <c r="R496" s="106"/>
      <c r="S496" s="106"/>
      <c r="T496" s="106"/>
      <c r="U496" s="106"/>
      <c r="V496" s="106"/>
      <c r="W496" s="106"/>
      <c r="X496" s="106"/>
      <c r="Y496" s="106"/>
      <c r="Z496" s="106"/>
      <c r="AA496" s="106"/>
      <c r="AB496" s="106"/>
      <c r="AC496" s="106"/>
      <c r="AD496" s="106"/>
      <c r="AE496" s="106"/>
      <c r="AF496" s="106"/>
      <c r="AG496" s="106"/>
      <c r="AH496" s="106"/>
      <c r="AI496" s="106"/>
      <c r="AJ496" s="106"/>
      <c r="AK496" s="106"/>
      <c r="AL496" s="106"/>
      <c r="AM496" s="106"/>
      <c r="AN496" s="106"/>
      <c r="AO496" s="106"/>
      <c r="AP496" s="106"/>
      <c r="AQ496" s="106"/>
      <c r="AR496" s="106"/>
      <c r="AS496" s="106"/>
      <c r="AT496" s="106"/>
      <c r="AU496" s="106"/>
      <c r="AV496" s="106"/>
      <c r="AW496" s="106"/>
      <c r="AX496" s="106"/>
      <c r="AY496" s="106"/>
      <c r="AZ496" s="106"/>
      <c r="BA496" s="106"/>
      <c r="BB496" s="106"/>
      <c r="BC496" s="106"/>
      <c r="BD496" s="106"/>
      <c r="BE496" s="106"/>
      <c r="BF496" s="106"/>
      <c r="BG496" s="106"/>
      <c r="BH496" s="106"/>
      <c r="BI496" s="106"/>
      <c r="BJ496" s="106"/>
      <c r="BK496" s="106"/>
      <c r="BL496" s="106"/>
      <c r="BM496" s="106"/>
      <c r="BN496" s="106"/>
      <c r="BO496" s="106"/>
      <c r="BP496" s="106"/>
      <c r="BQ496" s="106"/>
      <c r="BR496" s="106"/>
      <c r="BS496" s="106"/>
      <c r="BT496" s="106"/>
      <c r="BU496" s="106"/>
      <c r="BV496" s="106"/>
      <c r="BW496" s="106"/>
      <c r="BX496" s="106"/>
      <c r="BY496" s="106"/>
      <c r="BZ496" s="106"/>
      <c r="CA496" s="106"/>
      <c r="CB496" s="106"/>
      <c r="CC496" s="106"/>
      <c r="CD496" s="106"/>
      <c r="CE496" s="106"/>
      <c r="CF496" s="106"/>
      <c r="CG496" s="106"/>
      <c r="CH496" s="106"/>
      <c r="CI496" s="106"/>
      <c r="CJ496" s="106"/>
      <c r="CK496" s="106"/>
      <c r="CL496" s="106"/>
      <c r="CM496" s="106"/>
      <c r="CN496" s="106"/>
      <c r="CO496" s="106"/>
      <c r="CP496" s="106"/>
      <c r="CQ496" s="106"/>
      <c r="CR496" s="106"/>
      <c r="CS496" s="106"/>
      <c r="CT496" s="106"/>
      <c r="CU496" s="106"/>
      <c r="CV496" s="106"/>
      <c r="CW496" s="106"/>
      <c r="CX496" s="106"/>
      <c r="CY496" s="106"/>
      <c r="CZ496" s="106"/>
      <c r="DA496" s="106"/>
      <c r="DB496" s="106"/>
      <c r="DC496" s="106"/>
      <c r="DD496" s="106"/>
      <c r="DE496" s="106"/>
      <c r="DF496" s="106"/>
      <c r="DG496" s="106"/>
      <c r="DH496" s="106"/>
      <c r="DI496" s="106"/>
      <c r="DJ496" s="106"/>
      <c r="DK496" s="106"/>
      <c r="DL496" s="106"/>
      <c r="DM496" s="106"/>
      <c r="DN496" s="106"/>
      <c r="DO496" s="106"/>
      <c r="DP496" s="106"/>
      <c r="DQ496" s="106"/>
      <c r="DR496" s="106"/>
      <c r="DS496" s="106"/>
      <c r="DT496" s="106"/>
      <c r="DU496" s="106"/>
      <c r="DV496" s="106"/>
      <c r="DW496" s="106"/>
      <c r="DX496" s="106"/>
      <c r="DY496" s="106"/>
      <c r="DZ496" s="106"/>
      <c r="EA496" s="106"/>
      <c r="EB496" s="106"/>
      <c r="EC496" s="106"/>
      <c r="ED496" s="106"/>
      <c r="EE496" s="106"/>
      <c r="EF496" s="106"/>
      <c r="EG496" s="106"/>
      <c r="EH496" s="106"/>
      <c r="EI496" s="106"/>
      <c r="EJ496" s="106"/>
      <c r="EK496" s="106"/>
      <c r="EL496" s="106"/>
      <c r="EM496" s="106"/>
      <c r="EN496" s="106"/>
      <c r="EO496" s="106"/>
      <c r="EP496" s="106"/>
      <c r="EQ496" s="106"/>
      <c r="ER496" s="106"/>
      <c r="ES496" s="106"/>
      <c r="ET496" s="106"/>
      <c r="EU496" s="106"/>
      <c r="EV496" s="106"/>
      <c r="EW496" s="106"/>
      <c r="EX496" s="106"/>
      <c r="EY496" s="106"/>
      <c r="EZ496" s="106"/>
      <c r="FA496" s="106"/>
      <c r="FB496" s="106"/>
      <c r="FC496" s="106"/>
      <c r="FD496" s="106"/>
      <c r="FE496" s="106"/>
      <c r="FF496" s="106"/>
      <c r="FG496" s="106"/>
      <c r="FH496" s="106"/>
      <c r="FI496" s="106"/>
      <c r="FJ496" s="106"/>
      <c r="FK496" s="106"/>
      <c r="FL496" s="106"/>
      <c r="FM496" s="106"/>
      <c r="FN496" s="106"/>
      <c r="FO496" s="106"/>
      <c r="FP496" s="106"/>
      <c r="FQ496" s="106"/>
      <c r="FR496" s="106"/>
      <c r="FS496" s="106"/>
      <c r="FT496" s="106"/>
      <c r="FU496" s="106"/>
      <c r="FV496" s="106"/>
      <c r="FW496" s="106"/>
      <c r="FX496" s="106"/>
      <c r="FY496" s="106"/>
      <c r="FZ496" s="106"/>
      <c r="XFA496" s="106"/>
    </row>
    <row r="497" spans="2:182 16381:16381" s="105" customFormat="1" x14ac:dyDescent="0.2">
      <c r="B497" s="105">
        <v>2023</v>
      </c>
      <c r="C497" s="106">
        <f>+SUM(C439:C450)</f>
        <v>255073.6</v>
      </c>
      <c r="D497" s="106">
        <f t="shared" ref="D497:E497" si="265">+SUM(D439:D450)</f>
        <v>3383844.17</v>
      </c>
      <c r="E497" s="106">
        <f t="shared" si="265"/>
        <v>3638917.7699999996</v>
      </c>
      <c r="F497" s="106">
        <f t="shared" ref="F497:AK497" si="266">+SUM(F439:F450)</f>
        <v>57840607.159999996</v>
      </c>
      <c r="G497" s="106">
        <f t="shared" si="266"/>
        <v>40935932.530000001</v>
      </c>
      <c r="H497" s="106">
        <f t="shared" si="266"/>
        <v>98776539.689999998</v>
      </c>
      <c r="I497" s="106">
        <f t="shared" si="266"/>
        <v>0</v>
      </c>
      <c r="J497" s="106">
        <f t="shared" si="266"/>
        <v>0</v>
      </c>
      <c r="K497" s="106">
        <f t="shared" si="266"/>
        <v>189893112.09999999</v>
      </c>
      <c r="L497" s="106">
        <f t="shared" si="266"/>
        <v>0</v>
      </c>
      <c r="M497" s="106">
        <f t="shared" si="266"/>
        <v>0</v>
      </c>
      <c r="N497" s="106">
        <f t="shared" si="266"/>
        <v>301152943.36000001</v>
      </c>
      <c r="O497" s="106">
        <f t="shared" si="266"/>
        <v>0</v>
      </c>
      <c r="P497" s="106">
        <f t="shared" si="266"/>
        <v>0</v>
      </c>
      <c r="Q497" s="106">
        <f t="shared" si="266"/>
        <v>491767066.27000004</v>
      </c>
      <c r="R497" s="106">
        <f t="shared" si="266"/>
        <v>0</v>
      </c>
      <c r="S497" s="106">
        <f t="shared" si="266"/>
        <v>0</v>
      </c>
      <c r="T497" s="106">
        <f t="shared" si="266"/>
        <v>1928024.8599999999</v>
      </c>
      <c r="U497" s="106">
        <f t="shared" si="266"/>
        <v>64511.160000000011</v>
      </c>
      <c r="V497" s="106">
        <f t="shared" si="266"/>
        <v>78365.56</v>
      </c>
      <c r="W497" s="106">
        <f t="shared" si="266"/>
        <v>142876.72</v>
      </c>
      <c r="X497" s="106">
        <f t="shared" si="266"/>
        <v>385599.5</v>
      </c>
      <c r="Y497" s="106">
        <f t="shared" si="266"/>
        <v>117286.90999999999</v>
      </c>
      <c r="Z497" s="106">
        <f t="shared" si="266"/>
        <v>502886.41000000003</v>
      </c>
      <c r="AA497" s="106">
        <f t="shared" si="266"/>
        <v>575321.85</v>
      </c>
      <c r="AB497" s="106">
        <f t="shared" si="266"/>
        <v>1375095.4700000002</v>
      </c>
      <c r="AC497" s="106">
        <f t="shared" si="266"/>
        <v>1950417.3200000003</v>
      </c>
      <c r="AD497" s="106">
        <f t="shared" si="266"/>
        <v>25945.610000000004</v>
      </c>
      <c r="AE497" s="106">
        <f t="shared" si="266"/>
        <v>220086.15000000002</v>
      </c>
      <c r="AF497" s="106">
        <f t="shared" si="266"/>
        <v>246031.76</v>
      </c>
      <c r="AG497" s="106">
        <f t="shared" si="266"/>
        <v>96767.31</v>
      </c>
      <c r="AH497" s="106">
        <f t="shared" si="266"/>
        <v>1157144.49</v>
      </c>
      <c r="AI497" s="106">
        <f t="shared" si="266"/>
        <v>1253911.7999999998</v>
      </c>
      <c r="AJ497" s="106">
        <f t="shared" si="266"/>
        <v>0</v>
      </c>
      <c r="AK497" s="106">
        <f t="shared" si="266"/>
        <v>0</v>
      </c>
      <c r="AL497" s="106">
        <f t="shared" ref="AL497:BR497" si="267">+SUM(AL439:AL450)</f>
        <v>398612.38</v>
      </c>
      <c r="AM497" s="106">
        <f t="shared" si="267"/>
        <v>861287.74</v>
      </c>
      <c r="AN497" s="106">
        <f t="shared" si="267"/>
        <v>394966.08</v>
      </c>
      <c r="AO497" s="106">
        <f t="shared" si="267"/>
        <v>1256253.8200000003</v>
      </c>
      <c r="AP497" s="106">
        <f t="shared" si="267"/>
        <v>0</v>
      </c>
      <c r="AQ497" s="106">
        <f t="shared" si="267"/>
        <v>0</v>
      </c>
      <c r="AR497" s="106">
        <f t="shared" si="267"/>
        <v>5680600.6500000004</v>
      </c>
      <c r="AS497" s="106">
        <f t="shared" si="267"/>
        <v>0</v>
      </c>
      <c r="AT497" s="106">
        <f t="shared" si="267"/>
        <v>0</v>
      </c>
      <c r="AU497" s="106">
        <f t="shared" si="267"/>
        <v>17642128.409999996</v>
      </c>
      <c r="AV497" s="106">
        <f t="shared" si="267"/>
        <v>0</v>
      </c>
      <c r="AW497" s="106">
        <f t="shared" si="267"/>
        <v>0</v>
      </c>
      <c r="AX497" s="106">
        <f t="shared" si="267"/>
        <v>640685.62000000011</v>
      </c>
      <c r="AY497" s="106">
        <f t="shared" si="267"/>
        <v>69300481.099999994</v>
      </c>
      <c r="AZ497" s="106">
        <f t="shared" si="267"/>
        <v>12024070</v>
      </c>
      <c r="BA497" s="106">
        <f t="shared" si="267"/>
        <v>81324551.099999994</v>
      </c>
      <c r="BB497" s="106">
        <f t="shared" si="267"/>
        <v>0</v>
      </c>
      <c r="BC497" s="106">
        <f t="shared" si="267"/>
        <v>0</v>
      </c>
      <c r="BD497" s="106">
        <f t="shared" si="267"/>
        <v>18042210.688888889</v>
      </c>
      <c r="BE497" s="106">
        <f t="shared" si="267"/>
        <v>0</v>
      </c>
      <c r="BF497" s="106">
        <f t="shared" si="267"/>
        <v>0</v>
      </c>
      <c r="BG497" s="106">
        <f t="shared" si="267"/>
        <v>904</v>
      </c>
      <c r="BH497" s="106">
        <f t="shared" ref="BH497:BJ497" si="268">+SUM(BH439:BH450)</f>
        <v>0</v>
      </c>
      <c r="BI497" s="106">
        <f t="shared" si="268"/>
        <v>0</v>
      </c>
      <c r="BJ497" s="106">
        <f t="shared" si="268"/>
        <v>23</v>
      </c>
      <c r="BK497" s="106">
        <f t="shared" si="267"/>
        <v>0</v>
      </c>
      <c r="BL497" s="106">
        <f t="shared" si="267"/>
        <v>0</v>
      </c>
      <c r="BM497" s="106">
        <f t="shared" si="267"/>
        <v>2805</v>
      </c>
      <c r="BN497" s="106">
        <f t="shared" ref="BN497:BP497" si="269">+SUM(BN439:BN450)</f>
        <v>0</v>
      </c>
      <c r="BO497" s="106">
        <f t="shared" si="269"/>
        <v>0</v>
      </c>
      <c r="BP497" s="106">
        <f t="shared" si="269"/>
        <v>3</v>
      </c>
      <c r="BQ497" s="106">
        <f t="shared" si="267"/>
        <v>0</v>
      </c>
      <c r="BR497" s="106">
        <f t="shared" si="267"/>
        <v>0</v>
      </c>
      <c r="BS497" s="106">
        <f t="shared" ref="BS497:FW497" si="270">+SUM(BS439:BS450)</f>
        <v>7974</v>
      </c>
      <c r="BT497" s="106">
        <f t="shared" ref="BT497:BY497" si="271">+SUM(BT439:BT450)</f>
        <v>0</v>
      </c>
      <c r="BU497" s="106">
        <f t="shared" si="271"/>
        <v>0</v>
      </c>
      <c r="BV497" s="106">
        <f t="shared" si="271"/>
        <v>0</v>
      </c>
      <c r="BW497" s="106">
        <f t="shared" si="271"/>
        <v>0</v>
      </c>
      <c r="BX497" s="106">
        <f t="shared" si="271"/>
        <v>0</v>
      </c>
      <c r="BY497" s="106">
        <f t="shared" si="271"/>
        <v>0</v>
      </c>
      <c r="BZ497" s="106">
        <f t="shared" si="270"/>
        <v>0</v>
      </c>
      <c r="CA497" s="106">
        <f t="shared" si="270"/>
        <v>0</v>
      </c>
      <c r="CB497" s="106">
        <f t="shared" si="270"/>
        <v>3634</v>
      </c>
      <c r="CC497" s="106">
        <f t="shared" si="270"/>
        <v>0</v>
      </c>
      <c r="CD497" s="106">
        <f t="shared" si="270"/>
        <v>0</v>
      </c>
      <c r="CE497" s="106">
        <f t="shared" si="270"/>
        <v>0</v>
      </c>
      <c r="CF497" s="106">
        <f t="shared" si="270"/>
        <v>0</v>
      </c>
      <c r="CG497" s="106">
        <f t="shared" si="270"/>
        <v>0</v>
      </c>
      <c r="CH497" s="106">
        <f t="shared" si="270"/>
        <v>24</v>
      </c>
      <c r="CI497" s="106">
        <f t="shared" si="270"/>
        <v>0</v>
      </c>
      <c r="CJ497" s="106">
        <f t="shared" si="270"/>
        <v>0</v>
      </c>
      <c r="CK497" s="106">
        <f t="shared" si="270"/>
        <v>375</v>
      </c>
      <c r="CL497" s="106">
        <f t="shared" ref="CL497:CN497" si="272">+SUM(CL439:CL450)</f>
        <v>0</v>
      </c>
      <c r="CM497" s="106">
        <f t="shared" si="272"/>
        <v>0</v>
      </c>
      <c r="CN497" s="106">
        <f t="shared" si="272"/>
        <v>4</v>
      </c>
      <c r="CO497" s="106">
        <f t="shared" si="270"/>
        <v>0</v>
      </c>
      <c r="CP497" s="106">
        <f t="shared" si="270"/>
        <v>0</v>
      </c>
      <c r="CQ497" s="106">
        <f t="shared" si="270"/>
        <v>186</v>
      </c>
      <c r="CR497" s="106">
        <f t="shared" ref="CR497:CT497" si="273">+SUM(CR439:CR450)</f>
        <v>0</v>
      </c>
      <c r="CS497" s="106">
        <f t="shared" si="273"/>
        <v>0</v>
      </c>
      <c r="CT497" s="106">
        <f t="shared" si="273"/>
        <v>2</v>
      </c>
      <c r="CU497" s="106">
        <f t="shared" si="270"/>
        <v>0</v>
      </c>
      <c r="CV497" s="106">
        <f t="shared" si="270"/>
        <v>0</v>
      </c>
      <c r="CW497" s="106">
        <f t="shared" si="270"/>
        <v>2813</v>
      </c>
      <c r="CX497" s="106">
        <f t="shared" ref="CX497:CZ497" si="274">+SUM(CX439:CX450)</f>
        <v>0</v>
      </c>
      <c r="CY497" s="106">
        <f t="shared" si="274"/>
        <v>0</v>
      </c>
      <c r="CZ497" s="106">
        <f t="shared" si="274"/>
        <v>9</v>
      </c>
      <c r="DA497" s="106">
        <f t="shared" si="270"/>
        <v>0</v>
      </c>
      <c r="DB497" s="106">
        <f t="shared" si="270"/>
        <v>0</v>
      </c>
      <c r="DC497" s="106">
        <f t="shared" si="270"/>
        <v>1</v>
      </c>
      <c r="DD497" s="106">
        <f t="shared" ref="DD497:DF497" si="275">+SUM(DD439:DD450)</f>
        <v>0</v>
      </c>
      <c r="DE497" s="106">
        <f t="shared" si="275"/>
        <v>0</v>
      </c>
      <c r="DF497" s="106">
        <f t="shared" si="275"/>
        <v>0</v>
      </c>
      <c r="DG497" s="106">
        <f t="shared" si="270"/>
        <v>0</v>
      </c>
      <c r="DH497" s="106">
        <f t="shared" si="270"/>
        <v>0</v>
      </c>
      <c r="DI497" s="106">
        <f t="shared" si="270"/>
        <v>75</v>
      </c>
      <c r="DJ497" s="106">
        <f t="shared" ref="DJ497:DL497" si="276">+SUM(DJ439:DJ450)</f>
        <v>0</v>
      </c>
      <c r="DK497" s="106">
        <f t="shared" si="276"/>
        <v>0</v>
      </c>
      <c r="DL497" s="106">
        <f t="shared" si="276"/>
        <v>0</v>
      </c>
      <c r="DM497" s="106">
        <f t="shared" si="270"/>
        <v>0</v>
      </c>
      <c r="DN497" s="106">
        <f t="shared" si="270"/>
        <v>0</v>
      </c>
      <c r="DO497" s="106">
        <f t="shared" si="270"/>
        <v>0</v>
      </c>
      <c r="DP497" s="106">
        <f t="shared" si="270"/>
        <v>0</v>
      </c>
      <c r="DQ497" s="106">
        <f t="shared" si="270"/>
        <v>0</v>
      </c>
      <c r="DR497" s="106">
        <f t="shared" si="270"/>
        <v>350</v>
      </c>
      <c r="DS497" s="106">
        <f t="shared" ref="DS497:DX497" si="277">+SUM(DS439:DS450)</f>
        <v>0</v>
      </c>
      <c r="DT497" s="106">
        <f t="shared" si="277"/>
        <v>0</v>
      </c>
      <c r="DU497" s="106">
        <f t="shared" si="277"/>
        <v>784</v>
      </c>
      <c r="DV497" s="106">
        <f t="shared" si="277"/>
        <v>0</v>
      </c>
      <c r="DW497" s="106">
        <f t="shared" si="277"/>
        <v>0</v>
      </c>
      <c r="DX497" s="106">
        <f t="shared" si="277"/>
        <v>0</v>
      </c>
      <c r="DY497" s="106">
        <f t="shared" si="270"/>
        <v>0</v>
      </c>
      <c r="DZ497" s="106">
        <f t="shared" si="270"/>
        <v>0</v>
      </c>
      <c r="EA497" s="106">
        <f t="shared" si="270"/>
        <v>16989</v>
      </c>
      <c r="EB497" s="106">
        <f t="shared" ref="EB497:ED497" si="278">+SUM(EB439:EB450)</f>
        <v>0</v>
      </c>
      <c r="EC497" s="106">
        <f t="shared" si="278"/>
        <v>0</v>
      </c>
      <c r="ED497" s="106">
        <f t="shared" si="278"/>
        <v>10</v>
      </c>
      <c r="EE497" s="106">
        <f t="shared" si="270"/>
        <v>0</v>
      </c>
      <c r="EF497" s="106">
        <f t="shared" si="270"/>
        <v>0</v>
      </c>
      <c r="EG497" s="106">
        <f t="shared" si="270"/>
        <v>9688</v>
      </c>
      <c r="EH497" s="106">
        <f t="shared" ref="EH497:EJ497" si="279">+SUM(EH439:EH450)</f>
        <v>0</v>
      </c>
      <c r="EI497" s="106">
        <f t="shared" si="279"/>
        <v>0</v>
      </c>
      <c r="EJ497" s="106">
        <f t="shared" si="279"/>
        <v>1151</v>
      </c>
      <c r="EK497" s="106">
        <f t="shared" si="270"/>
        <v>0</v>
      </c>
      <c r="EL497" s="106">
        <f t="shared" si="270"/>
        <v>0</v>
      </c>
      <c r="EM497" s="106">
        <f t="shared" si="270"/>
        <v>5275</v>
      </c>
      <c r="EN497" s="106">
        <f t="shared" ref="EN497:EP497" si="280">+SUM(EN439:EN450)</f>
        <v>0</v>
      </c>
      <c r="EO497" s="106">
        <f t="shared" si="280"/>
        <v>0</v>
      </c>
      <c r="EP497" s="106">
        <f t="shared" si="280"/>
        <v>1833</v>
      </c>
      <c r="EQ497" s="106">
        <f t="shared" si="270"/>
        <v>0</v>
      </c>
      <c r="ER497" s="106">
        <f t="shared" si="270"/>
        <v>0</v>
      </c>
      <c r="ES497" s="106">
        <f t="shared" si="270"/>
        <v>174</v>
      </c>
      <c r="ET497" s="106">
        <f t="shared" ref="ET497:EV497" si="281">+SUM(ET439:ET450)</f>
        <v>0</v>
      </c>
      <c r="EU497" s="106">
        <f t="shared" si="281"/>
        <v>0</v>
      </c>
      <c r="EV497" s="106">
        <f t="shared" si="281"/>
        <v>213</v>
      </c>
      <c r="EW497" s="106">
        <f t="shared" si="270"/>
        <v>0</v>
      </c>
      <c r="EX497" s="106">
        <f t="shared" si="270"/>
        <v>0</v>
      </c>
      <c r="EY497" s="106">
        <f t="shared" si="270"/>
        <v>49</v>
      </c>
      <c r="EZ497" s="106">
        <f t="shared" ref="EZ497:FH497" si="282">+SUM(EZ439:EZ450)</f>
        <v>0</v>
      </c>
      <c r="FA497" s="106">
        <f t="shared" si="282"/>
        <v>0</v>
      </c>
      <c r="FB497" s="106">
        <f t="shared" si="282"/>
        <v>20</v>
      </c>
      <c r="FC497" s="106">
        <f t="shared" si="282"/>
        <v>0</v>
      </c>
      <c r="FD497" s="106">
        <f t="shared" si="282"/>
        <v>0</v>
      </c>
      <c r="FE497" s="106">
        <f t="shared" si="282"/>
        <v>39</v>
      </c>
      <c r="FF497" s="106">
        <f t="shared" si="282"/>
        <v>0</v>
      </c>
      <c r="FG497" s="106">
        <f t="shared" si="282"/>
        <v>0</v>
      </c>
      <c r="FH497" s="106">
        <f t="shared" si="282"/>
        <v>0</v>
      </c>
      <c r="FI497" s="106">
        <f t="shared" si="270"/>
        <v>0</v>
      </c>
      <c r="FJ497" s="106">
        <f t="shared" si="270"/>
        <v>0</v>
      </c>
      <c r="FK497" s="106">
        <f t="shared" si="270"/>
        <v>246</v>
      </c>
      <c r="FL497" s="106">
        <f t="shared" si="270"/>
        <v>0</v>
      </c>
      <c r="FM497" s="106">
        <f t="shared" si="270"/>
        <v>0</v>
      </c>
      <c r="FN497" s="106">
        <f t="shared" si="270"/>
        <v>47050</v>
      </c>
      <c r="FO497" s="106">
        <f t="shared" si="270"/>
        <v>0</v>
      </c>
      <c r="FP497" s="106">
        <f t="shared" si="270"/>
        <v>0</v>
      </c>
      <c r="FQ497" s="106">
        <f t="shared" si="270"/>
        <v>8234</v>
      </c>
      <c r="FR497" s="106">
        <f t="shared" si="270"/>
        <v>0</v>
      </c>
      <c r="FS497" s="106">
        <f t="shared" si="270"/>
        <v>0</v>
      </c>
      <c r="FT497" s="106">
        <f t="shared" si="270"/>
        <v>0</v>
      </c>
      <c r="FU497" s="106">
        <f t="shared" si="270"/>
        <v>0</v>
      </c>
      <c r="FV497" s="106">
        <f t="shared" si="270"/>
        <v>0</v>
      </c>
      <c r="FW497" s="106">
        <f t="shared" si="270"/>
        <v>1794</v>
      </c>
      <c r="FX497" s="106">
        <f t="shared" ref="FX497:FZ497" si="283">+SUM(FX439:FX450)</f>
        <v>0</v>
      </c>
      <c r="FY497" s="106">
        <f t="shared" si="283"/>
        <v>0</v>
      </c>
      <c r="FZ497" s="106">
        <f t="shared" si="283"/>
        <v>1151</v>
      </c>
      <c r="XFA497" s="106"/>
    </row>
    <row r="498" spans="2:182 16381:16381" x14ac:dyDescent="0.2">
      <c r="B498" s="105">
        <v>2024</v>
      </c>
      <c r="C498" s="106">
        <f t="shared" ref="C498:AB498" si="284">+SUM(C451:C462)</f>
        <v>256244.15999999997</v>
      </c>
      <c r="D498" s="106">
        <f t="shared" si="284"/>
        <v>3028084.9499999993</v>
      </c>
      <c r="E498" s="106">
        <f t="shared" si="284"/>
        <v>3284329.11</v>
      </c>
      <c r="F498" s="106">
        <f t="shared" si="284"/>
        <v>50770074.81000001</v>
      </c>
      <c r="G498" s="106">
        <f t="shared" si="284"/>
        <v>47527860.160000011</v>
      </c>
      <c r="H498" s="106">
        <f t="shared" si="284"/>
        <v>98297934.969999999</v>
      </c>
      <c r="I498" s="106">
        <f t="shared" si="284"/>
        <v>0</v>
      </c>
      <c r="J498" s="106">
        <f t="shared" si="284"/>
        <v>0</v>
      </c>
      <c r="K498" s="106">
        <f t="shared" si="284"/>
        <v>186654295.11999997</v>
      </c>
      <c r="L498" s="106">
        <f t="shared" si="284"/>
        <v>0</v>
      </c>
      <c r="M498" s="106">
        <f t="shared" si="284"/>
        <v>0</v>
      </c>
      <c r="N498" s="106">
        <f t="shared" si="284"/>
        <v>305870654.89000005</v>
      </c>
      <c r="O498" s="106">
        <f t="shared" si="284"/>
        <v>0</v>
      </c>
      <c r="P498" s="106">
        <f t="shared" si="284"/>
        <v>0</v>
      </c>
      <c r="Q498" s="106">
        <f t="shared" si="284"/>
        <v>391888827.35000002</v>
      </c>
      <c r="R498" s="106">
        <f t="shared" si="284"/>
        <v>0</v>
      </c>
      <c r="S498" s="106">
        <f t="shared" si="284"/>
        <v>0</v>
      </c>
      <c r="T498" s="106">
        <f t="shared" si="284"/>
        <v>2066386.31</v>
      </c>
      <c r="U498" s="106">
        <f t="shared" si="284"/>
        <v>61354.27</v>
      </c>
      <c r="V498" s="106">
        <f t="shared" si="284"/>
        <v>73466.289999999994</v>
      </c>
      <c r="W498" s="106">
        <f t="shared" si="284"/>
        <v>134820.56</v>
      </c>
      <c r="X498" s="106">
        <f t="shared" si="284"/>
        <v>336959.83999999997</v>
      </c>
      <c r="Y498" s="106">
        <f t="shared" si="284"/>
        <v>132666.23000000001</v>
      </c>
      <c r="Z498" s="106">
        <f t="shared" si="284"/>
        <v>469626.07</v>
      </c>
      <c r="AA498" s="106">
        <f t="shared" si="284"/>
        <v>847912.94</v>
      </c>
      <c r="AB498" s="106">
        <f t="shared" si="284"/>
        <v>1854513.4799999995</v>
      </c>
      <c r="AC498" s="106">
        <f>+SUM(AC451:AC462)</f>
        <v>2702426.42</v>
      </c>
      <c r="AD498" s="106">
        <f t="shared" ref="AD498:CO498" si="285">+SUM(AD451:AD462)</f>
        <v>27416.260000000002</v>
      </c>
      <c r="AE498" s="106">
        <f t="shared" si="285"/>
        <v>283806.38</v>
      </c>
      <c r="AF498" s="106">
        <f t="shared" si="285"/>
        <v>311222.64</v>
      </c>
      <c r="AG498" s="106">
        <f t="shared" si="285"/>
        <v>96304.69</v>
      </c>
      <c r="AH498" s="106">
        <f t="shared" si="285"/>
        <v>1238652.9000000001</v>
      </c>
      <c r="AI498" s="106">
        <f t="shared" si="285"/>
        <v>1334957.5900000001</v>
      </c>
      <c r="AJ498" s="106">
        <f t="shared" si="285"/>
        <v>0</v>
      </c>
      <c r="AK498" s="106">
        <f t="shared" si="285"/>
        <v>0</v>
      </c>
      <c r="AL498" s="106">
        <f t="shared" si="285"/>
        <v>339992.1</v>
      </c>
      <c r="AM498" s="106">
        <f t="shared" si="285"/>
        <v>733899.22000000009</v>
      </c>
      <c r="AN498" s="106">
        <f t="shared" si="285"/>
        <v>789818.66</v>
      </c>
      <c r="AO498" s="106">
        <f t="shared" si="285"/>
        <v>1523717.88</v>
      </c>
      <c r="AP498" s="106">
        <f t="shared" si="285"/>
        <v>0</v>
      </c>
      <c r="AQ498" s="106">
        <f t="shared" si="285"/>
        <v>0</v>
      </c>
      <c r="AR498" s="106">
        <f t="shared" si="285"/>
        <v>6261690.5999999996</v>
      </c>
      <c r="AS498" s="106">
        <f t="shared" si="285"/>
        <v>0</v>
      </c>
      <c r="AT498" s="106">
        <f t="shared" si="285"/>
        <v>0</v>
      </c>
      <c r="AU498" s="106">
        <f t="shared" si="285"/>
        <v>18009891.760000002</v>
      </c>
      <c r="AV498" s="106">
        <f t="shared" si="285"/>
        <v>0</v>
      </c>
      <c r="AW498" s="106">
        <f t="shared" si="285"/>
        <v>0</v>
      </c>
      <c r="AX498" s="106">
        <f t="shared" si="285"/>
        <v>564330.52999999991</v>
      </c>
      <c r="AY498" s="106">
        <f t="shared" si="285"/>
        <v>65740381.800000004</v>
      </c>
      <c r="AZ498" s="106">
        <f t="shared" si="285"/>
        <v>11031735.2115</v>
      </c>
      <c r="BA498" s="106">
        <f t="shared" si="285"/>
        <v>76772117.011500001</v>
      </c>
      <c r="BB498" s="106">
        <f t="shared" si="285"/>
        <v>0</v>
      </c>
      <c r="BC498" s="106">
        <f t="shared" si="285"/>
        <v>0</v>
      </c>
      <c r="BD498" s="106">
        <f t="shared" si="285"/>
        <v>17457437.422222223</v>
      </c>
      <c r="BE498" s="106">
        <f t="shared" si="285"/>
        <v>0</v>
      </c>
      <c r="BF498" s="106">
        <f t="shared" si="285"/>
        <v>0</v>
      </c>
      <c r="BG498" s="106">
        <f>+SUM(BG451:BG462)</f>
        <v>1253</v>
      </c>
      <c r="BH498" s="106">
        <f t="shared" si="285"/>
        <v>0</v>
      </c>
      <c r="BI498" s="106">
        <f t="shared" si="285"/>
        <v>0</v>
      </c>
      <c r="BJ498" s="106">
        <f t="shared" si="285"/>
        <v>4</v>
      </c>
      <c r="BK498" s="106">
        <f t="shared" si="285"/>
        <v>0</v>
      </c>
      <c r="BL498" s="106">
        <f t="shared" si="285"/>
        <v>0</v>
      </c>
      <c r="BM498" s="106">
        <f t="shared" si="285"/>
        <v>2806</v>
      </c>
      <c r="BN498" s="106">
        <f t="shared" si="285"/>
        <v>0</v>
      </c>
      <c r="BO498" s="106">
        <f t="shared" si="285"/>
        <v>0</v>
      </c>
      <c r="BP498" s="106">
        <f t="shared" si="285"/>
        <v>21</v>
      </c>
      <c r="BQ498" s="106">
        <f t="shared" si="285"/>
        <v>0</v>
      </c>
      <c r="BR498" s="106">
        <f t="shared" si="285"/>
        <v>0</v>
      </c>
      <c r="BS498" s="106">
        <f t="shared" si="285"/>
        <v>9204</v>
      </c>
      <c r="BT498" s="106">
        <f t="shared" si="285"/>
        <v>0</v>
      </c>
      <c r="BU498" s="106">
        <f t="shared" si="285"/>
        <v>0</v>
      </c>
      <c r="BV498" s="106">
        <f t="shared" si="285"/>
        <v>3</v>
      </c>
      <c r="BW498" s="106">
        <f t="shared" si="285"/>
        <v>0</v>
      </c>
      <c r="BX498" s="106">
        <f t="shared" si="285"/>
        <v>0</v>
      </c>
      <c r="BY498" s="106">
        <f t="shared" si="285"/>
        <v>14</v>
      </c>
      <c r="BZ498" s="106">
        <f t="shared" si="285"/>
        <v>0</v>
      </c>
      <c r="CA498" s="106">
        <f t="shared" si="285"/>
        <v>0</v>
      </c>
      <c r="CB498" s="106">
        <f t="shared" si="285"/>
        <v>3990</v>
      </c>
      <c r="CC498" s="106">
        <f t="shared" si="285"/>
        <v>0</v>
      </c>
      <c r="CD498" s="106">
        <f t="shared" si="285"/>
        <v>0</v>
      </c>
      <c r="CE498" s="106">
        <f t="shared" si="285"/>
        <v>91</v>
      </c>
      <c r="CF498" s="106">
        <f t="shared" si="285"/>
        <v>0</v>
      </c>
      <c r="CG498" s="106">
        <f t="shared" si="285"/>
        <v>0</v>
      </c>
      <c r="CH498" s="106">
        <f t="shared" si="285"/>
        <v>30</v>
      </c>
      <c r="CI498" s="106">
        <f t="shared" si="285"/>
        <v>0</v>
      </c>
      <c r="CJ498" s="106">
        <f t="shared" si="285"/>
        <v>0</v>
      </c>
      <c r="CK498" s="106">
        <f t="shared" si="285"/>
        <v>253</v>
      </c>
      <c r="CL498" s="106">
        <f t="shared" si="285"/>
        <v>0</v>
      </c>
      <c r="CM498" s="106">
        <f t="shared" si="285"/>
        <v>0</v>
      </c>
      <c r="CN498" s="106">
        <f t="shared" si="285"/>
        <v>1</v>
      </c>
      <c r="CO498" s="106">
        <f t="shared" si="285"/>
        <v>0</v>
      </c>
      <c r="CP498" s="106">
        <f t="shared" ref="CP498:FD498" si="286">+SUM(CP451:CP462)</f>
        <v>0</v>
      </c>
      <c r="CQ498" s="106">
        <f t="shared" si="286"/>
        <v>263</v>
      </c>
      <c r="CR498" s="106">
        <f t="shared" si="286"/>
        <v>0</v>
      </c>
      <c r="CS498" s="106">
        <f t="shared" si="286"/>
        <v>0</v>
      </c>
      <c r="CT498" s="106">
        <f t="shared" si="286"/>
        <v>1</v>
      </c>
      <c r="CU498" s="106">
        <f t="shared" si="286"/>
        <v>0</v>
      </c>
      <c r="CV498" s="106">
        <f t="shared" si="286"/>
        <v>0</v>
      </c>
      <c r="CW498" s="106">
        <f t="shared" si="286"/>
        <v>2355</v>
      </c>
      <c r="CX498" s="106">
        <f t="shared" si="286"/>
        <v>0</v>
      </c>
      <c r="CY498" s="106">
        <f t="shared" si="286"/>
        <v>0</v>
      </c>
      <c r="CZ498" s="106">
        <f t="shared" si="286"/>
        <v>9</v>
      </c>
      <c r="DA498" s="106">
        <f t="shared" si="286"/>
        <v>0</v>
      </c>
      <c r="DB498" s="106">
        <f t="shared" si="286"/>
        <v>0</v>
      </c>
      <c r="DC498" s="106">
        <f t="shared" si="286"/>
        <v>0</v>
      </c>
      <c r="DD498" s="106">
        <f t="shared" si="286"/>
        <v>0</v>
      </c>
      <c r="DE498" s="106">
        <f t="shared" si="286"/>
        <v>0</v>
      </c>
      <c r="DF498" s="106">
        <f t="shared" si="286"/>
        <v>0</v>
      </c>
      <c r="DG498" s="106">
        <f t="shared" si="286"/>
        <v>0</v>
      </c>
      <c r="DH498" s="106">
        <f t="shared" si="286"/>
        <v>0</v>
      </c>
      <c r="DI498" s="106">
        <f t="shared" si="286"/>
        <v>68</v>
      </c>
      <c r="DJ498" s="106">
        <f t="shared" ref="DJ498:DL498" si="287">+SUM(DJ451:DJ462)</f>
        <v>0</v>
      </c>
      <c r="DK498" s="106">
        <f t="shared" si="287"/>
        <v>0</v>
      </c>
      <c r="DL498" s="106">
        <f t="shared" si="287"/>
        <v>0</v>
      </c>
      <c r="DM498" s="106">
        <f t="shared" si="286"/>
        <v>0</v>
      </c>
      <c r="DN498" s="106">
        <f t="shared" si="286"/>
        <v>0</v>
      </c>
      <c r="DO498" s="106">
        <f t="shared" si="286"/>
        <v>0</v>
      </c>
      <c r="DP498" s="106">
        <f t="shared" si="286"/>
        <v>0</v>
      </c>
      <c r="DQ498" s="106">
        <f t="shared" si="286"/>
        <v>0</v>
      </c>
      <c r="DR498" s="106">
        <f t="shared" si="286"/>
        <v>200</v>
      </c>
      <c r="DS498" s="106">
        <f t="shared" si="286"/>
        <v>0</v>
      </c>
      <c r="DT498" s="106">
        <f t="shared" si="286"/>
        <v>0</v>
      </c>
      <c r="DU498" s="106">
        <f t="shared" si="286"/>
        <v>4291</v>
      </c>
      <c r="DV498" s="106">
        <f t="shared" si="286"/>
        <v>0</v>
      </c>
      <c r="DW498" s="106">
        <f t="shared" si="286"/>
        <v>0</v>
      </c>
      <c r="DX498" s="106">
        <f t="shared" si="286"/>
        <v>0</v>
      </c>
      <c r="DY498" s="106">
        <f t="shared" si="286"/>
        <v>0</v>
      </c>
      <c r="DZ498" s="106">
        <f t="shared" si="286"/>
        <v>0</v>
      </c>
      <c r="EA498" s="106">
        <f t="shared" si="286"/>
        <v>19271</v>
      </c>
      <c r="EB498" s="106">
        <f t="shared" si="286"/>
        <v>0</v>
      </c>
      <c r="EC498" s="106">
        <f t="shared" si="286"/>
        <v>0</v>
      </c>
      <c r="ED498" s="106">
        <f t="shared" si="286"/>
        <v>333</v>
      </c>
      <c r="EE498" s="106">
        <f t="shared" si="286"/>
        <v>0</v>
      </c>
      <c r="EF498" s="106">
        <f t="shared" si="286"/>
        <v>0</v>
      </c>
      <c r="EG498" s="106">
        <f t="shared" si="286"/>
        <v>6746</v>
      </c>
      <c r="EH498" s="106">
        <f t="shared" si="286"/>
        <v>0</v>
      </c>
      <c r="EI498" s="106">
        <f t="shared" si="286"/>
        <v>0</v>
      </c>
      <c r="EJ498" s="106">
        <f t="shared" si="286"/>
        <v>1226</v>
      </c>
      <c r="EK498" s="106">
        <f t="shared" si="286"/>
        <v>0</v>
      </c>
      <c r="EL498" s="106">
        <f t="shared" si="286"/>
        <v>0</v>
      </c>
      <c r="EM498" s="106">
        <f t="shared" si="286"/>
        <v>5178</v>
      </c>
      <c r="EN498" s="106">
        <f t="shared" si="286"/>
        <v>0</v>
      </c>
      <c r="EO498" s="106">
        <f t="shared" si="286"/>
        <v>0</v>
      </c>
      <c r="EP498" s="106">
        <f t="shared" si="286"/>
        <v>2388</v>
      </c>
      <c r="EQ498" s="106">
        <f t="shared" si="286"/>
        <v>0</v>
      </c>
      <c r="ER498" s="106">
        <f t="shared" si="286"/>
        <v>0</v>
      </c>
      <c r="ES498" s="106">
        <f t="shared" si="286"/>
        <v>132</v>
      </c>
      <c r="ET498" s="106">
        <f t="shared" si="286"/>
        <v>0</v>
      </c>
      <c r="EU498" s="106">
        <f t="shared" si="286"/>
        <v>0</v>
      </c>
      <c r="EV498" s="106">
        <f t="shared" si="286"/>
        <v>214</v>
      </c>
      <c r="EW498" s="106">
        <f t="shared" si="286"/>
        <v>0</v>
      </c>
      <c r="EX498" s="106">
        <f t="shared" si="286"/>
        <v>0</v>
      </c>
      <c r="EY498" s="106">
        <f t="shared" si="286"/>
        <v>51</v>
      </c>
      <c r="EZ498" s="106">
        <f t="shared" si="286"/>
        <v>0</v>
      </c>
      <c r="FA498" s="106">
        <f t="shared" si="286"/>
        <v>0</v>
      </c>
      <c r="FB498" s="106">
        <f t="shared" si="286"/>
        <v>23</v>
      </c>
      <c r="FC498" s="106">
        <f t="shared" si="286"/>
        <v>0</v>
      </c>
      <c r="FD498" s="106">
        <f t="shared" si="286"/>
        <v>0</v>
      </c>
      <c r="FE498" s="106">
        <f t="shared" ref="FE498:FZ498" si="288">+SUM(FE451:FE462)</f>
        <v>41</v>
      </c>
      <c r="FF498" s="106">
        <f t="shared" si="288"/>
        <v>0</v>
      </c>
      <c r="FG498" s="106">
        <f t="shared" si="288"/>
        <v>0</v>
      </c>
      <c r="FH498" s="106">
        <f t="shared" si="288"/>
        <v>13</v>
      </c>
      <c r="FI498" s="106">
        <f t="shared" si="288"/>
        <v>0</v>
      </c>
      <c r="FJ498" s="106">
        <f t="shared" si="288"/>
        <v>0</v>
      </c>
      <c r="FK498" s="106">
        <f t="shared" si="288"/>
        <v>614</v>
      </c>
      <c r="FL498" s="106">
        <f t="shared" si="288"/>
        <v>0</v>
      </c>
      <c r="FM498" s="106">
        <f t="shared" si="288"/>
        <v>0</v>
      </c>
      <c r="FN498" s="106">
        <f t="shared" si="288"/>
        <v>52996</v>
      </c>
      <c r="FO498" s="106">
        <f t="shared" si="288"/>
        <v>0</v>
      </c>
      <c r="FP498" s="106">
        <f t="shared" si="288"/>
        <v>0</v>
      </c>
      <c r="FQ498" s="106">
        <f t="shared" si="288"/>
        <v>11245</v>
      </c>
      <c r="FR498" s="106">
        <f t="shared" si="288"/>
        <v>0</v>
      </c>
      <c r="FS498" s="106">
        <f t="shared" si="288"/>
        <v>0</v>
      </c>
      <c r="FT498" s="106">
        <f t="shared" si="288"/>
        <v>5</v>
      </c>
      <c r="FU498" s="106">
        <f t="shared" si="288"/>
        <v>0</v>
      </c>
      <c r="FV498" s="106">
        <f t="shared" si="288"/>
        <v>0</v>
      </c>
      <c r="FW498" s="106">
        <f t="shared" si="288"/>
        <v>2700</v>
      </c>
      <c r="FX498" s="106">
        <f t="shared" si="288"/>
        <v>0</v>
      </c>
      <c r="FY498" s="106">
        <f t="shared" si="288"/>
        <v>0</v>
      </c>
      <c r="FZ498" s="106">
        <f t="shared" si="288"/>
        <v>918</v>
      </c>
    </row>
    <row r="499" spans="2:182 16381:16381" x14ac:dyDescent="0.2">
      <c r="B499" s="105">
        <v>2025</v>
      </c>
      <c r="C499" s="106">
        <f>+SUM(C463:C474)</f>
        <v>264174.86</v>
      </c>
      <c r="D499" s="106">
        <f t="shared" ref="D499:BO499" si="289">+SUM(D463:D474)</f>
        <v>2684333.3199999998</v>
      </c>
      <c r="E499" s="106">
        <f t="shared" si="289"/>
        <v>2948508.18</v>
      </c>
      <c r="F499" s="106">
        <f t="shared" si="289"/>
        <v>48079591.949999996</v>
      </c>
      <c r="G499" s="106">
        <f t="shared" si="289"/>
        <v>48433080.780000001</v>
      </c>
      <c r="H499" s="106">
        <f t="shared" si="289"/>
        <v>96512672.729999989</v>
      </c>
      <c r="I499" s="106">
        <f t="shared" si="289"/>
        <v>0</v>
      </c>
      <c r="J499" s="106">
        <f t="shared" si="289"/>
        <v>0</v>
      </c>
      <c r="K499" s="106">
        <f t="shared" si="289"/>
        <v>203643078.87</v>
      </c>
      <c r="L499" s="106">
        <f t="shared" si="289"/>
        <v>0</v>
      </c>
      <c r="M499" s="106">
        <f t="shared" si="289"/>
        <v>0</v>
      </c>
      <c r="N499" s="106">
        <f t="shared" si="289"/>
        <v>302894484.33999997</v>
      </c>
      <c r="O499" s="106">
        <f t="shared" si="289"/>
        <v>0</v>
      </c>
      <c r="P499" s="106">
        <f t="shared" si="289"/>
        <v>0</v>
      </c>
      <c r="Q499" s="106">
        <f t="shared" si="289"/>
        <v>398164733.50000006</v>
      </c>
      <c r="R499" s="106">
        <f t="shared" si="289"/>
        <v>0</v>
      </c>
      <c r="S499" s="106">
        <f t="shared" si="289"/>
        <v>0</v>
      </c>
      <c r="T499" s="106">
        <f t="shared" si="289"/>
        <v>1993476.08</v>
      </c>
      <c r="U499" s="106">
        <f t="shared" si="289"/>
        <v>66007.13</v>
      </c>
      <c r="V499" s="106">
        <f t="shared" si="289"/>
        <v>64000.680000000008</v>
      </c>
      <c r="W499" s="106">
        <f t="shared" si="289"/>
        <v>130007.81000000001</v>
      </c>
      <c r="X499" s="106">
        <f t="shared" si="289"/>
        <v>392489.18</v>
      </c>
      <c r="Y499" s="106">
        <f t="shared" si="289"/>
        <v>132217.63</v>
      </c>
      <c r="Z499" s="106">
        <f t="shared" si="289"/>
        <v>524706.80999999994</v>
      </c>
      <c r="AA499" s="106">
        <f t="shared" si="289"/>
        <v>817867.41999999981</v>
      </c>
      <c r="AB499" s="106">
        <f t="shared" si="289"/>
        <v>2053271.3</v>
      </c>
      <c r="AC499" s="106">
        <f t="shared" si="289"/>
        <v>2871138.7199999997</v>
      </c>
      <c r="AD499" s="106">
        <f t="shared" si="289"/>
        <v>23385.120000000003</v>
      </c>
      <c r="AE499" s="106">
        <f t="shared" si="289"/>
        <v>359785.4</v>
      </c>
      <c r="AF499" s="106">
        <f t="shared" si="289"/>
        <v>383170.51999999996</v>
      </c>
      <c r="AG499" s="106">
        <f t="shared" si="289"/>
        <v>102540.38999999998</v>
      </c>
      <c r="AH499" s="106">
        <f t="shared" si="289"/>
        <v>1432426.33</v>
      </c>
      <c r="AI499" s="106">
        <f t="shared" si="289"/>
        <v>1534966.7200000002</v>
      </c>
      <c r="AJ499" s="106">
        <f t="shared" si="289"/>
        <v>0</v>
      </c>
      <c r="AK499" s="106">
        <f t="shared" si="289"/>
        <v>0</v>
      </c>
      <c r="AL499" s="106">
        <f t="shared" si="289"/>
        <v>352358.1</v>
      </c>
      <c r="AM499" s="106">
        <f t="shared" si="289"/>
        <v>958944.39</v>
      </c>
      <c r="AN499" s="106">
        <f t="shared" si="289"/>
        <v>1787179.2200000002</v>
      </c>
      <c r="AO499" s="106">
        <f t="shared" si="289"/>
        <v>2746123.61</v>
      </c>
      <c r="AP499" s="106">
        <f t="shared" si="289"/>
        <v>0</v>
      </c>
      <c r="AQ499" s="106">
        <f t="shared" si="289"/>
        <v>0</v>
      </c>
      <c r="AR499" s="106">
        <f t="shared" si="289"/>
        <v>7186559.2200000007</v>
      </c>
      <c r="AS499" s="106">
        <f t="shared" si="289"/>
        <v>0</v>
      </c>
      <c r="AT499" s="106">
        <f t="shared" si="289"/>
        <v>0</v>
      </c>
      <c r="AU499" s="106">
        <f t="shared" si="289"/>
        <v>17744903.840000004</v>
      </c>
      <c r="AV499" s="106">
        <f t="shared" si="289"/>
        <v>0</v>
      </c>
      <c r="AW499" s="106">
        <f t="shared" si="289"/>
        <v>0</v>
      </c>
      <c r="AX499" s="106">
        <f t="shared" si="289"/>
        <v>536294.78</v>
      </c>
      <c r="AY499" s="106">
        <f t="shared" si="289"/>
        <v>60347425.399999999</v>
      </c>
      <c r="AZ499" s="106">
        <f t="shared" si="289"/>
        <v>11120915</v>
      </c>
      <c r="BA499" s="106">
        <f t="shared" si="289"/>
        <v>71468340.399999991</v>
      </c>
      <c r="BB499" s="106">
        <f t="shared" si="289"/>
        <v>0</v>
      </c>
      <c r="BC499" s="106">
        <f t="shared" si="289"/>
        <v>0</v>
      </c>
      <c r="BD499" s="106">
        <f t="shared" si="289"/>
        <v>16570022.66666667</v>
      </c>
      <c r="BE499" s="106">
        <f t="shared" si="289"/>
        <v>0</v>
      </c>
      <c r="BF499" s="106">
        <f t="shared" si="289"/>
        <v>0</v>
      </c>
      <c r="BG499" s="106">
        <f t="shared" si="289"/>
        <v>1235</v>
      </c>
      <c r="BH499" s="106">
        <f t="shared" si="289"/>
        <v>0</v>
      </c>
      <c r="BI499" s="106">
        <f t="shared" si="289"/>
        <v>0</v>
      </c>
      <c r="BJ499" s="106">
        <f t="shared" si="289"/>
        <v>11</v>
      </c>
      <c r="BK499" s="106">
        <f t="shared" si="289"/>
        <v>0</v>
      </c>
      <c r="BL499" s="106">
        <f t="shared" si="289"/>
        <v>0</v>
      </c>
      <c r="BM499" s="106">
        <f t="shared" si="289"/>
        <v>2151</v>
      </c>
      <c r="BN499" s="106">
        <f t="shared" si="289"/>
        <v>0</v>
      </c>
      <c r="BO499" s="106">
        <f t="shared" si="289"/>
        <v>0</v>
      </c>
      <c r="BP499" s="106">
        <f t="shared" ref="BP499:ED499" si="290">+SUM(BP463:BP474)</f>
        <v>31</v>
      </c>
      <c r="BQ499" s="106">
        <f t="shared" si="290"/>
        <v>0</v>
      </c>
      <c r="BR499" s="106">
        <f t="shared" si="290"/>
        <v>0</v>
      </c>
      <c r="BS499" s="106">
        <f t="shared" si="290"/>
        <v>8703</v>
      </c>
      <c r="BT499" s="106">
        <f t="shared" si="290"/>
        <v>0</v>
      </c>
      <c r="BU499" s="106">
        <f t="shared" si="290"/>
        <v>0</v>
      </c>
      <c r="BV499" s="106">
        <f t="shared" si="290"/>
        <v>97</v>
      </c>
      <c r="BW499" s="106">
        <f t="shared" si="290"/>
        <v>0</v>
      </c>
      <c r="BX499" s="106">
        <f t="shared" si="290"/>
        <v>0</v>
      </c>
      <c r="BY499" s="106">
        <f t="shared" si="290"/>
        <v>20</v>
      </c>
      <c r="BZ499" s="106">
        <f t="shared" si="290"/>
        <v>0</v>
      </c>
      <c r="CA499" s="106">
        <f t="shared" si="290"/>
        <v>0</v>
      </c>
      <c r="CB499" s="106">
        <f t="shared" si="290"/>
        <v>4833</v>
      </c>
      <c r="CC499" s="106">
        <f t="shared" si="290"/>
        <v>0</v>
      </c>
      <c r="CD499" s="106">
        <f t="shared" si="290"/>
        <v>0</v>
      </c>
      <c r="CE499" s="106">
        <f t="shared" si="290"/>
        <v>317</v>
      </c>
      <c r="CF499" s="106">
        <f t="shared" si="290"/>
        <v>0</v>
      </c>
      <c r="CG499" s="106">
        <f t="shared" si="290"/>
        <v>0</v>
      </c>
      <c r="CH499" s="106">
        <f t="shared" si="290"/>
        <v>34</v>
      </c>
      <c r="CI499" s="106">
        <f t="shared" si="290"/>
        <v>0</v>
      </c>
      <c r="CJ499" s="106">
        <f t="shared" si="290"/>
        <v>0</v>
      </c>
      <c r="CK499" s="106">
        <f t="shared" si="290"/>
        <v>245</v>
      </c>
      <c r="CL499" s="106">
        <f t="shared" si="290"/>
        <v>0</v>
      </c>
      <c r="CM499" s="106">
        <f t="shared" si="290"/>
        <v>0</v>
      </c>
      <c r="CN499" s="106">
        <f t="shared" si="290"/>
        <v>1</v>
      </c>
      <c r="CO499" s="106">
        <f t="shared" si="290"/>
        <v>0</v>
      </c>
      <c r="CP499" s="106">
        <f t="shared" si="290"/>
        <v>0</v>
      </c>
      <c r="CQ499" s="106">
        <f t="shared" si="290"/>
        <v>138</v>
      </c>
      <c r="CR499" s="106">
        <f t="shared" si="290"/>
        <v>0</v>
      </c>
      <c r="CS499" s="106">
        <f t="shared" si="290"/>
        <v>0</v>
      </c>
      <c r="CT499" s="106">
        <f t="shared" si="290"/>
        <v>4</v>
      </c>
      <c r="CU499" s="106">
        <f t="shared" si="290"/>
        <v>0</v>
      </c>
      <c r="CV499" s="106">
        <f t="shared" si="290"/>
        <v>0</v>
      </c>
      <c r="CW499" s="106">
        <f t="shared" si="290"/>
        <v>1154</v>
      </c>
      <c r="CX499" s="106">
        <f t="shared" si="290"/>
        <v>0</v>
      </c>
      <c r="CY499" s="106">
        <f t="shared" si="290"/>
        <v>0</v>
      </c>
      <c r="CZ499" s="106">
        <f t="shared" si="290"/>
        <v>34</v>
      </c>
      <c r="DA499" s="106">
        <f t="shared" si="290"/>
        <v>0</v>
      </c>
      <c r="DB499" s="106">
        <f t="shared" si="290"/>
        <v>0</v>
      </c>
      <c r="DC499" s="106">
        <f t="shared" si="290"/>
        <v>2</v>
      </c>
      <c r="DD499" s="106">
        <f t="shared" si="290"/>
        <v>0</v>
      </c>
      <c r="DE499" s="106">
        <f t="shared" si="290"/>
        <v>0</v>
      </c>
      <c r="DF499" s="106">
        <f t="shared" si="290"/>
        <v>0</v>
      </c>
      <c r="DG499" s="106">
        <f t="shared" si="290"/>
        <v>0</v>
      </c>
      <c r="DH499" s="106">
        <f t="shared" si="290"/>
        <v>0</v>
      </c>
      <c r="DI499" s="106">
        <f t="shared" si="290"/>
        <v>21</v>
      </c>
      <c r="DJ499" s="106">
        <f t="shared" ref="DJ499:DL499" si="291">+SUM(DJ463:DJ474)</f>
        <v>0</v>
      </c>
      <c r="DK499" s="106">
        <f t="shared" si="291"/>
        <v>0</v>
      </c>
      <c r="DL499" s="106">
        <f t="shared" si="291"/>
        <v>1</v>
      </c>
      <c r="DM499" s="106">
        <f t="shared" si="290"/>
        <v>0</v>
      </c>
      <c r="DN499" s="106">
        <f t="shared" si="290"/>
        <v>0</v>
      </c>
      <c r="DO499" s="106">
        <f t="shared" si="290"/>
        <v>0</v>
      </c>
      <c r="DP499" s="106">
        <f t="shared" si="290"/>
        <v>0</v>
      </c>
      <c r="DQ499" s="106">
        <f t="shared" si="290"/>
        <v>0</v>
      </c>
      <c r="DR499" s="106">
        <f t="shared" si="290"/>
        <v>509</v>
      </c>
      <c r="DS499" s="106">
        <f t="shared" si="290"/>
        <v>0</v>
      </c>
      <c r="DT499" s="106">
        <f t="shared" si="290"/>
        <v>0</v>
      </c>
      <c r="DU499" s="106">
        <f t="shared" si="290"/>
        <v>9062</v>
      </c>
      <c r="DV499" s="106">
        <f t="shared" si="290"/>
        <v>0</v>
      </c>
      <c r="DW499" s="106">
        <f t="shared" si="290"/>
        <v>0</v>
      </c>
      <c r="DX499" s="106">
        <f t="shared" si="290"/>
        <v>0</v>
      </c>
      <c r="DY499" s="106">
        <f t="shared" si="290"/>
        <v>0</v>
      </c>
      <c r="DZ499" s="106">
        <f t="shared" si="290"/>
        <v>0</v>
      </c>
      <c r="EA499" s="106">
        <f t="shared" si="290"/>
        <v>18320</v>
      </c>
      <c r="EB499" s="106">
        <f t="shared" si="290"/>
        <v>0</v>
      </c>
      <c r="EC499" s="106">
        <f t="shared" si="290"/>
        <v>0</v>
      </c>
      <c r="ED499" s="106">
        <f t="shared" si="290"/>
        <v>957</v>
      </c>
      <c r="EE499" s="106">
        <f t="shared" ref="EE499:FZ499" si="292">+SUM(EE463:EE474)</f>
        <v>0</v>
      </c>
      <c r="EF499" s="106">
        <f t="shared" si="292"/>
        <v>0</v>
      </c>
      <c r="EG499" s="106">
        <f t="shared" si="292"/>
        <v>6064</v>
      </c>
      <c r="EH499" s="106">
        <f t="shared" si="292"/>
        <v>0</v>
      </c>
      <c r="EI499" s="106">
        <f t="shared" si="292"/>
        <v>0</v>
      </c>
      <c r="EJ499" s="106">
        <f t="shared" si="292"/>
        <v>3743</v>
      </c>
      <c r="EK499" s="106">
        <f t="shared" si="292"/>
        <v>0</v>
      </c>
      <c r="EL499" s="106">
        <f t="shared" si="292"/>
        <v>0</v>
      </c>
      <c r="EM499" s="106">
        <f t="shared" si="292"/>
        <v>2770</v>
      </c>
      <c r="EN499" s="106">
        <f t="shared" si="292"/>
        <v>0</v>
      </c>
      <c r="EO499" s="106">
        <f t="shared" si="292"/>
        <v>0</v>
      </c>
      <c r="EP499" s="106">
        <f t="shared" si="292"/>
        <v>1666</v>
      </c>
      <c r="EQ499" s="106">
        <f t="shared" si="292"/>
        <v>0</v>
      </c>
      <c r="ER499" s="106">
        <f t="shared" si="292"/>
        <v>0</v>
      </c>
      <c r="ES499" s="106">
        <f t="shared" si="292"/>
        <v>77</v>
      </c>
      <c r="ET499" s="106">
        <f t="shared" si="292"/>
        <v>0</v>
      </c>
      <c r="EU499" s="106">
        <f t="shared" si="292"/>
        <v>0</v>
      </c>
      <c r="EV499" s="106">
        <f t="shared" si="292"/>
        <v>93</v>
      </c>
      <c r="EW499" s="106">
        <f t="shared" si="292"/>
        <v>0</v>
      </c>
      <c r="EX499" s="106">
        <f t="shared" si="292"/>
        <v>0</v>
      </c>
      <c r="EY499" s="106">
        <f t="shared" si="292"/>
        <v>61</v>
      </c>
      <c r="EZ499" s="106">
        <f t="shared" si="292"/>
        <v>0</v>
      </c>
      <c r="FA499" s="106">
        <f t="shared" si="292"/>
        <v>0</v>
      </c>
      <c r="FB499" s="106">
        <f t="shared" si="292"/>
        <v>26</v>
      </c>
      <c r="FC499" s="106">
        <f t="shared" si="292"/>
        <v>0</v>
      </c>
      <c r="FD499" s="106">
        <f t="shared" si="292"/>
        <v>0</v>
      </c>
      <c r="FE499" s="106">
        <f t="shared" si="292"/>
        <v>27</v>
      </c>
      <c r="FF499" s="106">
        <f t="shared" si="292"/>
        <v>0</v>
      </c>
      <c r="FG499" s="106">
        <f t="shared" si="292"/>
        <v>0</v>
      </c>
      <c r="FH499" s="106">
        <f t="shared" si="292"/>
        <v>11</v>
      </c>
      <c r="FI499" s="106">
        <f t="shared" si="292"/>
        <v>0</v>
      </c>
      <c r="FJ499" s="106">
        <f t="shared" si="292"/>
        <v>0</v>
      </c>
      <c r="FK499" s="106">
        <f t="shared" si="292"/>
        <v>714</v>
      </c>
      <c r="FL499" s="106">
        <f t="shared" si="292"/>
        <v>0</v>
      </c>
      <c r="FM499" s="106">
        <f t="shared" si="292"/>
        <v>0</v>
      </c>
      <c r="FN499" s="106">
        <f t="shared" si="292"/>
        <v>57175</v>
      </c>
      <c r="FO499" s="106">
        <f t="shared" si="292"/>
        <v>0</v>
      </c>
      <c r="FP499" s="106">
        <f t="shared" si="292"/>
        <v>0</v>
      </c>
      <c r="FQ499" s="106">
        <f t="shared" si="292"/>
        <v>13997</v>
      </c>
      <c r="FR499" s="106">
        <f t="shared" si="292"/>
        <v>0</v>
      </c>
      <c r="FS499" s="106">
        <f t="shared" si="292"/>
        <v>0</v>
      </c>
      <c r="FT499" s="106">
        <f t="shared" si="292"/>
        <v>0</v>
      </c>
      <c r="FU499" s="106">
        <f t="shared" si="292"/>
        <v>0</v>
      </c>
      <c r="FV499" s="106">
        <f t="shared" si="292"/>
        <v>0</v>
      </c>
      <c r="FW499" s="106">
        <f t="shared" si="292"/>
        <v>3294</v>
      </c>
      <c r="FX499" s="106">
        <f t="shared" si="292"/>
        <v>0</v>
      </c>
      <c r="FY499" s="106">
        <f t="shared" si="292"/>
        <v>0</v>
      </c>
      <c r="FZ499" s="106">
        <f t="shared" si="292"/>
        <v>322</v>
      </c>
    </row>
  </sheetData>
  <mergeCells count="120">
    <mergeCell ref="FX2:FZ2"/>
    <mergeCell ref="FX6:FZ6"/>
    <mergeCell ref="FI2:FK2"/>
    <mergeCell ref="FL2:FN2"/>
    <mergeCell ref="FO2:FQ2"/>
    <mergeCell ref="FR2:FT2"/>
    <mergeCell ref="DP2:DR2"/>
    <mergeCell ref="DY2:EA2"/>
    <mergeCell ref="EE2:EG2"/>
    <mergeCell ref="EK2:EM2"/>
    <mergeCell ref="EQ2:ES2"/>
    <mergeCell ref="EW2:EY2"/>
    <mergeCell ref="EB2:ED2"/>
    <mergeCell ref="DS2:DU2"/>
    <mergeCell ref="DV2:DX2"/>
    <mergeCell ref="EZ2:FB2"/>
    <mergeCell ref="FC2:FE2"/>
    <mergeCell ref="FF2:FH2"/>
    <mergeCell ref="EN2:EP2"/>
    <mergeCell ref="ET2:EV2"/>
    <mergeCell ref="FR6:FT6"/>
    <mergeCell ref="FU6:FW6"/>
    <mergeCell ref="EH2:EJ2"/>
    <mergeCell ref="FU2:FW2"/>
    <mergeCell ref="CO2:CQ2"/>
    <mergeCell ref="CU2:CW2"/>
    <mergeCell ref="DA2:DC2"/>
    <mergeCell ref="DG2:DI2"/>
    <mergeCell ref="DM2:DO2"/>
    <mergeCell ref="BE2:BG2"/>
    <mergeCell ref="BK2:BM2"/>
    <mergeCell ref="BQ2:BS2"/>
    <mergeCell ref="BZ2:CB2"/>
    <mergeCell ref="CF2:CH2"/>
    <mergeCell ref="CI2:CK2"/>
    <mergeCell ref="BH2:BJ2"/>
    <mergeCell ref="BN2:BP2"/>
    <mergeCell ref="BT2:BV2"/>
    <mergeCell ref="CL2:CN2"/>
    <mergeCell ref="CR2:CT2"/>
    <mergeCell ref="CX2:CZ2"/>
    <mergeCell ref="DD2:DF2"/>
    <mergeCell ref="BW2:BY2"/>
    <mergeCell ref="CC2:CE2"/>
    <mergeCell ref="DJ2:DL2"/>
    <mergeCell ref="AM2:AO2"/>
    <mergeCell ref="BB2:BD2"/>
    <mergeCell ref="AV2:AX2"/>
    <mergeCell ref="O2:Q2"/>
    <mergeCell ref="R2:T2"/>
    <mergeCell ref="U2:W2"/>
    <mergeCell ref="X2:Z2"/>
    <mergeCell ref="AA2:AC2"/>
    <mergeCell ref="AD2:AF2"/>
    <mergeCell ref="AP2:AR2"/>
    <mergeCell ref="DJ6:DL6"/>
    <mergeCell ref="C6:E6"/>
    <mergeCell ref="F6:H6"/>
    <mergeCell ref="I6:K6"/>
    <mergeCell ref="L6:N6"/>
    <mergeCell ref="C2:E2"/>
    <mergeCell ref="F2:H2"/>
    <mergeCell ref="I2:K2"/>
    <mergeCell ref="L2:N2"/>
    <mergeCell ref="AY6:BA6"/>
    <mergeCell ref="AA6:AC6"/>
    <mergeCell ref="AD6:AF6"/>
    <mergeCell ref="AG6:AI6"/>
    <mergeCell ref="AJ6:AL6"/>
    <mergeCell ref="O6:Q6"/>
    <mergeCell ref="R6:T6"/>
    <mergeCell ref="U6:W6"/>
    <mergeCell ref="X6:Z6"/>
    <mergeCell ref="AS6:AU6"/>
    <mergeCell ref="AV6:AX6"/>
    <mergeCell ref="AG2:AI2"/>
    <mergeCell ref="AJ2:AL2"/>
    <mergeCell ref="AS2:AU2"/>
    <mergeCell ref="AY2:BA2"/>
    <mergeCell ref="BK6:BM6"/>
    <mergeCell ref="BQ6:BS6"/>
    <mergeCell ref="BZ6:CB6"/>
    <mergeCell ref="CF6:CH6"/>
    <mergeCell ref="BB6:BD6"/>
    <mergeCell ref="BE6:BG6"/>
    <mergeCell ref="DA6:DC6"/>
    <mergeCell ref="DG6:DI6"/>
    <mergeCell ref="BH6:BJ6"/>
    <mergeCell ref="BN6:BP6"/>
    <mergeCell ref="BT6:BV6"/>
    <mergeCell ref="CL6:CN6"/>
    <mergeCell ref="CR6:CT6"/>
    <mergeCell ref="CX6:CZ6"/>
    <mergeCell ref="DD6:DF6"/>
    <mergeCell ref="BW6:BY6"/>
    <mergeCell ref="CC6:CE6"/>
    <mergeCell ref="FO6:FQ6"/>
    <mergeCell ref="DY6:EA6"/>
    <mergeCell ref="EE6:EG6"/>
    <mergeCell ref="EK6:EM6"/>
    <mergeCell ref="EQ6:ES6"/>
    <mergeCell ref="EN6:EP6"/>
    <mergeCell ref="ET6:EV6"/>
    <mergeCell ref="AM6:AO6"/>
    <mergeCell ref="AP6:AR6"/>
    <mergeCell ref="DM6:DO6"/>
    <mergeCell ref="DP6:DR6"/>
    <mergeCell ref="CI6:CK6"/>
    <mergeCell ref="CO6:CQ6"/>
    <mergeCell ref="CU6:CW6"/>
    <mergeCell ref="EW6:EY6"/>
    <mergeCell ref="FI6:FK6"/>
    <mergeCell ref="FL6:FN6"/>
    <mergeCell ref="EB6:ED6"/>
    <mergeCell ref="DS6:DU6"/>
    <mergeCell ref="DV6:DX6"/>
    <mergeCell ref="EZ6:FB6"/>
    <mergeCell ref="EH6:EJ6"/>
    <mergeCell ref="FC6:FE6"/>
    <mergeCell ref="FF6:FH6"/>
  </mergeCells>
  <phoneticPr fontId="31" type="noConversion"/>
  <printOptions horizontalCentered="1" verticalCentered="1"/>
  <pageMargins left="0" right="0" top="0" bottom="0" header="0" footer="0"/>
  <pageSetup paperSize="9" scale="10" fitToWidth="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5:N528"/>
  <sheetViews>
    <sheetView showGridLines="0" showRowColHeaders="0" tabSelected="1" workbookViewId="0">
      <selection activeCell="E7" sqref="E7:L7"/>
    </sheetView>
  </sheetViews>
  <sheetFormatPr baseColWidth="10" defaultColWidth="11.42578125" defaultRowHeight="12.75" x14ac:dyDescent="0.2"/>
  <cols>
    <col min="1" max="1" width="7.5703125" style="53" customWidth="1"/>
    <col min="2" max="2" width="7.140625" style="51" customWidth="1"/>
    <col min="3" max="3" width="12.42578125" style="51" customWidth="1"/>
    <col min="4" max="4" width="9.7109375" style="51" customWidth="1"/>
    <col min="5" max="5" width="9.42578125" style="51" customWidth="1"/>
    <col min="6" max="6" width="5.140625" style="51" customWidth="1"/>
    <col min="7" max="7" width="14.28515625" style="51" customWidth="1"/>
    <col min="8" max="8" width="5.140625" style="51" customWidth="1"/>
    <col min="9" max="9" width="14.28515625" style="51" customWidth="1"/>
    <col min="10" max="10" width="5.140625" style="51" customWidth="1"/>
    <col min="11" max="11" width="14.28515625" style="51" customWidth="1"/>
    <col min="12" max="12" width="5.140625" style="51" customWidth="1"/>
    <col min="13" max="13" width="7.140625" style="51" customWidth="1"/>
    <col min="14" max="14" width="7.42578125" style="52" customWidth="1"/>
    <col min="15" max="16384" width="11.42578125" style="53"/>
  </cols>
  <sheetData>
    <row r="5" spans="2:14" ht="18" customHeight="1" x14ac:dyDescent="0.2">
      <c r="C5" s="127" t="s">
        <v>86</v>
      </c>
      <c r="D5" s="127"/>
      <c r="E5" s="127"/>
      <c r="F5" s="127"/>
      <c r="G5" s="127"/>
      <c r="H5" s="127"/>
      <c r="I5" s="127"/>
      <c r="J5" s="127"/>
      <c r="K5" s="127"/>
      <c r="L5" s="127"/>
      <c r="M5" s="89"/>
    </row>
    <row r="6" spans="2:14" ht="21.75" customHeight="1" thickBot="1" x14ac:dyDescent="0.25"/>
    <row r="7" spans="2:14" ht="23.25" customHeight="1" thickTop="1" thickBot="1" x14ac:dyDescent="0.25">
      <c r="C7" s="138" t="s">
        <v>83</v>
      </c>
      <c r="D7" s="139"/>
      <c r="E7" s="129" t="s">
        <v>79</v>
      </c>
      <c r="F7" s="130"/>
      <c r="G7" s="130"/>
      <c r="H7" s="130"/>
      <c r="I7" s="130"/>
      <c r="J7" s="130"/>
      <c r="K7" s="130"/>
      <c r="L7" s="131"/>
      <c r="M7" s="54"/>
      <c r="N7" s="55"/>
    </row>
    <row r="8" spans="2:14" ht="14.25" thickTop="1" thickBot="1" x14ac:dyDescent="0.25">
      <c r="C8" s="56" t="str">
        <f>VLOOKUP(E7,'rubros imesi'!A19:B24,2,0)</f>
        <v>seleccione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5"/>
    </row>
    <row r="9" spans="2:14" ht="28.5" customHeight="1" thickBot="1" x14ac:dyDescent="0.25">
      <c r="C9" s="138" t="s">
        <v>84</v>
      </c>
      <c r="D9" s="139"/>
      <c r="E9" s="132" t="s">
        <v>27</v>
      </c>
      <c r="F9" s="133"/>
      <c r="G9" s="133"/>
      <c r="H9" s="133"/>
      <c r="I9" s="133"/>
      <c r="J9" s="133"/>
      <c r="K9" s="133"/>
      <c r="L9" s="134"/>
      <c r="M9" s="58"/>
    </row>
    <row r="10" spans="2:14" ht="17.25" customHeight="1" x14ac:dyDescent="0.2">
      <c r="C10" s="54"/>
      <c r="D10" s="59"/>
      <c r="E10" s="60"/>
      <c r="F10" s="60"/>
      <c r="G10" s="60"/>
      <c r="H10" s="60"/>
      <c r="I10" s="60"/>
      <c r="J10" s="60"/>
      <c r="K10" s="60"/>
      <c r="L10" s="60"/>
      <c r="M10" s="60"/>
    </row>
    <row r="11" spans="2:14" ht="64.5" customHeight="1" x14ac:dyDescent="0.2">
      <c r="E11" s="140" t="str">
        <f>IF(OR($E$7="seleccione rubro",$E$9="seleccione sub - rubro"),"",IF(VLOOKUP((CONCATENATE($E$7,$E$9)),'rubros imesi'!$L$2:$M$256,2,0)=$E$9,"","La descripción de Sub-rubro no se corresponde con el rubro elegido, seleccione nuevamente el Sub-Grupo"))</f>
        <v/>
      </c>
      <c r="F11" s="140"/>
      <c r="G11" s="140"/>
      <c r="H11" s="140"/>
      <c r="I11" s="59">
        <f>VLOOKUP(E9,'rubros imesi'!G2:H64,2,0)</f>
        <v>0</v>
      </c>
      <c r="J11" s="135" t="str">
        <f>IF(I11=0,"",VLOOKUP(I11,'rubros imesi'!$O$2:$P$10,2,0))</f>
        <v/>
      </c>
      <c r="K11" s="136"/>
      <c r="L11" s="137"/>
      <c r="M11" s="58"/>
    </row>
    <row r="12" spans="2:14" x14ac:dyDescent="0.2">
      <c r="H12" s="57"/>
      <c r="I12" s="57"/>
      <c r="J12" s="57"/>
      <c r="K12" s="57"/>
      <c r="L12" s="57"/>
      <c r="M12" s="57"/>
      <c r="N12" s="55"/>
    </row>
    <row r="13" spans="2:14" ht="30.75" customHeight="1" x14ac:dyDescent="0.2">
      <c r="B13" s="61"/>
      <c r="C13" s="61"/>
      <c r="D13" s="62"/>
      <c r="E13" s="62"/>
      <c r="F13" s="141">
        <f>IF(OR($E$7="seleccione rubro",$E$9="seleccione sub - rubro"),0,HLOOKUP(E9,'IMESI Vol Físico - Series mensu'!C2:FZ6,5,0))</f>
        <v>0</v>
      </c>
      <c r="G13" s="141"/>
      <c r="H13" s="141"/>
      <c r="I13" s="141"/>
      <c r="J13" s="141"/>
      <c r="L13" s="62"/>
      <c r="M13" s="62"/>
      <c r="N13" s="63"/>
    </row>
    <row r="14" spans="2:14" x14ac:dyDescent="0.2">
      <c r="B14" s="61"/>
      <c r="C14" s="61"/>
      <c r="D14" s="61"/>
      <c r="E14" s="61"/>
      <c r="F14" s="61"/>
      <c r="G14" s="61"/>
      <c r="H14" s="61"/>
      <c r="I14" s="61"/>
      <c r="J14" s="61"/>
      <c r="K14" s="64" t="s">
        <v>135</v>
      </c>
      <c r="L14" s="65"/>
      <c r="M14" s="52"/>
    </row>
    <row r="15" spans="2:14" x14ac:dyDescent="0.2">
      <c r="B15" s="61"/>
      <c r="C15" s="61"/>
      <c r="D15" s="61"/>
      <c r="E15" s="61"/>
      <c r="F15" s="61"/>
      <c r="L15" s="65"/>
      <c r="M15" s="66"/>
    </row>
    <row r="16" spans="2:14" x14ac:dyDescent="0.2">
      <c r="B16" s="61"/>
      <c r="C16" s="61"/>
      <c r="D16" s="61"/>
      <c r="E16" s="128" t="str">
        <f>IF($E$11="",IF(OR($E$7="seleccione rubro",$E$9="seleccione sub - rubro"),"",HLOOKUP((CONCATENATE($E$9,$G$17)),'IMESI Vol Físico - Series mensu'!$C$4:$FZ$5,2,0)),"")</f>
        <v/>
      </c>
      <c r="F16" s="128"/>
      <c r="G16" s="128"/>
      <c r="H16" s="128"/>
      <c r="I16" s="128"/>
      <c r="J16" s="128"/>
      <c r="K16" s="128"/>
      <c r="L16" s="61"/>
      <c r="M16" s="61"/>
      <c r="N16" s="63"/>
    </row>
    <row r="17" spans="2:13" ht="21" customHeight="1" x14ac:dyDescent="0.2">
      <c r="B17" s="52"/>
      <c r="D17" s="67" t="s">
        <v>91</v>
      </c>
      <c r="E17" s="67" t="s">
        <v>29</v>
      </c>
      <c r="F17" s="68"/>
      <c r="G17" s="67" t="s">
        <v>8</v>
      </c>
      <c r="H17" s="55"/>
      <c r="I17" s="67" t="s">
        <v>9</v>
      </c>
      <c r="J17" s="55"/>
      <c r="K17" s="67" t="s">
        <v>10</v>
      </c>
      <c r="M17" s="52"/>
    </row>
    <row r="18" spans="2:13" x14ac:dyDescent="0.2">
      <c r="B18" s="52"/>
      <c r="C18" s="68"/>
      <c r="D18" s="69">
        <f>+D19</f>
        <v>1987</v>
      </c>
      <c r="E18" s="70"/>
      <c r="F18" s="70"/>
      <c r="G18" s="68"/>
      <c r="I18" s="68"/>
      <c r="K18" s="68"/>
      <c r="M18" s="52"/>
    </row>
    <row r="19" spans="2:13" ht="13.7" customHeight="1" x14ac:dyDescent="0.2">
      <c r="B19" s="61"/>
      <c r="C19" s="71"/>
      <c r="D19" s="72">
        <f>YEAR(E19)</f>
        <v>1987</v>
      </c>
      <c r="E19" s="73">
        <f>+'IMESI Vol Físico - Series mensu'!A7</f>
        <v>31778</v>
      </c>
      <c r="F19" s="73"/>
      <c r="G19" s="74" t="str">
        <f>IF($E$11="",IF(OR($E$7="seleccione rubro",$E$9="seleccione sub - rubro"),"-",HLOOKUP((CONCATENATE($E$9,$G$17)),'IMESI Vol Físico - Series mensu'!$C$4:$FZ$306,4,0)),"-")</f>
        <v>-</v>
      </c>
      <c r="H19" s="75"/>
      <c r="I19" s="74" t="str">
        <f>IF($E$11="",IF(OR($E$7="seleccione rubro",$E$9="seleccione sub - rubro"),"-",HLOOKUP((CONCATENATE($E$9,$I$17)),'IMESI Vol Físico - Series mensu'!$C$4:$FZ$306,4,0)),"-")</f>
        <v>-</v>
      </c>
      <c r="J19" s="75"/>
      <c r="K19" s="74" t="str">
        <f>IF($E$11="",IF(OR($E$7="seleccione rubro",$E$9="seleccione sub - rubro"),"-",HLOOKUP((CONCATENATE($E$9,$K$17)),'IMESI Vol Físico - Series mensu'!$C$4:$FZ$306,4,0)),"-")</f>
        <v>-</v>
      </c>
      <c r="M19" s="52"/>
    </row>
    <row r="20" spans="2:13" ht="12.95" customHeight="1" x14ac:dyDescent="0.2">
      <c r="B20" s="61"/>
      <c r="C20" s="71"/>
      <c r="D20" s="72">
        <f t="shared" ref="D20:D30" si="0">YEAR(E20)</f>
        <v>1987</v>
      </c>
      <c r="E20" s="73">
        <f>+'IMESI Vol Físico - Series mensu'!A8</f>
        <v>31809</v>
      </c>
      <c r="F20" s="73"/>
      <c r="G20" s="74" t="str">
        <f>IF($E$11="",IF(OR($E$7="seleccione rubro",$E$9="seleccione sub - rubro"),"-",HLOOKUP((CONCATENATE($E$9,$G$17)),'IMESI Vol Físico - Series mensu'!$C$4:$FZ$306,5,0)),"-")</f>
        <v>-</v>
      </c>
      <c r="H20" s="75"/>
      <c r="I20" s="74" t="str">
        <f>IF($E$11="",IF(OR($E$7="seleccione rubro",$E$9="seleccione sub - rubro"),"-",HLOOKUP((CONCATENATE($E$9,$I$17)),'IMESI Vol Físico - Series mensu'!$C$4:$FZ$306,5,0)),"-")</f>
        <v>-</v>
      </c>
      <c r="J20" s="75"/>
      <c r="K20" s="74" t="str">
        <f>IF($E$11="",IF(OR($E$7="seleccione rubro",$E$9="seleccione sub - rubro"),"-",HLOOKUP((CONCATENATE($E$9,$K$17)),'IMESI Vol Físico - Series mensu'!$C$4:$FZ$306,5,0)),"-")</f>
        <v>-</v>
      </c>
      <c r="M20" s="52"/>
    </row>
    <row r="21" spans="2:13" ht="12.95" customHeight="1" x14ac:dyDescent="0.2">
      <c r="B21" s="61"/>
      <c r="C21" s="71"/>
      <c r="D21" s="72">
        <f t="shared" si="0"/>
        <v>1987</v>
      </c>
      <c r="E21" s="73">
        <f>+'IMESI Vol Físico - Series mensu'!A9</f>
        <v>31837</v>
      </c>
      <c r="F21" s="73"/>
      <c r="G21" s="74" t="str">
        <f>IF($E$11="",IF(OR($E$7="seleccione rubro",$E$9="seleccione sub - rubro"),"-",HLOOKUP((CONCATENATE($E$9,$G$17)),'IMESI Vol Físico - Series mensu'!$C$4:$FZ$306,6,0)),"-")</f>
        <v>-</v>
      </c>
      <c r="H21" s="75"/>
      <c r="I21" s="74" t="str">
        <f>IF($E$11="",IF(OR($E$7="seleccione rubro",$E$9="seleccione sub - rubro"),"-",HLOOKUP((CONCATENATE($E$9,$I$17)),'IMESI Vol Físico - Series mensu'!$C$4:$FZ$306,6,0)),"-")</f>
        <v>-</v>
      </c>
      <c r="J21" s="75"/>
      <c r="K21" s="74" t="str">
        <f>IF($E$11="",IF(OR($E$7="seleccione rubro",$E$9="seleccione sub - rubro"),"-",HLOOKUP((CONCATENATE($E$9,$K$17)),'IMESI Vol Físico - Series mensu'!$C$4:$FZ$306,6,0)),"-")</f>
        <v>-</v>
      </c>
      <c r="M21" s="52"/>
    </row>
    <row r="22" spans="2:13" ht="12.95" customHeight="1" x14ac:dyDescent="0.2">
      <c r="B22" s="61"/>
      <c r="C22" s="71"/>
      <c r="D22" s="72">
        <f t="shared" si="0"/>
        <v>1987</v>
      </c>
      <c r="E22" s="73">
        <f>+'IMESI Vol Físico - Series mensu'!A10</f>
        <v>31868</v>
      </c>
      <c r="F22" s="73"/>
      <c r="G22" s="74" t="str">
        <f>IF($E$11="",IF(OR($E$7="seleccione rubro",$E$9="seleccione sub - rubro"),"-",HLOOKUP((CONCATENATE($E$9,$G$17)),'IMESI Vol Físico - Series mensu'!$C$4:$FZ$306,7,0)),"-")</f>
        <v>-</v>
      </c>
      <c r="H22" s="75"/>
      <c r="I22" s="74" t="str">
        <f>IF($E$11="",IF(OR($E$7="seleccione rubro",$E$9="seleccione sub - rubro"),"-",HLOOKUP((CONCATENATE($E$9,$I$17)),'IMESI Vol Físico - Series mensu'!$C$4:$FZ$306,7,0)),"-")</f>
        <v>-</v>
      </c>
      <c r="J22" s="75"/>
      <c r="K22" s="74" t="str">
        <f>IF($E$11="",IF(OR($E$7="seleccione rubro",$E$9="seleccione sub - rubro"),"-",HLOOKUP((CONCATENATE($E$9,$K$17)),'IMESI Vol Físico - Series mensu'!$C$4:$FZ$306,7,0)),"-")</f>
        <v>-</v>
      </c>
      <c r="M22" s="52"/>
    </row>
    <row r="23" spans="2:13" ht="12.95" customHeight="1" x14ac:dyDescent="0.2">
      <c r="B23" s="61"/>
      <c r="C23" s="71"/>
      <c r="D23" s="72">
        <f t="shared" si="0"/>
        <v>1987</v>
      </c>
      <c r="E23" s="73">
        <f>+'IMESI Vol Físico - Series mensu'!A11</f>
        <v>31898</v>
      </c>
      <c r="F23" s="73"/>
      <c r="G23" s="74" t="str">
        <f>IF($E$11="",IF(OR($E$7="seleccione rubro",$E$9="seleccione sub - rubro"),"-",HLOOKUP((CONCATENATE($E$9,$G$17)),'IMESI Vol Físico - Series mensu'!$C$4:$FZ$306,8,0)),"-")</f>
        <v>-</v>
      </c>
      <c r="H23" s="75"/>
      <c r="I23" s="74" t="str">
        <f>IF($E$11="",IF(OR($E$7="seleccione rubro",$E$9="seleccione sub - rubro"),"-",HLOOKUP((CONCATENATE($E$9,$I$17)),'IMESI Vol Físico - Series mensu'!$C$4:$FZ$306,8,0)),"-")</f>
        <v>-</v>
      </c>
      <c r="J23" s="75"/>
      <c r="K23" s="74" t="str">
        <f>IF($E$11="",IF(OR($E$7="seleccione rubro",$E$9="seleccione sub - rubro"),"-",HLOOKUP((CONCATENATE($E$9,$K$17)),'IMESI Vol Físico - Series mensu'!$C$4:$FZ$306,8,0)),"-")</f>
        <v>-</v>
      </c>
      <c r="M23" s="52"/>
    </row>
    <row r="24" spans="2:13" ht="12.95" customHeight="1" x14ac:dyDescent="0.2">
      <c r="B24" s="61"/>
      <c r="C24" s="71"/>
      <c r="D24" s="72">
        <f t="shared" si="0"/>
        <v>1987</v>
      </c>
      <c r="E24" s="73">
        <f>+'IMESI Vol Físico - Series mensu'!A12</f>
        <v>31929</v>
      </c>
      <c r="F24" s="73"/>
      <c r="G24" s="74" t="str">
        <f>IF($E$11="",IF(OR($E$7="seleccione rubro",$E$9="seleccione sub - rubro"),"-",HLOOKUP((CONCATENATE($E$9,$G$17)),'IMESI Vol Físico - Series mensu'!$C$4:$FZ$306,9,0)),"-")</f>
        <v>-</v>
      </c>
      <c r="H24" s="75"/>
      <c r="I24" s="74" t="str">
        <f>IF($E$11="",IF(OR($E$7="seleccione rubro",$E$9="seleccione sub - rubro"),"-",HLOOKUP((CONCATENATE($E$9,$I$17)),'IMESI Vol Físico - Series mensu'!$C$4:$FZ$306,9,0)),"-")</f>
        <v>-</v>
      </c>
      <c r="J24" s="75"/>
      <c r="K24" s="74" t="str">
        <f>IF($E$11="",IF(OR($E$7="seleccione rubro",$E$9="seleccione sub - rubro"),"-",HLOOKUP((CONCATENATE($E$9,$K$17)),'IMESI Vol Físico - Series mensu'!$C$4:$FZ$306,9,0)),"-")</f>
        <v>-</v>
      </c>
      <c r="M24" s="52"/>
    </row>
    <row r="25" spans="2:13" ht="12.95" customHeight="1" x14ac:dyDescent="0.2">
      <c r="B25" s="61"/>
      <c r="C25" s="71"/>
      <c r="D25" s="72">
        <f t="shared" si="0"/>
        <v>1987</v>
      </c>
      <c r="E25" s="73">
        <f>+'IMESI Vol Físico - Series mensu'!A13</f>
        <v>31959</v>
      </c>
      <c r="F25" s="73"/>
      <c r="G25" s="74" t="str">
        <f>IF($E$11="",IF(OR($E$7="seleccione rubro",$E$9="seleccione sub - rubro"),"-",HLOOKUP((CONCATENATE($E$9,$G$17)),'IMESI Vol Físico - Series mensu'!$C$4:$FZ$306,10,0)),"-")</f>
        <v>-</v>
      </c>
      <c r="H25" s="75"/>
      <c r="I25" s="74" t="str">
        <f>IF($E$11="",IF(OR($E$7="seleccione rubro",$E$9="seleccione sub - rubro"),"-",HLOOKUP((CONCATENATE($E$9,$I$17)),'IMESI Vol Físico - Series mensu'!$C$4:$FZ$306,10,0)),"-")</f>
        <v>-</v>
      </c>
      <c r="J25" s="75"/>
      <c r="K25" s="74" t="str">
        <f>IF($E$11="",IF(OR($E$7="seleccione rubro",$E$9="seleccione sub - rubro"),"-",HLOOKUP((CONCATENATE($E$9,$K$17)),'IMESI Vol Físico - Series mensu'!$C$4:$FZ$306,10,0)),"-")</f>
        <v>-</v>
      </c>
      <c r="M25" s="52"/>
    </row>
    <row r="26" spans="2:13" ht="12.95" customHeight="1" x14ac:dyDescent="0.2">
      <c r="B26" s="61"/>
      <c r="C26" s="71"/>
      <c r="D26" s="72">
        <f t="shared" si="0"/>
        <v>1987</v>
      </c>
      <c r="E26" s="73">
        <f>+'IMESI Vol Físico - Series mensu'!A14</f>
        <v>31990</v>
      </c>
      <c r="F26" s="73"/>
      <c r="G26" s="74" t="str">
        <f>IF($E$11="",IF(OR($E$7="seleccione rubro",$E$9="seleccione sub - rubro"),"-",HLOOKUP((CONCATENATE($E$9,$G$17)),'IMESI Vol Físico - Series mensu'!$C$4:$FZ$306,11,0)),"-")</f>
        <v>-</v>
      </c>
      <c r="H26" s="75"/>
      <c r="I26" s="74" t="str">
        <f>IF($E$11="",IF(OR($E$7="seleccione rubro",$E$9="seleccione sub - rubro"),"-",HLOOKUP((CONCATENATE($E$9,$I$17)),'IMESI Vol Físico - Series mensu'!$C$4:$FZ$306,11,0)),"-")</f>
        <v>-</v>
      </c>
      <c r="J26" s="75"/>
      <c r="K26" s="74" t="str">
        <f>IF($E$11="",IF(OR($E$7="seleccione rubro",$E$9="seleccione sub - rubro"),"-",HLOOKUP((CONCATENATE($E$9,$K$17)),'IMESI Vol Físico - Series mensu'!$C$4:$FZ$306,11,0)),"-")</f>
        <v>-</v>
      </c>
      <c r="M26" s="52"/>
    </row>
    <row r="27" spans="2:13" ht="12.95" customHeight="1" x14ac:dyDescent="0.2">
      <c r="B27" s="61"/>
      <c r="C27" s="71"/>
      <c r="D27" s="72">
        <f t="shared" si="0"/>
        <v>1987</v>
      </c>
      <c r="E27" s="73">
        <f>+'IMESI Vol Físico - Series mensu'!A15</f>
        <v>32021</v>
      </c>
      <c r="F27" s="73"/>
      <c r="G27" s="74" t="str">
        <f>IF($E$11="",IF(OR($E$7="seleccione rubro",$E$9="seleccione sub - rubro"),"-",HLOOKUP((CONCATENATE($E$9,$G$17)),'IMESI Vol Físico - Series mensu'!$C$4:$FZ$306,12,0)),"-")</f>
        <v>-</v>
      </c>
      <c r="H27" s="75"/>
      <c r="I27" s="74" t="str">
        <f>IF($E$11="",IF(OR($E$7="seleccione rubro",$E$9="seleccione sub - rubro"),"-",HLOOKUP((CONCATENATE($E$9,$I$17)),'IMESI Vol Físico - Series mensu'!$C$4:$FZ$306,12,0)),"-")</f>
        <v>-</v>
      </c>
      <c r="J27" s="75"/>
      <c r="K27" s="74" t="str">
        <f>IF($E$11="",IF(OR($E$7="seleccione rubro",$E$9="seleccione sub - rubro"),"-",HLOOKUP((CONCATENATE($E$9,$K$17)),'IMESI Vol Físico - Series mensu'!$C$4:$FZ$306,12,0)),"-")</f>
        <v>-</v>
      </c>
      <c r="M27" s="52"/>
    </row>
    <row r="28" spans="2:13" ht="12.95" customHeight="1" x14ac:dyDescent="0.2">
      <c r="B28" s="76"/>
      <c r="C28" s="71"/>
      <c r="D28" s="72">
        <f t="shared" si="0"/>
        <v>1987</v>
      </c>
      <c r="E28" s="73">
        <f>+'IMESI Vol Físico - Series mensu'!A16</f>
        <v>32051</v>
      </c>
      <c r="F28" s="73"/>
      <c r="G28" s="74" t="str">
        <f>IF($E$11="",IF(OR($E$7="seleccione rubro",$E$9="seleccione sub - rubro"),"-",HLOOKUP((CONCATENATE($E$9,$G$17)),'IMESI Vol Físico - Series mensu'!$C$4:$FZ$306,13,0)),"-")</f>
        <v>-</v>
      </c>
      <c r="H28" s="75"/>
      <c r="I28" s="74" t="str">
        <f>IF($E$11="",IF(OR($E$7="seleccione rubro",$E$9="seleccione sub - rubro"),"-",HLOOKUP((CONCATENATE($E$9,$I$17)),'IMESI Vol Físico - Series mensu'!$C$4:$FZ$306,13,0)),"-")</f>
        <v>-</v>
      </c>
      <c r="J28" s="75"/>
      <c r="K28" s="74" t="str">
        <f>IF($E$11="",IF(OR($E$7="seleccione rubro",$E$9="seleccione sub - rubro"),"-",HLOOKUP((CONCATENATE($E$9,$K$17)),'IMESI Vol Físico - Series mensu'!$C$4:$FZ$306,13,0)),"-")</f>
        <v>-</v>
      </c>
      <c r="M28" s="52"/>
    </row>
    <row r="29" spans="2:13" ht="12.95" customHeight="1" x14ac:dyDescent="0.2">
      <c r="C29" s="71"/>
      <c r="D29" s="72">
        <f t="shared" si="0"/>
        <v>1987</v>
      </c>
      <c r="E29" s="73">
        <f>+'IMESI Vol Físico - Series mensu'!A17</f>
        <v>32082</v>
      </c>
      <c r="F29" s="73"/>
      <c r="G29" s="74" t="str">
        <f>IF($E$11="",IF(OR($E$7="seleccione rubro",$E$9="seleccione sub - rubro"),"-",HLOOKUP((CONCATENATE($E$9,$G$17)),'IMESI Vol Físico - Series mensu'!$C$4:$FZ$306,14,0)),"-")</f>
        <v>-</v>
      </c>
      <c r="H29" s="75"/>
      <c r="I29" s="74" t="str">
        <f>IF($E$11="",IF(OR($E$7="seleccione rubro",$E$9="seleccione sub - rubro"),"-",HLOOKUP((CONCATENATE($E$9,$I$17)),'IMESI Vol Físico - Series mensu'!$C$4:$FZ$306,14,0)),"-")</f>
        <v>-</v>
      </c>
      <c r="J29" s="75"/>
      <c r="K29" s="74" t="str">
        <f>IF($E$11="",IF(OR($E$7="seleccione rubro",$E$9="seleccione sub - rubro"),"-",HLOOKUP((CONCATENATE($E$9,$K$17)),'IMESI Vol Físico - Series mensu'!$C$4:$FZ$306,14,0)),"-")</f>
        <v>-</v>
      </c>
      <c r="M29" s="52"/>
    </row>
    <row r="30" spans="2:13" ht="12.95" customHeight="1" x14ac:dyDescent="0.2">
      <c r="C30" s="71"/>
      <c r="D30" s="72">
        <f t="shared" si="0"/>
        <v>1987</v>
      </c>
      <c r="E30" s="73">
        <f>+'IMESI Vol Físico - Series mensu'!A18</f>
        <v>32112</v>
      </c>
      <c r="F30" s="73"/>
      <c r="G30" s="74" t="str">
        <f>IF($E$11="",IF(OR($E$7="seleccione rubro",$E$9="seleccione sub - rubro"),"-",HLOOKUP((CONCATENATE($E$9,$G$17)),'IMESI Vol Físico - Series mensu'!$C$4:$FZ$306,15,0)),"-")</f>
        <v>-</v>
      </c>
      <c r="H30" s="75"/>
      <c r="I30" s="74" t="str">
        <f>IF($E$11="",IF(OR($E$7="seleccione rubro",$E$9="seleccione sub - rubro"),"-",HLOOKUP((CONCATENATE($E$9,$I$17)),'IMESI Vol Físico - Series mensu'!$C$4:$FZ$306,15,0)),"-")</f>
        <v>-</v>
      </c>
      <c r="J30" s="75"/>
      <c r="K30" s="74" t="str">
        <f>IF($E$11="",IF(OR($E$7="seleccione rubro",$E$9="seleccione sub - rubro"),"-",HLOOKUP((CONCATENATE($E$9,$K$17)),'IMESI Vol Físico - Series mensu'!$C$4:$FZ$306,15,0)),"-")</f>
        <v>-</v>
      </c>
      <c r="M30" s="52"/>
    </row>
    <row r="31" spans="2:13" ht="12.95" customHeight="1" x14ac:dyDescent="0.2">
      <c r="C31" s="71"/>
      <c r="D31" s="69">
        <f>+D32</f>
        <v>1988</v>
      </c>
      <c r="E31" s="70"/>
      <c r="F31" s="70"/>
      <c r="G31" s="74"/>
      <c r="H31" s="75"/>
      <c r="I31" s="74"/>
      <c r="J31" s="75"/>
      <c r="K31" s="74"/>
      <c r="M31" s="52"/>
    </row>
    <row r="32" spans="2:13" ht="12.95" customHeight="1" x14ac:dyDescent="0.2">
      <c r="C32" s="71"/>
      <c r="D32" s="72">
        <f>YEAR(E32)</f>
        <v>1988</v>
      </c>
      <c r="E32" s="73">
        <f>+'IMESI Vol Físico - Series mensu'!A19</f>
        <v>32143</v>
      </c>
      <c r="F32" s="73"/>
      <c r="G32" s="74" t="str">
        <f>IF($E$11="",IF(OR($E$7="seleccione rubro",$E$9="seleccione sub - rubro"),"-",HLOOKUP((CONCATENATE($E$9,$G$17)),'IMESI Vol Físico - Series mensu'!$C$4:$FZ$306,16,0)),"-")</f>
        <v>-</v>
      </c>
      <c r="H32" s="75"/>
      <c r="I32" s="74" t="str">
        <f>IF($E$11="",IF(OR($E$7="seleccione rubro",$E$9="seleccione sub - rubro"),"-",HLOOKUP((CONCATENATE($E$9,$I$17)),'IMESI Vol Físico - Series mensu'!$C$4:$FZ$306,16,0)),"-")</f>
        <v>-</v>
      </c>
      <c r="J32" s="75"/>
      <c r="K32" s="74" t="str">
        <f>IF($E$11="",IF(OR($E$7="seleccione rubro",$E$9="seleccione sub - rubro"),"-",HLOOKUP((CONCATENATE($E$9,$K$17)),'IMESI Vol Físico - Series mensu'!$C$4:$FZ$306,16,0)),"-")</f>
        <v>-</v>
      </c>
      <c r="M32" s="52"/>
    </row>
    <row r="33" spans="2:13" ht="12.95" customHeight="1" x14ac:dyDescent="0.2">
      <c r="C33" s="71"/>
      <c r="D33" s="72">
        <f t="shared" ref="D33:D43" si="1">YEAR(E33)</f>
        <v>1988</v>
      </c>
      <c r="E33" s="73">
        <f>+'IMESI Vol Físico - Series mensu'!A20</f>
        <v>32174</v>
      </c>
      <c r="F33" s="73"/>
      <c r="G33" s="74" t="str">
        <f>IF($E$11="",IF(OR($E$7="seleccione rubro",$E$9="seleccione sub - rubro"),"-",HLOOKUP((CONCATENATE($E$9,$G$17)),'IMESI Vol Físico - Series mensu'!$C$4:$FZ$306,17,0)),"-")</f>
        <v>-</v>
      </c>
      <c r="H33" s="75"/>
      <c r="I33" s="74" t="str">
        <f>IF($E$11="",IF(OR($E$7="seleccione rubro",$E$9="seleccione sub - rubro"),"-",HLOOKUP((CONCATENATE($E$9,$I$17)),'IMESI Vol Físico - Series mensu'!$C$4:$FZ$306,17,0)),"-")</f>
        <v>-</v>
      </c>
      <c r="J33" s="75"/>
      <c r="K33" s="74" t="str">
        <f>IF($E$11="",IF(OR($E$7="seleccione rubro",$E$9="seleccione sub - rubro"),"-",HLOOKUP((CONCATENATE($E$9,$K$17)),'IMESI Vol Físico - Series mensu'!$C$4:$FZ$306,17,0)),"-")</f>
        <v>-</v>
      </c>
      <c r="M33" s="52"/>
    </row>
    <row r="34" spans="2:13" x14ac:dyDescent="0.2">
      <c r="C34" s="71"/>
      <c r="D34" s="72">
        <f t="shared" si="1"/>
        <v>1988</v>
      </c>
      <c r="E34" s="73">
        <f>+'IMESI Vol Físico - Series mensu'!A21</f>
        <v>32203</v>
      </c>
      <c r="F34" s="73"/>
      <c r="G34" s="74" t="str">
        <f>IF($E$11="",IF(OR($E$7="seleccione rubro",$E$9="seleccione sub - rubro"),"-",HLOOKUP((CONCATENATE($E$9,$G$17)),'IMESI Vol Físico - Series mensu'!$C$4:$FZ$306,18,0)),"-")</f>
        <v>-</v>
      </c>
      <c r="H34" s="77"/>
      <c r="I34" s="74" t="str">
        <f>IF($E$11="",IF(OR($E$7="seleccione rubro",$E$9="seleccione sub - rubro"),"-",HLOOKUP((CONCATENATE($E$9,$I$17)),'IMESI Vol Físico - Series mensu'!$C$4:$FZ$306,18,0)),"-")</f>
        <v>-</v>
      </c>
      <c r="J34" s="77"/>
      <c r="K34" s="74" t="str">
        <f>IF($E$11="",IF(OR($E$7="seleccione rubro",$E$9="seleccione sub - rubro"),"-",HLOOKUP((CONCATENATE($E$9,$K$17)),'IMESI Vol Físico - Series mensu'!$C$4:$FZ$306,18,0)),"-")</f>
        <v>-</v>
      </c>
      <c r="L34" s="52"/>
      <c r="M34" s="78"/>
    </row>
    <row r="35" spans="2:13" x14ac:dyDescent="0.2">
      <c r="C35" s="79"/>
      <c r="D35" s="72">
        <f t="shared" si="1"/>
        <v>1988</v>
      </c>
      <c r="E35" s="73">
        <f>+'IMESI Vol Físico - Series mensu'!A22</f>
        <v>32234</v>
      </c>
      <c r="F35" s="73"/>
      <c r="G35" s="74" t="str">
        <f>IF($E$11="",IF(OR($E$7="seleccione rubro",$E$9="seleccione sub - rubro"),"-",HLOOKUP((CONCATENATE($E$9,$G$17)),'IMESI Vol Físico - Series mensu'!$C$4:$FZ$306,19,0)),"-")</f>
        <v>-</v>
      </c>
      <c r="H35" s="77"/>
      <c r="I35" s="74" t="str">
        <f>IF($E$11="",IF(OR($E$7="seleccione rubro",$E$9="seleccione sub - rubro"),"-",HLOOKUP((CONCATENATE($E$9,$I$17)),'IMESI Vol Físico - Series mensu'!$C$4:$FZ$306,19,0)),"-")</f>
        <v>-</v>
      </c>
      <c r="J35" s="75"/>
      <c r="K35" s="74" t="str">
        <f>IF($E$11="",IF(OR($E$7="seleccione rubro",$E$9="seleccione sub - rubro"),"-",HLOOKUP((CONCATENATE($E$9,$K$17)),'IMESI Vol Físico - Series mensu'!$C$4:$FZ$306,19,0)),"-")</f>
        <v>-</v>
      </c>
      <c r="L35" s="80"/>
    </row>
    <row r="36" spans="2:13" x14ac:dyDescent="0.2">
      <c r="B36" s="52"/>
      <c r="C36" s="52"/>
      <c r="D36" s="72">
        <f t="shared" si="1"/>
        <v>1988</v>
      </c>
      <c r="E36" s="73">
        <f>+'IMESI Vol Físico - Series mensu'!A23</f>
        <v>32264</v>
      </c>
      <c r="F36" s="73"/>
      <c r="G36" s="74" t="str">
        <f>IF($E$11="",IF(OR($E$7="seleccione rubro",$E$9="seleccione sub - rubro"),"-",HLOOKUP((CONCATENATE($E$9,$G$17)),'IMESI Vol Físico - Series mensu'!$C$4:$FZ$306,20,0)),"-")</f>
        <v>-</v>
      </c>
      <c r="H36" s="77"/>
      <c r="I36" s="74" t="str">
        <f>IF($E$11="",IF(OR($E$7="seleccione rubro",$E$9="seleccione sub - rubro"),"-",HLOOKUP((CONCATENATE($E$9,$I$17)),'IMESI Vol Físico - Series mensu'!$C$4:$FZ$306,20,0)),"-")</f>
        <v>-</v>
      </c>
      <c r="J36" s="75"/>
      <c r="K36" s="74" t="str">
        <f>IF($E$11="",IF(OR($E$7="seleccione rubro",$E$9="seleccione sub - rubro"),"-",HLOOKUP((CONCATENATE($E$9,$K$17)),'IMESI Vol Físico - Series mensu'!$C$4:$FZ$306,20,0)),"-")</f>
        <v>-</v>
      </c>
      <c r="L36" s="80"/>
    </row>
    <row r="37" spans="2:13" x14ac:dyDescent="0.2">
      <c r="B37" s="52"/>
      <c r="C37" s="52"/>
      <c r="D37" s="72">
        <f t="shared" si="1"/>
        <v>1988</v>
      </c>
      <c r="E37" s="73">
        <f>+'IMESI Vol Físico - Series mensu'!A24</f>
        <v>32295</v>
      </c>
      <c r="F37" s="73"/>
      <c r="G37" s="74" t="str">
        <f>IF($E$11="",IF(OR($E$7="seleccione rubro",$E$9="seleccione sub - rubro"),"-",HLOOKUP((CONCATENATE($E$9,$G$17)),'IMESI Vol Físico - Series mensu'!$C$4:$FZ$306,21,0)),"-")</f>
        <v>-</v>
      </c>
      <c r="H37" s="75"/>
      <c r="I37" s="74" t="str">
        <f>IF($E$11="",IF(OR($E$7="seleccione rubro",$E$9="seleccione sub - rubro"),"-",HLOOKUP((CONCATENATE($E$9,$I$17)),'IMESI Vol Físico - Series mensu'!$C$4:$FZ$306,21,0)),"-")</f>
        <v>-</v>
      </c>
      <c r="J37" s="75"/>
      <c r="K37" s="74" t="str">
        <f>IF($E$11="",IF(OR($E$7="seleccione rubro",$E$9="seleccione sub - rubro"),"-",HLOOKUP((CONCATENATE($E$9,$K$17)),'IMESI Vol Físico - Series mensu'!$C$4:$FZ$306,21,0)),"-")</f>
        <v>-</v>
      </c>
    </row>
    <row r="38" spans="2:13" x14ac:dyDescent="0.2">
      <c r="D38" s="72">
        <f t="shared" si="1"/>
        <v>1988</v>
      </c>
      <c r="E38" s="73">
        <f>+'IMESI Vol Físico - Series mensu'!A25</f>
        <v>32325</v>
      </c>
      <c r="F38" s="73"/>
      <c r="G38" s="74" t="str">
        <f>IF($E$11="",IF(OR($E$7="seleccione rubro",$E$9="seleccione sub - rubro"),"-",HLOOKUP((CONCATENATE($E$9,$G$17)),'IMESI Vol Físico - Series mensu'!$C$4:$FZ$306,22,0)),"-")</f>
        <v>-</v>
      </c>
      <c r="H38" s="75"/>
      <c r="I38" s="74" t="str">
        <f>IF($E$11="",IF(OR($E$7="seleccione rubro",$E$9="seleccione sub - rubro"),"-",HLOOKUP((CONCATENATE($E$9,$I$17)),'IMESI Vol Físico - Series mensu'!$C$4:$FZ$306,22,0)),"-")</f>
        <v>-</v>
      </c>
      <c r="J38" s="75"/>
      <c r="K38" s="74" t="str">
        <f>IF($E$11="",IF(OR($E$7="seleccione rubro",$E$9="seleccione sub - rubro"),"-",HLOOKUP((CONCATENATE($E$9,$K$17)),'IMESI Vol Físico - Series mensu'!$C$4:$FZ$306,22,0)),"-")</f>
        <v>-</v>
      </c>
    </row>
    <row r="39" spans="2:13" x14ac:dyDescent="0.2">
      <c r="D39" s="72">
        <f t="shared" si="1"/>
        <v>1988</v>
      </c>
      <c r="E39" s="73">
        <f>+'IMESI Vol Físico - Series mensu'!A26</f>
        <v>32356</v>
      </c>
      <c r="F39" s="73"/>
      <c r="G39" s="74" t="str">
        <f>IF($E$11="",IF(OR($E$7="seleccione rubro",$E$9="seleccione sub - rubro"),"-",HLOOKUP((CONCATENATE($E$9,$G$17)),'IMESI Vol Físico - Series mensu'!$C$4:$FZ$306,23,0)),"-")</f>
        <v>-</v>
      </c>
      <c r="H39" s="75"/>
      <c r="I39" s="74" t="str">
        <f>IF($E$11="",IF(OR($E$7="seleccione rubro",$E$9="seleccione sub - rubro"),"-",HLOOKUP((CONCATENATE($E$9,$I$17)),'IMESI Vol Físico - Series mensu'!$C$4:$FZ$306,23,0)),"-")</f>
        <v>-</v>
      </c>
      <c r="J39" s="75"/>
      <c r="K39" s="74" t="str">
        <f>IF($E$11="",IF(OR($E$7="seleccione rubro",$E$9="seleccione sub - rubro"),"-",HLOOKUP((CONCATENATE($E$9,$K$17)),'IMESI Vol Físico - Series mensu'!$C$4:$FZ$306,23,0)),"-")</f>
        <v>-</v>
      </c>
    </row>
    <row r="40" spans="2:13" x14ac:dyDescent="0.2">
      <c r="D40" s="72">
        <f t="shared" si="1"/>
        <v>1988</v>
      </c>
      <c r="E40" s="73">
        <f>+'IMESI Vol Físico - Series mensu'!A27</f>
        <v>32387</v>
      </c>
      <c r="F40" s="73"/>
      <c r="G40" s="74" t="str">
        <f>IF($E$11="",IF(OR($E$7="seleccione rubro",$E$9="seleccione sub - rubro"),"-",HLOOKUP((CONCATENATE($E$9,$G$17)),'IMESI Vol Físico - Series mensu'!$C$4:$FZ$306,24,0)),"-")</f>
        <v>-</v>
      </c>
      <c r="H40" s="75"/>
      <c r="I40" s="74" t="str">
        <f>IF($E$11="",IF(OR($E$7="seleccione rubro",$E$9="seleccione sub - rubro"),"-",HLOOKUP((CONCATENATE($E$9,$I$17)),'IMESI Vol Físico - Series mensu'!$C$4:$FZ$306,24,0)),"-")</f>
        <v>-</v>
      </c>
      <c r="J40" s="75"/>
      <c r="K40" s="74" t="str">
        <f>IF($E$11="",IF(OR($E$7="seleccione rubro",$E$9="seleccione sub - rubro"),"-",HLOOKUP((CONCATENATE($E$9,$K$17)),'IMESI Vol Físico - Series mensu'!$C$4:$FZ$306,24,0)),"-")</f>
        <v>-</v>
      </c>
    </row>
    <row r="41" spans="2:13" x14ac:dyDescent="0.2">
      <c r="D41" s="72">
        <f t="shared" si="1"/>
        <v>1988</v>
      </c>
      <c r="E41" s="73">
        <f>+'IMESI Vol Físico - Series mensu'!A28</f>
        <v>32417</v>
      </c>
      <c r="F41" s="73"/>
      <c r="G41" s="74" t="str">
        <f>IF($E$11="",IF(OR($E$7="seleccione rubro",$E$9="seleccione sub - rubro"),"-",HLOOKUP((CONCATENATE($E$9,$G$17)),'IMESI Vol Físico - Series mensu'!$C$4:$FZ$306,25,0)),"-")</f>
        <v>-</v>
      </c>
      <c r="H41" s="75"/>
      <c r="I41" s="74" t="str">
        <f>IF($E$11="",IF(OR($E$7="seleccione rubro",$E$9="seleccione sub - rubro"),"-",HLOOKUP((CONCATENATE($E$9,$I$17)),'IMESI Vol Físico - Series mensu'!$C$4:$FZ$306,25,0)),"-")</f>
        <v>-</v>
      </c>
      <c r="J41" s="75"/>
      <c r="K41" s="74" t="str">
        <f>IF($E$11="",IF(OR($E$7="seleccione rubro",$E$9="seleccione sub - rubro"),"-",HLOOKUP((CONCATENATE($E$9,$K$17)),'IMESI Vol Físico - Series mensu'!$C$4:$FZ$306,25,0)),"-")</f>
        <v>-</v>
      </c>
    </row>
    <row r="42" spans="2:13" x14ac:dyDescent="0.2">
      <c r="D42" s="72">
        <f t="shared" si="1"/>
        <v>1988</v>
      </c>
      <c r="E42" s="73">
        <f>+'IMESI Vol Físico - Series mensu'!A29</f>
        <v>32448</v>
      </c>
      <c r="F42" s="73"/>
      <c r="G42" s="74" t="str">
        <f>IF($E$11="",IF(OR($E$7="seleccione rubro",$E$9="seleccione sub - rubro"),"-",HLOOKUP((CONCATENATE($E$9,$G$17)),'IMESI Vol Físico - Series mensu'!$C$4:$FZ$306,26,0)),"-")</f>
        <v>-</v>
      </c>
      <c r="H42" s="75"/>
      <c r="I42" s="74" t="str">
        <f>IF($E$11="",IF(OR($E$7="seleccione rubro",$E$9="seleccione sub - rubro"),"-",HLOOKUP((CONCATENATE($E$9,$I$17)),'IMESI Vol Físico - Series mensu'!$C$4:$FZ$306,26,0)),"-")</f>
        <v>-</v>
      </c>
      <c r="J42" s="75"/>
      <c r="K42" s="74" t="str">
        <f>IF($E$11="",IF(OR($E$7="seleccione rubro",$E$9="seleccione sub - rubro"),"-",HLOOKUP((CONCATENATE($E$9,$K$17)),'IMESI Vol Físico - Series mensu'!$C$4:$FZ$306,26,0)),"-")</f>
        <v>-</v>
      </c>
    </row>
    <row r="43" spans="2:13" x14ac:dyDescent="0.2">
      <c r="D43" s="72">
        <f t="shared" si="1"/>
        <v>1988</v>
      </c>
      <c r="E43" s="73">
        <f>+'IMESI Vol Físico - Series mensu'!A30</f>
        <v>32478</v>
      </c>
      <c r="F43" s="73"/>
      <c r="G43" s="74" t="str">
        <f>IF($E$11="",IF(OR($E$7="seleccione rubro",$E$9="seleccione sub - rubro"),"-",HLOOKUP((CONCATENATE($E$9,$G$17)),'IMESI Vol Físico - Series mensu'!$C$4:$FZ$306,27,0)),"-")</f>
        <v>-</v>
      </c>
      <c r="H43" s="75"/>
      <c r="I43" s="74" t="str">
        <f>IF($E$11="",IF(OR($E$7="seleccione rubro",$E$9="seleccione sub - rubro"),"-",HLOOKUP((CONCATENATE($E$9,$I$17)),'IMESI Vol Físico - Series mensu'!$C$4:$FZ$306,27,0)),"-")</f>
        <v>-</v>
      </c>
      <c r="J43" s="75"/>
      <c r="K43" s="74" t="str">
        <f>IF($E$11="",IF(OR($E$7="seleccione rubro",$E$9="seleccione sub - rubro"),"-",HLOOKUP((CONCATENATE($E$9,$K$17)),'IMESI Vol Físico - Series mensu'!$C$4:$FZ$306,27,0)),"-")</f>
        <v>-</v>
      </c>
    </row>
    <row r="44" spans="2:13" x14ac:dyDescent="0.2">
      <c r="D44" s="69">
        <f>+D45</f>
        <v>1989</v>
      </c>
      <c r="E44" s="70"/>
      <c r="F44" s="70"/>
      <c r="G44" s="74"/>
      <c r="H44" s="75"/>
      <c r="I44" s="74"/>
      <c r="J44" s="75"/>
      <c r="K44" s="74"/>
    </row>
    <row r="45" spans="2:13" x14ac:dyDescent="0.2">
      <c r="D45" s="72">
        <f>YEAR(E45)</f>
        <v>1989</v>
      </c>
      <c r="E45" s="73">
        <f>+'IMESI Vol Físico - Series mensu'!A31</f>
        <v>32509</v>
      </c>
      <c r="F45" s="73"/>
      <c r="G45" s="74" t="str">
        <f>IF($E$11="",IF(OR($E$7="seleccione rubro",$E$9="seleccione sub - rubro"),"-",HLOOKUP((CONCATENATE($E$9,$G$17)),'IMESI Vol Físico - Series mensu'!$C$4:$FZ$306,28,0)),"-")</f>
        <v>-</v>
      </c>
      <c r="H45" s="75"/>
      <c r="I45" s="74" t="str">
        <f>IF($E$11="",IF(OR($E$7="seleccione rubro",$E$9="seleccione sub - rubro"),"-",HLOOKUP((CONCATENATE($E$9,$I$17)),'IMESI Vol Físico - Series mensu'!$C$4:$FZ$306,28,0)),"-")</f>
        <v>-</v>
      </c>
      <c r="J45" s="75"/>
      <c r="K45" s="74" t="str">
        <f>IF($E$11="",IF(OR($E$7="seleccione rubro",$E$9="seleccione sub - rubro"),"-",HLOOKUP((CONCATENATE($E$9,$K$17)),'IMESI Vol Físico - Series mensu'!$C$4:$FZ$306,28,0)),"-")</f>
        <v>-</v>
      </c>
    </row>
    <row r="46" spans="2:13" x14ac:dyDescent="0.2">
      <c r="D46" s="72">
        <f t="shared" ref="D46:D56" si="2">YEAR(E46)</f>
        <v>1989</v>
      </c>
      <c r="E46" s="73">
        <f>+'IMESI Vol Físico - Series mensu'!A32</f>
        <v>32540</v>
      </c>
      <c r="F46" s="73"/>
      <c r="G46" s="74" t="str">
        <f>IF($E$11="",IF(OR($E$7="seleccione rubro",$E$9="seleccione sub - rubro"),"-",HLOOKUP((CONCATENATE($E$9,$G$17)),'IMESI Vol Físico - Series mensu'!$C$4:$FZ$306,29,0)),"-")</f>
        <v>-</v>
      </c>
      <c r="H46" s="75"/>
      <c r="I46" s="74" t="str">
        <f>IF($E$11="",IF(OR($E$7="seleccione rubro",$E$9="seleccione sub - rubro"),"-",HLOOKUP((CONCATENATE($E$9,$I$17)),'IMESI Vol Físico - Series mensu'!$C$4:$FZ$306,29,0)),"-")</f>
        <v>-</v>
      </c>
      <c r="J46" s="75"/>
      <c r="K46" s="74" t="str">
        <f>IF($E$11="",IF(OR($E$7="seleccione rubro",$E$9="seleccione sub - rubro"),"-",HLOOKUP((CONCATENATE($E$9,$K$17)),'IMESI Vol Físico - Series mensu'!$C$4:$FZ$306,29,0)),"-")</f>
        <v>-</v>
      </c>
    </row>
    <row r="47" spans="2:13" x14ac:dyDescent="0.2">
      <c r="D47" s="72">
        <f t="shared" si="2"/>
        <v>1989</v>
      </c>
      <c r="E47" s="73">
        <f>+'IMESI Vol Físico - Series mensu'!A33</f>
        <v>32568</v>
      </c>
      <c r="F47" s="73"/>
      <c r="G47" s="74" t="str">
        <f>IF($E$11="",IF(OR($E$7="seleccione rubro",$E$9="seleccione sub - rubro"),"-",HLOOKUP((CONCATENATE($E$9,$G$17)),'IMESI Vol Físico - Series mensu'!$C$4:$FZ$306,30,0)),"-")</f>
        <v>-</v>
      </c>
      <c r="H47" s="75"/>
      <c r="I47" s="74" t="str">
        <f>IF($E$11="",IF(OR($E$7="seleccione rubro",$E$9="seleccione sub - rubro"),"-",HLOOKUP((CONCATENATE($E$9,$I$17)),'IMESI Vol Físico - Series mensu'!$C$4:$FZ$306,30,0)),"-")</f>
        <v>-</v>
      </c>
      <c r="J47" s="75"/>
      <c r="K47" s="74" t="str">
        <f>IF($E$11="",IF(OR($E$7="seleccione rubro",$E$9="seleccione sub - rubro"),"-",HLOOKUP((CONCATENATE($E$9,$K$17)),'IMESI Vol Físico - Series mensu'!$C$4:$FZ$306,30,0)),"-")</f>
        <v>-</v>
      </c>
    </row>
    <row r="48" spans="2:13" x14ac:dyDescent="0.2">
      <c r="D48" s="72">
        <f t="shared" si="2"/>
        <v>1989</v>
      </c>
      <c r="E48" s="73">
        <f>+'IMESI Vol Físico - Series mensu'!A34</f>
        <v>32599</v>
      </c>
      <c r="F48" s="73"/>
      <c r="G48" s="74" t="str">
        <f>IF($E$11="",IF(OR($E$7="seleccione rubro",$E$9="seleccione sub - rubro"),"-",HLOOKUP((CONCATENATE($E$9,$G$17)),'IMESI Vol Físico - Series mensu'!$C$4:$FZ$306,31,0)),"-")</f>
        <v>-</v>
      </c>
      <c r="H48" s="75"/>
      <c r="I48" s="74" t="str">
        <f>IF($E$11="",IF(OR($E$7="seleccione rubro",$E$9="seleccione sub - rubro"),"-",HLOOKUP((CONCATENATE($E$9,$I$17)),'IMESI Vol Físico - Series mensu'!$C$4:$FZ$306,31,0)),"-")</f>
        <v>-</v>
      </c>
      <c r="J48" s="75"/>
      <c r="K48" s="74" t="str">
        <f>IF($E$11="",IF(OR($E$7="seleccione rubro",$E$9="seleccione sub - rubro"),"-",HLOOKUP((CONCATENATE($E$9,$K$17)),'IMESI Vol Físico - Series mensu'!$C$4:$FZ$306,31,0)),"-")</f>
        <v>-</v>
      </c>
    </row>
    <row r="49" spans="4:11" x14ac:dyDescent="0.2">
      <c r="D49" s="72">
        <f t="shared" si="2"/>
        <v>1989</v>
      </c>
      <c r="E49" s="73">
        <f>+'IMESI Vol Físico - Series mensu'!A35</f>
        <v>32629</v>
      </c>
      <c r="F49" s="73"/>
      <c r="G49" s="74" t="str">
        <f>IF($E$11="",IF(OR($E$7="seleccione rubro",$E$9="seleccione sub - rubro"),"-",HLOOKUP((CONCATENATE($E$9,$G$17)),'IMESI Vol Físico - Series mensu'!$C$4:$FZ$306,32,0)),"-")</f>
        <v>-</v>
      </c>
      <c r="H49" s="75"/>
      <c r="I49" s="74" t="str">
        <f>IF($E$11="",IF(OR($E$7="seleccione rubro",$E$9="seleccione sub - rubro"),"-",HLOOKUP((CONCATENATE($E$9,$I$17)),'IMESI Vol Físico - Series mensu'!$C$4:$FZ$306,32,0)),"-")</f>
        <v>-</v>
      </c>
      <c r="J49" s="75"/>
      <c r="K49" s="74" t="str">
        <f>IF($E$11="",IF(OR($E$7="seleccione rubro",$E$9="seleccione sub - rubro"),"-",HLOOKUP((CONCATENATE($E$9,$K$17)),'IMESI Vol Físico - Series mensu'!$C$4:$FZ$306,32,0)),"-")</f>
        <v>-</v>
      </c>
    </row>
    <row r="50" spans="4:11" x14ac:dyDescent="0.2">
      <c r="D50" s="72">
        <f t="shared" si="2"/>
        <v>1989</v>
      </c>
      <c r="E50" s="73">
        <f>+'IMESI Vol Físico - Series mensu'!A36</f>
        <v>32660</v>
      </c>
      <c r="F50" s="73"/>
      <c r="G50" s="74" t="str">
        <f>IF($E$11="",IF(OR($E$7="seleccione rubro",$E$9="seleccione sub - rubro"),"-",HLOOKUP((CONCATENATE($E$9,$G$17)),'IMESI Vol Físico - Series mensu'!$C$4:$FZ$306,33,0)),"-")</f>
        <v>-</v>
      </c>
      <c r="H50" s="75"/>
      <c r="I50" s="74" t="str">
        <f>IF($E$11="",IF(OR($E$7="seleccione rubro",$E$9="seleccione sub - rubro"),"-",HLOOKUP((CONCATENATE($E$9,$I$17)),'IMESI Vol Físico - Series mensu'!$C$4:$FZ$306,33,0)),"-")</f>
        <v>-</v>
      </c>
      <c r="J50" s="75"/>
      <c r="K50" s="74" t="str">
        <f>IF($E$11="",IF(OR($E$7="seleccione rubro",$E$9="seleccione sub - rubro"),"-",HLOOKUP((CONCATENATE($E$9,$K$17)),'IMESI Vol Físico - Series mensu'!$C$4:$FZ$306,33,0)),"-")</f>
        <v>-</v>
      </c>
    </row>
    <row r="51" spans="4:11" x14ac:dyDescent="0.2">
      <c r="D51" s="72">
        <f t="shared" si="2"/>
        <v>1989</v>
      </c>
      <c r="E51" s="73">
        <f>+'IMESI Vol Físico - Series mensu'!A37</f>
        <v>32690</v>
      </c>
      <c r="F51" s="73"/>
      <c r="G51" s="74" t="str">
        <f>IF($E$11="",IF(OR($E$7="seleccione rubro",$E$9="seleccione sub - rubro"),"-",HLOOKUP((CONCATENATE($E$9,$G$17)),'IMESI Vol Físico - Series mensu'!$C$4:$FZ$306,34,0)),"-")</f>
        <v>-</v>
      </c>
      <c r="H51" s="75"/>
      <c r="I51" s="74" t="str">
        <f>IF($E$11="",IF(OR($E$7="seleccione rubro",$E$9="seleccione sub - rubro"),"-",HLOOKUP((CONCATENATE($E$9,$I$17)),'IMESI Vol Físico - Series mensu'!$C$4:$FZ$306,34,0)),"-")</f>
        <v>-</v>
      </c>
      <c r="J51" s="75"/>
      <c r="K51" s="74" t="str">
        <f>IF($E$11="",IF(OR($E$7="seleccione rubro",$E$9="seleccione sub - rubro"),"-",HLOOKUP((CONCATENATE($E$9,$K$17)),'IMESI Vol Físico - Series mensu'!$C$4:$FZ$306,34,0)),"-")</f>
        <v>-</v>
      </c>
    </row>
    <row r="52" spans="4:11" x14ac:dyDescent="0.2">
      <c r="D52" s="72">
        <f t="shared" si="2"/>
        <v>1989</v>
      </c>
      <c r="E52" s="73">
        <f>+'IMESI Vol Físico - Series mensu'!A38</f>
        <v>32721</v>
      </c>
      <c r="F52" s="73"/>
      <c r="G52" s="74" t="str">
        <f>IF($E$11="",IF(OR($E$7="seleccione rubro",$E$9="seleccione sub - rubro"),"-",HLOOKUP((CONCATENATE($E$9,$G$17)),'IMESI Vol Físico - Series mensu'!$C$4:$FZ$306,35,0)),"-")</f>
        <v>-</v>
      </c>
      <c r="H52" s="75"/>
      <c r="I52" s="74" t="str">
        <f>IF($E$11="",IF(OR($E$7="seleccione rubro",$E$9="seleccione sub - rubro"),"-",HLOOKUP((CONCATENATE($E$9,$I$17)),'IMESI Vol Físico - Series mensu'!$C$4:$FZ$306,35,0)),"-")</f>
        <v>-</v>
      </c>
      <c r="J52" s="75"/>
      <c r="K52" s="74" t="str">
        <f>IF($E$11="",IF(OR($E$7="seleccione rubro",$E$9="seleccione sub - rubro"),"-",HLOOKUP((CONCATENATE($E$9,$K$17)),'IMESI Vol Físico - Series mensu'!$C$4:$FZ$306,35,0)),"-")</f>
        <v>-</v>
      </c>
    </row>
    <row r="53" spans="4:11" x14ac:dyDescent="0.2">
      <c r="D53" s="72">
        <f t="shared" si="2"/>
        <v>1989</v>
      </c>
      <c r="E53" s="73">
        <f>+'IMESI Vol Físico - Series mensu'!A39</f>
        <v>32752</v>
      </c>
      <c r="F53" s="73"/>
      <c r="G53" s="74" t="str">
        <f>IF($E$11="",IF(OR($E$7="seleccione rubro",$E$9="seleccione sub - rubro"),"-",HLOOKUP((CONCATENATE($E$9,$G$17)),'IMESI Vol Físico - Series mensu'!$C$4:$FZ$306,36,0)),"-")</f>
        <v>-</v>
      </c>
      <c r="H53" s="75"/>
      <c r="I53" s="74" t="str">
        <f>IF($E$11="",IF(OR($E$7="seleccione rubro",$E$9="seleccione sub - rubro"),"-",HLOOKUP((CONCATENATE($E$9,$I$17)),'IMESI Vol Físico - Series mensu'!$C$4:$FZ$306,36,0)),"-")</f>
        <v>-</v>
      </c>
      <c r="J53" s="75"/>
      <c r="K53" s="74" t="str">
        <f>IF($E$11="",IF(OR($E$7="seleccione rubro",$E$9="seleccione sub - rubro"),"-",HLOOKUP((CONCATENATE($E$9,$K$17)),'IMESI Vol Físico - Series mensu'!$C$4:$FZ$306,36,0)),"-")</f>
        <v>-</v>
      </c>
    </row>
    <row r="54" spans="4:11" x14ac:dyDescent="0.2">
      <c r="D54" s="72">
        <f t="shared" si="2"/>
        <v>1989</v>
      </c>
      <c r="E54" s="73">
        <f>+'IMESI Vol Físico - Series mensu'!A40</f>
        <v>32782</v>
      </c>
      <c r="F54" s="73"/>
      <c r="G54" s="74" t="str">
        <f>IF($E$11="",IF(OR($E$7="seleccione rubro",$E$9="seleccione sub - rubro"),"-",HLOOKUP((CONCATENATE($E$9,$G$17)),'IMESI Vol Físico - Series mensu'!$C$4:$FZ$306,37,0)),"-")</f>
        <v>-</v>
      </c>
      <c r="H54" s="75"/>
      <c r="I54" s="74" t="str">
        <f>IF($E$11="",IF(OR($E$7="seleccione rubro",$E$9="seleccione sub - rubro"),"-",HLOOKUP((CONCATENATE($E$9,$I$17)),'IMESI Vol Físico - Series mensu'!$C$4:$FZ$306,37,0)),"-")</f>
        <v>-</v>
      </c>
      <c r="J54" s="75"/>
      <c r="K54" s="74" t="str">
        <f>IF($E$11="",IF(OR($E$7="seleccione rubro",$E$9="seleccione sub - rubro"),"-",HLOOKUP((CONCATENATE($E$9,$K$17)),'IMESI Vol Físico - Series mensu'!$C$4:$FZ$306,37,0)),"-")</f>
        <v>-</v>
      </c>
    </row>
    <row r="55" spans="4:11" x14ac:dyDescent="0.2">
      <c r="D55" s="72">
        <f t="shared" si="2"/>
        <v>1989</v>
      </c>
      <c r="E55" s="73">
        <f>+'IMESI Vol Físico - Series mensu'!A41</f>
        <v>32813</v>
      </c>
      <c r="F55" s="73"/>
      <c r="G55" s="74" t="str">
        <f>IF($E$11="",IF(OR($E$7="seleccione rubro",$E$9="seleccione sub - rubro"),"-",HLOOKUP((CONCATENATE($E$9,$G$17)),'IMESI Vol Físico - Series mensu'!$C$4:$FZ$306,38,0)),"-")</f>
        <v>-</v>
      </c>
      <c r="H55" s="75"/>
      <c r="I55" s="74" t="str">
        <f>IF($E$11="",IF(OR($E$7="seleccione rubro",$E$9="seleccione sub - rubro"),"-",HLOOKUP((CONCATENATE($E$9,$I$17)),'IMESI Vol Físico - Series mensu'!$C$4:$FZ$306,38,0)),"-")</f>
        <v>-</v>
      </c>
      <c r="J55" s="75"/>
      <c r="K55" s="74" t="str">
        <f>IF($E$11="",IF(OR($E$7="seleccione rubro",$E$9="seleccione sub - rubro"),"-",HLOOKUP((CONCATENATE($E$9,$K$17)),'IMESI Vol Físico - Series mensu'!$C$4:$FZ$306,38,0)),"-")</f>
        <v>-</v>
      </c>
    </row>
    <row r="56" spans="4:11" x14ac:dyDescent="0.2">
      <c r="D56" s="72">
        <f t="shared" si="2"/>
        <v>1989</v>
      </c>
      <c r="E56" s="73">
        <f>+'IMESI Vol Físico - Series mensu'!A42</f>
        <v>32843</v>
      </c>
      <c r="F56" s="73"/>
      <c r="G56" s="74" t="str">
        <f>IF($E$11="",IF(OR($E$7="seleccione rubro",$E$9="seleccione sub - rubro"),"-",HLOOKUP((CONCATENATE($E$9,$G$17)),'IMESI Vol Físico - Series mensu'!$C$4:$FZ$306,39,0)),"-")</f>
        <v>-</v>
      </c>
      <c r="H56" s="75"/>
      <c r="I56" s="74" t="str">
        <f>IF($E$11="",IF(OR($E$7="seleccione rubro",$E$9="seleccione sub - rubro"),"-",HLOOKUP((CONCATENATE($E$9,$I$17)),'IMESI Vol Físico - Series mensu'!$C$4:$FZ$306,39,0)),"-")</f>
        <v>-</v>
      </c>
      <c r="J56" s="75"/>
      <c r="K56" s="74" t="str">
        <f>IF($E$11="",IF(OR($E$7="seleccione rubro",$E$9="seleccione sub - rubro"),"-",HLOOKUP((CONCATENATE($E$9,$K$17)),'IMESI Vol Físico - Series mensu'!$C$4:$FZ$306,39,0)),"-")</f>
        <v>-</v>
      </c>
    </row>
    <row r="57" spans="4:11" x14ac:dyDescent="0.2">
      <c r="D57" s="69">
        <f>+D58</f>
        <v>1990</v>
      </c>
      <c r="E57" s="70"/>
      <c r="F57" s="70"/>
      <c r="G57" s="74"/>
      <c r="H57" s="75"/>
      <c r="I57" s="74"/>
      <c r="J57" s="75"/>
      <c r="K57" s="74"/>
    </row>
    <row r="58" spans="4:11" x14ac:dyDescent="0.2">
      <c r="D58" s="72">
        <f>YEAR(E58)</f>
        <v>1990</v>
      </c>
      <c r="E58" s="73">
        <f>+'IMESI Vol Físico - Series mensu'!A43</f>
        <v>32874</v>
      </c>
      <c r="F58" s="73"/>
      <c r="G58" s="74" t="str">
        <f>IF($E$11="",IF(OR($E$7="seleccione rubro",$E$9="seleccione sub - rubro"),"-",HLOOKUP((CONCATENATE($E$9,$G$17)),'IMESI Vol Físico - Series mensu'!$C$4:$FZ$306,40,0)),"-")</f>
        <v>-</v>
      </c>
      <c r="H58" s="75"/>
      <c r="I58" s="74" t="str">
        <f>IF($E$11="",IF(OR($E$7="seleccione rubro",$E$9="seleccione sub - rubro"),"-",HLOOKUP((CONCATENATE($E$9,$I$17)),'IMESI Vol Físico - Series mensu'!$C$4:$FZ$306,40,0)),"-")</f>
        <v>-</v>
      </c>
      <c r="J58" s="75"/>
      <c r="K58" s="74" t="str">
        <f>IF($E$11="",IF(OR($E$7="seleccione rubro",$E$9="seleccione sub - rubro"),"-",HLOOKUP((CONCATENATE($E$9,$K$17)),'IMESI Vol Físico - Series mensu'!$C$4:$FZ$306,40,0)),"-")</f>
        <v>-</v>
      </c>
    </row>
    <row r="59" spans="4:11" x14ac:dyDescent="0.2">
      <c r="D59" s="72">
        <f t="shared" ref="D59:D69" si="3">YEAR(E59)</f>
        <v>1990</v>
      </c>
      <c r="E59" s="73">
        <f>+'IMESI Vol Físico - Series mensu'!A44</f>
        <v>32905</v>
      </c>
      <c r="F59" s="73"/>
      <c r="G59" s="74" t="str">
        <f>IF($E$11="",IF(OR($E$7="seleccione rubro",$E$9="seleccione sub - rubro"),"-",HLOOKUP((CONCATENATE($E$9,$G$17)),'IMESI Vol Físico - Series mensu'!$C$4:$FZ$306,41,0)),"-")</f>
        <v>-</v>
      </c>
      <c r="H59" s="75"/>
      <c r="I59" s="74" t="str">
        <f>IF($E$11="",IF(OR($E$7="seleccione rubro",$E$9="seleccione sub - rubro"),"-",HLOOKUP((CONCATENATE($E$9,$I$17)),'IMESI Vol Físico - Series mensu'!$C$4:$FZ$306,41,0)),"-")</f>
        <v>-</v>
      </c>
      <c r="J59" s="75"/>
      <c r="K59" s="74" t="str">
        <f>IF($E$11="",IF(OR($E$7="seleccione rubro",$E$9="seleccione sub - rubro"),"-",HLOOKUP((CONCATENATE($E$9,$K$17)),'IMESI Vol Físico - Series mensu'!$C$4:$FZ$306,41,0)),"-")</f>
        <v>-</v>
      </c>
    </row>
    <row r="60" spans="4:11" x14ac:dyDescent="0.2">
      <c r="D60" s="72">
        <f t="shared" si="3"/>
        <v>1990</v>
      </c>
      <c r="E60" s="73">
        <f>+'IMESI Vol Físico - Series mensu'!A45</f>
        <v>32933</v>
      </c>
      <c r="F60" s="73"/>
      <c r="G60" s="74" t="str">
        <f>IF($E$11="",IF(OR($E$7="seleccione rubro",$E$9="seleccione sub - rubro"),"-",HLOOKUP((CONCATENATE($E$9,$G$17)),'IMESI Vol Físico - Series mensu'!$C$4:$FZ$306,42,0)),"-")</f>
        <v>-</v>
      </c>
      <c r="H60" s="75"/>
      <c r="I60" s="74" t="str">
        <f>IF($E$11="",IF(OR($E$7="seleccione rubro",$E$9="seleccione sub - rubro"),"-",HLOOKUP((CONCATENATE($E$9,$I$17)),'IMESI Vol Físico - Series mensu'!$C$4:$FZ$306,42,0)),"-")</f>
        <v>-</v>
      </c>
      <c r="J60" s="75"/>
      <c r="K60" s="74" t="str">
        <f>IF($E$11="",IF(OR($E$7="seleccione rubro",$E$9="seleccione sub - rubro"),"-",HLOOKUP((CONCATENATE($E$9,$K$17)),'IMESI Vol Físico - Series mensu'!$C$4:$FZ$306,42,0)),"-")</f>
        <v>-</v>
      </c>
    </row>
    <row r="61" spans="4:11" x14ac:dyDescent="0.2">
      <c r="D61" s="72">
        <f t="shared" si="3"/>
        <v>1990</v>
      </c>
      <c r="E61" s="73">
        <f>+'IMESI Vol Físico - Series mensu'!A46</f>
        <v>32964</v>
      </c>
      <c r="F61" s="73"/>
      <c r="G61" s="74" t="str">
        <f>IF($E$11="",IF(OR($E$7="seleccione rubro",$E$9="seleccione sub - rubro"),"-",HLOOKUP((CONCATENATE($E$9,$G$17)),'IMESI Vol Físico - Series mensu'!$C$4:$FZ$306,43,0)),"-")</f>
        <v>-</v>
      </c>
      <c r="H61" s="75"/>
      <c r="I61" s="74" t="str">
        <f>IF($E$11="",IF(OR($E$7="seleccione rubro",$E$9="seleccione sub - rubro"),"-",HLOOKUP((CONCATENATE($E$9,$I$17)),'IMESI Vol Físico - Series mensu'!$C$4:$FZ$306,43,0)),"-")</f>
        <v>-</v>
      </c>
      <c r="J61" s="75"/>
      <c r="K61" s="74" t="str">
        <f>IF($E$11="",IF(OR($E$7="seleccione rubro",$E$9="seleccione sub - rubro"),"-",HLOOKUP((CONCATENATE($E$9,$K$17)),'IMESI Vol Físico - Series mensu'!$C$4:$FZ$306,43,0)),"-")</f>
        <v>-</v>
      </c>
    </row>
    <row r="62" spans="4:11" x14ac:dyDescent="0.2">
      <c r="D62" s="72">
        <f t="shared" si="3"/>
        <v>1990</v>
      </c>
      <c r="E62" s="73">
        <f>+'IMESI Vol Físico - Series mensu'!A47</f>
        <v>32994</v>
      </c>
      <c r="F62" s="73"/>
      <c r="G62" s="74" t="str">
        <f>IF($E$11="",IF(OR($E$7="seleccione rubro",$E$9="seleccione sub - rubro"),"-",HLOOKUP((CONCATENATE($E$9,$G$17)),'IMESI Vol Físico - Series mensu'!$C$4:$FZ$306,44,0)),"-")</f>
        <v>-</v>
      </c>
      <c r="H62" s="75"/>
      <c r="I62" s="74" t="str">
        <f>IF($E$11="",IF(OR($E$7="seleccione rubro",$E$9="seleccione sub - rubro"),"-",HLOOKUP((CONCATENATE($E$9,$I$17)),'IMESI Vol Físico - Series mensu'!$C$4:$FZ$306,44,0)),"-")</f>
        <v>-</v>
      </c>
      <c r="J62" s="75"/>
      <c r="K62" s="74" t="str">
        <f>IF($E$11="",IF(OR($E$7="seleccione rubro",$E$9="seleccione sub - rubro"),"-",HLOOKUP((CONCATENATE($E$9,$K$17)),'IMESI Vol Físico - Series mensu'!$C$4:$FZ$306,44,0)),"-")</f>
        <v>-</v>
      </c>
    </row>
    <row r="63" spans="4:11" x14ac:dyDescent="0.2">
      <c r="D63" s="72">
        <f t="shared" si="3"/>
        <v>1990</v>
      </c>
      <c r="E63" s="73">
        <f>+'IMESI Vol Físico - Series mensu'!A48</f>
        <v>33025</v>
      </c>
      <c r="F63" s="73"/>
      <c r="G63" s="74" t="str">
        <f>IF($E$11="",IF(OR($E$7="seleccione rubro",$E$9="seleccione sub - rubro"),"-",HLOOKUP((CONCATENATE($E$9,$G$17)),'IMESI Vol Físico - Series mensu'!$C$4:$FZ$306,45,0)),"-")</f>
        <v>-</v>
      </c>
      <c r="H63" s="75"/>
      <c r="I63" s="74" t="str">
        <f>IF($E$11="",IF(OR($E$7="seleccione rubro",$E$9="seleccione sub - rubro"),"-",HLOOKUP((CONCATENATE($E$9,$I$17)),'IMESI Vol Físico - Series mensu'!$C$4:$FZ$306,45,0)),"-")</f>
        <v>-</v>
      </c>
      <c r="J63" s="75"/>
      <c r="K63" s="74" t="str">
        <f>IF($E$11="",IF(OR($E$7="seleccione rubro",$E$9="seleccione sub - rubro"),"-",HLOOKUP((CONCATENATE($E$9,$K$17)),'IMESI Vol Físico - Series mensu'!$C$4:$FZ$306,45,0)),"-")</f>
        <v>-</v>
      </c>
    </row>
    <row r="64" spans="4:11" x14ac:dyDescent="0.2">
      <c r="D64" s="72">
        <f t="shared" si="3"/>
        <v>1990</v>
      </c>
      <c r="E64" s="73">
        <f>+'IMESI Vol Físico - Series mensu'!A49</f>
        <v>33055</v>
      </c>
      <c r="F64" s="73"/>
      <c r="G64" s="74" t="str">
        <f>IF($E$11="",IF(OR($E$7="seleccione rubro",$E$9="seleccione sub - rubro"),"-",HLOOKUP((CONCATENATE($E$9,$G$17)),'IMESI Vol Físico - Series mensu'!$C$4:$FZ$306,46,0)),"-")</f>
        <v>-</v>
      </c>
      <c r="H64" s="75"/>
      <c r="I64" s="74" t="str">
        <f>IF($E$11="",IF(OR($E$7="seleccione rubro",$E$9="seleccione sub - rubro"),"-",HLOOKUP((CONCATENATE($E$9,$I$17)),'IMESI Vol Físico - Series mensu'!$C$4:$FZ$306,46,0)),"-")</f>
        <v>-</v>
      </c>
      <c r="J64" s="75"/>
      <c r="K64" s="74" t="str">
        <f>IF($E$11="",IF(OR($E$7="seleccione rubro",$E$9="seleccione sub - rubro"),"-",HLOOKUP((CONCATENATE($E$9,$K$17)),'IMESI Vol Físico - Series mensu'!$C$4:$FZ$306,46,0)),"-")</f>
        <v>-</v>
      </c>
    </row>
    <row r="65" spans="4:11" x14ac:dyDescent="0.2">
      <c r="D65" s="72">
        <f t="shared" si="3"/>
        <v>1990</v>
      </c>
      <c r="E65" s="73">
        <f>+'IMESI Vol Físico - Series mensu'!A50</f>
        <v>33086</v>
      </c>
      <c r="F65" s="73"/>
      <c r="G65" s="74" t="str">
        <f>IF($E$11="",IF(OR($E$7="seleccione rubro",$E$9="seleccione sub - rubro"),"-",HLOOKUP((CONCATENATE($E$9,$G$17)),'IMESI Vol Físico - Series mensu'!$C$4:$FZ$306,47,0)),"-")</f>
        <v>-</v>
      </c>
      <c r="H65" s="75"/>
      <c r="I65" s="74" t="str">
        <f>IF($E$11="",IF(OR($E$7="seleccione rubro",$E$9="seleccione sub - rubro"),"-",HLOOKUP((CONCATENATE($E$9,$I$17)),'IMESI Vol Físico - Series mensu'!$C$4:$FZ$306,47,0)),"-")</f>
        <v>-</v>
      </c>
      <c r="J65" s="75"/>
      <c r="K65" s="74" t="str">
        <f>IF($E$11="",IF(OR($E$7="seleccione rubro",$E$9="seleccione sub - rubro"),"-",HLOOKUP((CONCATENATE($E$9,$K$17)),'IMESI Vol Físico - Series mensu'!$C$4:$FZ$306,47,0)),"-")</f>
        <v>-</v>
      </c>
    </row>
    <row r="66" spans="4:11" x14ac:dyDescent="0.2">
      <c r="D66" s="72">
        <f t="shared" si="3"/>
        <v>1990</v>
      </c>
      <c r="E66" s="73">
        <f>+'IMESI Vol Físico - Series mensu'!A51</f>
        <v>33117</v>
      </c>
      <c r="F66" s="73"/>
      <c r="G66" s="74" t="str">
        <f>IF($E$11="",IF(OR($E$7="seleccione rubro",$E$9="seleccione sub - rubro"),"-",HLOOKUP((CONCATENATE($E$9,$G$17)),'IMESI Vol Físico - Series mensu'!$C$4:$FZ$306,48,0)),"-")</f>
        <v>-</v>
      </c>
      <c r="H66" s="75"/>
      <c r="I66" s="74" t="str">
        <f>IF($E$11="",IF(OR($E$7="seleccione rubro",$E$9="seleccione sub - rubro"),"-",HLOOKUP((CONCATENATE($E$9,$I$17)),'IMESI Vol Físico - Series mensu'!$C$4:$FZ$306,48,0)),"-")</f>
        <v>-</v>
      </c>
      <c r="J66" s="75"/>
      <c r="K66" s="74" t="str">
        <f>IF($E$11="",IF(OR($E$7="seleccione rubro",$E$9="seleccione sub - rubro"),"-",HLOOKUP((CONCATENATE($E$9,$K$17)),'IMESI Vol Físico - Series mensu'!$C$4:$FZ$306,48,0)),"-")</f>
        <v>-</v>
      </c>
    </row>
    <row r="67" spans="4:11" x14ac:dyDescent="0.2">
      <c r="D67" s="72">
        <f t="shared" si="3"/>
        <v>1990</v>
      </c>
      <c r="E67" s="73">
        <f>+'IMESI Vol Físico - Series mensu'!A52</f>
        <v>33147</v>
      </c>
      <c r="F67" s="73"/>
      <c r="G67" s="74" t="str">
        <f>IF($E$11="",IF(OR($E$7="seleccione rubro",$E$9="seleccione sub - rubro"),"-",HLOOKUP((CONCATENATE($E$9,$G$17)),'IMESI Vol Físico - Series mensu'!$C$4:$FZ$306,49,0)),"-")</f>
        <v>-</v>
      </c>
      <c r="H67" s="75"/>
      <c r="I67" s="74" t="str">
        <f>IF($E$11="",IF(OR($E$7="seleccione rubro",$E$9="seleccione sub - rubro"),"-",HLOOKUP((CONCATENATE($E$9,$I$17)),'IMESI Vol Físico - Series mensu'!$C$4:$FZ$306,49,0)),"-")</f>
        <v>-</v>
      </c>
      <c r="J67" s="75"/>
      <c r="K67" s="74" t="str">
        <f>IF($E$11="",IF(OR($E$7="seleccione rubro",$E$9="seleccione sub - rubro"),"-",HLOOKUP((CONCATENATE($E$9,$K$17)),'IMESI Vol Físico - Series mensu'!$C$4:$FZ$306,49,0)),"-")</f>
        <v>-</v>
      </c>
    </row>
    <row r="68" spans="4:11" x14ac:dyDescent="0.2">
      <c r="D68" s="72">
        <f t="shared" si="3"/>
        <v>1990</v>
      </c>
      <c r="E68" s="73">
        <f>+'IMESI Vol Físico - Series mensu'!A53</f>
        <v>33178</v>
      </c>
      <c r="F68" s="73"/>
      <c r="G68" s="74" t="str">
        <f>IF($E$11="",IF(OR($E$7="seleccione rubro",$E$9="seleccione sub - rubro"),"-",HLOOKUP((CONCATENATE($E$9,$G$17)),'IMESI Vol Físico - Series mensu'!$C$4:$FZ$306,50,0)),"-")</f>
        <v>-</v>
      </c>
      <c r="H68" s="75"/>
      <c r="I68" s="74" t="str">
        <f>IF($E$11="",IF(OR($E$7="seleccione rubro",$E$9="seleccione sub - rubro"),"-",HLOOKUP((CONCATENATE($E$9,$I$17)),'IMESI Vol Físico - Series mensu'!$C$4:$FZ$306,50,0)),"-")</f>
        <v>-</v>
      </c>
      <c r="J68" s="75"/>
      <c r="K68" s="74" t="str">
        <f>IF($E$11="",IF(OR($E$7="seleccione rubro",$E$9="seleccione sub - rubro"),"-",HLOOKUP((CONCATENATE($E$9,$K$17)),'IMESI Vol Físico - Series mensu'!$C$4:$FZ$306,50,0)),"-")</f>
        <v>-</v>
      </c>
    </row>
    <row r="69" spans="4:11" x14ac:dyDescent="0.2">
      <c r="D69" s="72">
        <f t="shared" si="3"/>
        <v>1990</v>
      </c>
      <c r="E69" s="73">
        <f>+'IMESI Vol Físico - Series mensu'!A54</f>
        <v>33208</v>
      </c>
      <c r="F69" s="73"/>
      <c r="G69" s="74" t="str">
        <f>IF($E$11="",IF(OR($E$7="seleccione rubro",$E$9="seleccione sub - rubro"),"-",HLOOKUP((CONCATENATE($E$9,$G$17)),'IMESI Vol Físico - Series mensu'!$C$4:$FZ$306,51,0)),"-")</f>
        <v>-</v>
      </c>
      <c r="H69" s="75"/>
      <c r="I69" s="74" t="str">
        <f>IF($E$11="",IF(OR($E$7="seleccione rubro",$E$9="seleccione sub - rubro"),"-",HLOOKUP((CONCATENATE($E$9,$I$17)),'IMESI Vol Físico - Series mensu'!$C$4:$FZ$306,51,0)),"-")</f>
        <v>-</v>
      </c>
      <c r="J69" s="75"/>
      <c r="K69" s="74" t="str">
        <f>IF($E$11="",IF(OR($E$7="seleccione rubro",$E$9="seleccione sub - rubro"),"-",HLOOKUP((CONCATENATE($E$9,$K$17)),'IMESI Vol Físico - Series mensu'!$C$4:$FZ$306,51,0)),"-")</f>
        <v>-</v>
      </c>
    </row>
    <row r="70" spans="4:11" x14ac:dyDescent="0.2">
      <c r="D70" s="69">
        <f>+D71</f>
        <v>1991</v>
      </c>
      <c r="E70" s="70"/>
      <c r="F70" s="70"/>
      <c r="G70" s="74"/>
      <c r="H70" s="75"/>
      <c r="I70" s="74"/>
      <c r="J70" s="75"/>
      <c r="K70" s="74"/>
    </row>
    <row r="71" spans="4:11" x14ac:dyDescent="0.2">
      <c r="D71" s="72">
        <f>YEAR(E71)</f>
        <v>1991</v>
      </c>
      <c r="E71" s="73">
        <f>+'IMESI Vol Físico - Series mensu'!A55</f>
        <v>33239</v>
      </c>
      <c r="F71" s="73"/>
      <c r="G71" s="74" t="str">
        <f>IF($E$11="",IF(OR($E$7="seleccione rubro",$E$9="seleccione sub - rubro"),"-",HLOOKUP((CONCATENATE($E$9,$G$17)),'IMESI Vol Físico - Series mensu'!$C$4:$FZ$306,52,0)),"-")</f>
        <v>-</v>
      </c>
      <c r="H71" s="75"/>
      <c r="I71" s="74" t="str">
        <f>IF($E$11="",IF(OR($E$7="seleccione rubro",$E$9="seleccione sub - rubro"),"-",HLOOKUP((CONCATENATE($E$9,$I$17)),'IMESI Vol Físico - Series mensu'!$C$4:$FZ$306,52,0)),"-")</f>
        <v>-</v>
      </c>
      <c r="J71" s="75"/>
      <c r="K71" s="74" t="str">
        <f>IF($E$11="",IF(OR($E$7="seleccione rubro",$E$9="seleccione sub - rubro"),"-",HLOOKUP((CONCATENATE($E$9,$K$17)),'IMESI Vol Físico - Series mensu'!$C$4:$FZ$306,52,0)),"-")</f>
        <v>-</v>
      </c>
    </row>
    <row r="72" spans="4:11" x14ac:dyDescent="0.2">
      <c r="D72" s="72">
        <f t="shared" ref="D72:D82" si="4">YEAR(E72)</f>
        <v>1991</v>
      </c>
      <c r="E72" s="73">
        <f>+'IMESI Vol Físico - Series mensu'!A56</f>
        <v>33270</v>
      </c>
      <c r="F72" s="73"/>
      <c r="G72" s="74" t="str">
        <f>IF($E$11="",IF(OR($E$7="seleccione rubro",$E$9="seleccione sub - rubro"),"-",HLOOKUP((CONCATENATE($E$9,$G$17)),'IMESI Vol Físico - Series mensu'!$C$4:$FZ$306,53,0)),"-")</f>
        <v>-</v>
      </c>
      <c r="H72" s="75"/>
      <c r="I72" s="74" t="str">
        <f>IF($E$11="",IF(OR($E$7="seleccione rubro",$E$9="seleccione sub - rubro"),"-",HLOOKUP((CONCATENATE($E$9,$I$17)),'IMESI Vol Físico - Series mensu'!$C$4:$FZ$306,53,0)),"-")</f>
        <v>-</v>
      </c>
      <c r="J72" s="75"/>
      <c r="K72" s="74" t="str">
        <f>IF($E$11="",IF(OR($E$7="seleccione rubro",$E$9="seleccione sub - rubro"),"-",HLOOKUP((CONCATENATE($E$9,$K$17)),'IMESI Vol Físico - Series mensu'!$C$4:$FZ$306,53,0)),"-")</f>
        <v>-</v>
      </c>
    </row>
    <row r="73" spans="4:11" x14ac:dyDescent="0.2">
      <c r="D73" s="72">
        <f t="shared" si="4"/>
        <v>1991</v>
      </c>
      <c r="E73" s="73">
        <f>+'IMESI Vol Físico - Series mensu'!A57</f>
        <v>33298</v>
      </c>
      <c r="F73" s="73"/>
      <c r="G73" s="74" t="str">
        <f>IF($E$11="",IF(OR($E$7="seleccione rubro",$E$9="seleccione sub - rubro"),"-",HLOOKUP((CONCATENATE($E$9,$G$17)),'IMESI Vol Físico - Series mensu'!$C$4:$FZ$306,54,0)),"-")</f>
        <v>-</v>
      </c>
      <c r="H73" s="75"/>
      <c r="I73" s="74" t="str">
        <f>IF($E$11="",IF(OR($E$7="seleccione rubro",$E$9="seleccione sub - rubro"),"-",HLOOKUP((CONCATENATE($E$9,$I$17)),'IMESI Vol Físico - Series mensu'!$C$4:$FZ$306,54,0)),"-")</f>
        <v>-</v>
      </c>
      <c r="J73" s="75"/>
      <c r="K73" s="74" t="str">
        <f>IF($E$11="",IF(OR($E$7="seleccione rubro",$E$9="seleccione sub - rubro"),"-",HLOOKUP((CONCATENATE($E$9,$K$17)),'IMESI Vol Físico - Series mensu'!$C$4:$FZ$306,54,0)),"-")</f>
        <v>-</v>
      </c>
    </row>
    <row r="74" spans="4:11" x14ac:dyDescent="0.2">
      <c r="D74" s="72">
        <f t="shared" si="4"/>
        <v>1991</v>
      </c>
      <c r="E74" s="73">
        <f>+'IMESI Vol Físico - Series mensu'!A58</f>
        <v>33329</v>
      </c>
      <c r="F74" s="73"/>
      <c r="G74" s="74" t="str">
        <f>IF($E$11="",IF(OR($E$7="seleccione rubro",$E$9="seleccione sub - rubro"),"-",HLOOKUP((CONCATENATE($E$9,$G$17)),'IMESI Vol Físico - Series mensu'!$C$4:$FZ$306,55,0)),"-")</f>
        <v>-</v>
      </c>
      <c r="H74" s="75"/>
      <c r="I74" s="74" t="str">
        <f>IF($E$11="",IF(OR($E$7="seleccione rubro",$E$9="seleccione sub - rubro"),"-",HLOOKUP((CONCATENATE($E$9,$I$17)),'IMESI Vol Físico - Series mensu'!$C$4:$FZ$306,55,0)),"-")</f>
        <v>-</v>
      </c>
      <c r="J74" s="75"/>
      <c r="K74" s="74" t="str">
        <f>IF($E$11="",IF(OR($E$7="seleccione rubro",$E$9="seleccione sub - rubro"),"-",HLOOKUP((CONCATENATE($E$9,$K$17)),'IMESI Vol Físico - Series mensu'!$C$4:$FZ$306,55,0)),"-")</f>
        <v>-</v>
      </c>
    </row>
    <row r="75" spans="4:11" x14ac:dyDescent="0.2">
      <c r="D75" s="72">
        <f t="shared" si="4"/>
        <v>1991</v>
      </c>
      <c r="E75" s="73">
        <f>+'IMESI Vol Físico - Series mensu'!A59</f>
        <v>33359</v>
      </c>
      <c r="F75" s="73"/>
      <c r="G75" s="74" t="str">
        <f>IF($E$11="",IF(OR($E$7="seleccione rubro",$E$9="seleccione sub - rubro"),"-",HLOOKUP((CONCATENATE($E$9,$G$17)),'IMESI Vol Físico - Series mensu'!$C$4:$FZ$306,56,0)),"-")</f>
        <v>-</v>
      </c>
      <c r="H75" s="75"/>
      <c r="I75" s="74" t="str">
        <f>IF($E$11="",IF(OR($E$7="seleccione rubro",$E$9="seleccione sub - rubro"),"-",HLOOKUP((CONCATENATE($E$9,$I$17)),'IMESI Vol Físico - Series mensu'!$C$4:$FZ$306,56,0)),"-")</f>
        <v>-</v>
      </c>
      <c r="J75" s="75"/>
      <c r="K75" s="74" t="str">
        <f>IF($E$11="",IF(OR($E$7="seleccione rubro",$E$9="seleccione sub - rubro"),"-",HLOOKUP((CONCATENATE($E$9,$K$17)),'IMESI Vol Físico - Series mensu'!$C$4:$FZ$306,56,0)),"-")</f>
        <v>-</v>
      </c>
    </row>
    <row r="76" spans="4:11" x14ac:dyDescent="0.2">
      <c r="D76" s="72">
        <f t="shared" si="4"/>
        <v>1991</v>
      </c>
      <c r="E76" s="73">
        <f>+'IMESI Vol Físico - Series mensu'!A60</f>
        <v>33390</v>
      </c>
      <c r="F76" s="73"/>
      <c r="G76" s="74" t="str">
        <f>IF($E$11="",IF(OR($E$7="seleccione rubro",$E$9="seleccione sub - rubro"),"-",HLOOKUP((CONCATENATE($E$9,$G$17)),'IMESI Vol Físico - Series mensu'!$C$4:$FZ$306,57,0)),"-")</f>
        <v>-</v>
      </c>
      <c r="H76" s="75"/>
      <c r="I76" s="74" t="str">
        <f>IF($E$11="",IF(OR($E$7="seleccione rubro",$E$9="seleccione sub - rubro"),"-",HLOOKUP((CONCATENATE($E$9,$I$17)),'IMESI Vol Físico - Series mensu'!$C$4:$FZ$306,57,0)),"-")</f>
        <v>-</v>
      </c>
      <c r="J76" s="75"/>
      <c r="K76" s="74" t="str">
        <f>IF($E$11="",IF(OR($E$7="seleccione rubro",$E$9="seleccione sub - rubro"),"-",HLOOKUP((CONCATENATE($E$9,$K$17)),'IMESI Vol Físico - Series mensu'!$C$4:$FZ$306,57,0)),"-")</f>
        <v>-</v>
      </c>
    </row>
    <row r="77" spans="4:11" x14ac:dyDescent="0.2">
      <c r="D77" s="72">
        <f t="shared" si="4"/>
        <v>1991</v>
      </c>
      <c r="E77" s="73">
        <f>+'IMESI Vol Físico - Series mensu'!A61</f>
        <v>33420</v>
      </c>
      <c r="F77" s="73"/>
      <c r="G77" s="74" t="str">
        <f>IF($E$11="",IF(OR($E$7="seleccione rubro",$E$9="seleccione sub - rubro"),"-",HLOOKUP((CONCATENATE($E$9,$G$17)),'IMESI Vol Físico - Series mensu'!$C$4:$FZ$306,58,0)),"-")</f>
        <v>-</v>
      </c>
      <c r="H77" s="75"/>
      <c r="I77" s="74" t="str">
        <f>IF($E$11="",IF(OR($E$7="seleccione rubro",$E$9="seleccione sub - rubro"),"-",HLOOKUP((CONCATENATE($E$9,$I$17)),'IMESI Vol Físico - Series mensu'!$C$4:$FZ$306,58,0)),"-")</f>
        <v>-</v>
      </c>
      <c r="J77" s="75"/>
      <c r="K77" s="74" t="str">
        <f>IF($E$11="",IF(OR($E$7="seleccione rubro",$E$9="seleccione sub - rubro"),"-",HLOOKUP((CONCATENATE($E$9,$K$17)),'IMESI Vol Físico - Series mensu'!$C$4:$FZ$306,58,0)),"-")</f>
        <v>-</v>
      </c>
    </row>
    <row r="78" spans="4:11" x14ac:dyDescent="0.2">
      <c r="D78" s="72">
        <f t="shared" si="4"/>
        <v>1991</v>
      </c>
      <c r="E78" s="73">
        <f>+'IMESI Vol Físico - Series mensu'!A62</f>
        <v>33451</v>
      </c>
      <c r="F78" s="73"/>
      <c r="G78" s="74" t="str">
        <f>IF($E$11="",IF(OR($E$7="seleccione rubro",$E$9="seleccione sub - rubro"),"-",HLOOKUP((CONCATENATE($E$9,$G$17)),'IMESI Vol Físico - Series mensu'!$C$4:$FZ$306,59,0)),"-")</f>
        <v>-</v>
      </c>
      <c r="H78" s="75"/>
      <c r="I78" s="74" t="str">
        <f>IF($E$11="",IF(OR($E$7="seleccione rubro",$E$9="seleccione sub - rubro"),"-",HLOOKUP((CONCATENATE($E$9,$I$17)),'IMESI Vol Físico - Series mensu'!$C$4:$FZ$306,59,0)),"-")</f>
        <v>-</v>
      </c>
      <c r="J78" s="75"/>
      <c r="K78" s="74" t="str">
        <f>IF($E$11="",IF(OR($E$7="seleccione rubro",$E$9="seleccione sub - rubro"),"-",HLOOKUP((CONCATENATE($E$9,$K$17)),'IMESI Vol Físico - Series mensu'!$C$4:$FZ$306,59,0)),"-")</f>
        <v>-</v>
      </c>
    </row>
    <row r="79" spans="4:11" x14ac:dyDescent="0.2">
      <c r="D79" s="72">
        <f t="shared" si="4"/>
        <v>1991</v>
      </c>
      <c r="E79" s="73">
        <f>+'IMESI Vol Físico - Series mensu'!A63</f>
        <v>33482</v>
      </c>
      <c r="F79" s="73"/>
      <c r="G79" s="74" t="str">
        <f>IF($E$11="",IF(OR($E$7="seleccione rubro",$E$9="seleccione sub - rubro"),"-",HLOOKUP((CONCATENATE($E$9,$G$17)),'IMESI Vol Físico - Series mensu'!$C$4:$FZ$306,60,0)),"-")</f>
        <v>-</v>
      </c>
      <c r="H79" s="75"/>
      <c r="I79" s="74" t="str">
        <f>IF($E$11="",IF(OR($E$7="seleccione rubro",$E$9="seleccione sub - rubro"),"-",HLOOKUP((CONCATENATE($E$9,$I$17)),'IMESI Vol Físico - Series mensu'!$C$4:$FZ$306,60,0)),"-")</f>
        <v>-</v>
      </c>
      <c r="J79" s="75"/>
      <c r="K79" s="74" t="str">
        <f>IF($E$11="",IF(OR($E$7="seleccione rubro",$E$9="seleccione sub - rubro"),"-",HLOOKUP((CONCATENATE($E$9,$K$17)),'IMESI Vol Físico - Series mensu'!$C$4:$FZ$306,60,0)),"-")</f>
        <v>-</v>
      </c>
    </row>
    <row r="80" spans="4:11" x14ac:dyDescent="0.2">
      <c r="D80" s="72">
        <f t="shared" si="4"/>
        <v>1991</v>
      </c>
      <c r="E80" s="73">
        <f>+'IMESI Vol Físico - Series mensu'!A64</f>
        <v>33512</v>
      </c>
      <c r="F80" s="73"/>
      <c r="G80" s="74" t="str">
        <f>IF($E$11="",IF(OR($E$7="seleccione rubro",$E$9="seleccione sub - rubro"),"-",HLOOKUP((CONCATENATE($E$9,$G$17)),'IMESI Vol Físico - Series mensu'!$C$4:$FZ$306,61,0)),"-")</f>
        <v>-</v>
      </c>
      <c r="H80" s="75"/>
      <c r="I80" s="74" t="str">
        <f>IF($E$11="",IF(OR($E$7="seleccione rubro",$E$9="seleccione sub - rubro"),"-",HLOOKUP((CONCATENATE($E$9,$I$17)),'IMESI Vol Físico - Series mensu'!$C$4:$FZ$306,61,0)),"-")</f>
        <v>-</v>
      </c>
      <c r="J80" s="75"/>
      <c r="K80" s="74" t="str">
        <f>IF($E$11="",IF(OR($E$7="seleccione rubro",$E$9="seleccione sub - rubro"),"-",HLOOKUP((CONCATENATE($E$9,$K$17)),'IMESI Vol Físico - Series mensu'!$C$4:$FZ$306,61,0)),"-")</f>
        <v>-</v>
      </c>
    </row>
    <row r="81" spans="4:11" x14ac:dyDescent="0.2">
      <c r="D81" s="72">
        <f t="shared" si="4"/>
        <v>1991</v>
      </c>
      <c r="E81" s="73">
        <f>+'IMESI Vol Físico - Series mensu'!A65</f>
        <v>33543</v>
      </c>
      <c r="F81" s="73"/>
      <c r="G81" s="74" t="str">
        <f>IF($E$11="",IF(OR($E$7="seleccione rubro",$E$9="seleccione sub - rubro"),"-",HLOOKUP((CONCATENATE($E$9,$G$17)),'IMESI Vol Físico - Series mensu'!$C$4:$FZ$306,62,0)),"-")</f>
        <v>-</v>
      </c>
      <c r="H81" s="75"/>
      <c r="I81" s="74" t="str">
        <f>IF($E$11="",IF(OR($E$7="seleccione rubro",$E$9="seleccione sub - rubro"),"-",HLOOKUP((CONCATENATE($E$9,$I$17)),'IMESI Vol Físico - Series mensu'!$C$4:$FZ$306,62,0)),"-")</f>
        <v>-</v>
      </c>
      <c r="J81" s="75"/>
      <c r="K81" s="74" t="str">
        <f>IF($E$11="",IF(OR($E$7="seleccione rubro",$E$9="seleccione sub - rubro"),"-",HLOOKUP((CONCATENATE($E$9,$K$17)),'IMESI Vol Físico - Series mensu'!$C$4:$FZ$306,62,0)),"-")</f>
        <v>-</v>
      </c>
    </row>
    <row r="82" spans="4:11" x14ac:dyDescent="0.2">
      <c r="D82" s="72">
        <f t="shared" si="4"/>
        <v>1991</v>
      </c>
      <c r="E82" s="73">
        <f>+'IMESI Vol Físico - Series mensu'!A66</f>
        <v>33573</v>
      </c>
      <c r="F82" s="73"/>
      <c r="G82" s="74" t="str">
        <f>IF($E$11="",IF(OR($E$7="seleccione rubro",$E$9="seleccione sub - rubro"),"-",HLOOKUP((CONCATENATE($E$9,$G$17)),'IMESI Vol Físico - Series mensu'!$C$4:$FZ$306,63,0)),"-")</f>
        <v>-</v>
      </c>
      <c r="H82" s="75"/>
      <c r="I82" s="74" t="str">
        <f>IF($E$11="",IF(OR($E$7="seleccione rubro",$E$9="seleccione sub - rubro"),"-",HLOOKUP((CONCATENATE($E$9,$I$17)),'IMESI Vol Físico - Series mensu'!$C$4:$FZ$306,63,0)),"-")</f>
        <v>-</v>
      </c>
      <c r="J82" s="75"/>
      <c r="K82" s="74" t="str">
        <f>IF($E$11="",IF(OR($E$7="seleccione rubro",$E$9="seleccione sub - rubro"),"-",HLOOKUP((CONCATENATE($E$9,$K$17)),'IMESI Vol Físico - Series mensu'!$C$4:$FZ$306,63,0)),"-")</f>
        <v>-</v>
      </c>
    </row>
    <row r="83" spans="4:11" x14ac:dyDescent="0.2">
      <c r="D83" s="69">
        <f>+D84</f>
        <v>1992</v>
      </c>
      <c r="E83" s="70"/>
      <c r="F83" s="70"/>
      <c r="G83" s="74"/>
      <c r="H83" s="75"/>
      <c r="I83" s="74"/>
      <c r="J83" s="75"/>
      <c r="K83" s="74"/>
    </row>
    <row r="84" spans="4:11" x14ac:dyDescent="0.2">
      <c r="D84" s="72">
        <f>YEAR(E84)</f>
        <v>1992</v>
      </c>
      <c r="E84" s="73">
        <f>+'IMESI Vol Físico - Series mensu'!A67</f>
        <v>33604</v>
      </c>
      <c r="F84" s="73"/>
      <c r="G84" s="74" t="str">
        <f>IF($E$11="",IF(OR($E$7="seleccione rubro",$E$9="seleccione sub - rubro"),"-",HLOOKUP((CONCATENATE($E$9,$G$17)),'IMESI Vol Físico - Series mensu'!$C$4:$FZ$306,64,0)),"-")</f>
        <v>-</v>
      </c>
      <c r="H84" s="75"/>
      <c r="I84" s="74" t="str">
        <f>IF($E$11="",IF(OR($E$7="seleccione rubro",$E$9="seleccione sub - rubro"),"-",HLOOKUP((CONCATENATE($E$9,$I$17)),'IMESI Vol Físico - Series mensu'!$C$4:$FZ$306,64,0)),"-")</f>
        <v>-</v>
      </c>
      <c r="J84" s="75"/>
      <c r="K84" s="74" t="str">
        <f>IF($E$11="",IF(OR($E$7="seleccione rubro",$E$9="seleccione sub - rubro"),"-",HLOOKUP((CONCATENATE($E$9,$K$17)),'IMESI Vol Físico - Series mensu'!$C$4:$FZ$306,64,0)),"-")</f>
        <v>-</v>
      </c>
    </row>
    <row r="85" spans="4:11" x14ac:dyDescent="0.2">
      <c r="D85" s="72">
        <f t="shared" ref="D85:D95" si="5">YEAR(E85)</f>
        <v>1992</v>
      </c>
      <c r="E85" s="73">
        <f>+'IMESI Vol Físico - Series mensu'!A68</f>
        <v>33635</v>
      </c>
      <c r="F85" s="73"/>
      <c r="G85" s="74" t="str">
        <f>IF($E$11="",IF(OR($E$7="seleccione rubro",$E$9="seleccione sub - rubro"),"-",HLOOKUP((CONCATENATE($E$9,$G$17)),'IMESI Vol Físico - Series mensu'!$C$4:$FZ$306,64,0)),"-")</f>
        <v>-</v>
      </c>
      <c r="H85" s="75"/>
      <c r="I85" s="74" t="str">
        <f>IF($E$11="",IF(OR($E$7="seleccione rubro",$E$9="seleccione sub - rubro"),"-",HLOOKUP((CONCATENATE($E$9,$I$17)),'IMESI Vol Físico - Series mensu'!$C$4:$FZ$306,65,0)),"-")</f>
        <v>-</v>
      </c>
      <c r="J85" s="75"/>
      <c r="K85" s="74" t="str">
        <f>IF($E$11="",IF(OR($E$7="seleccione rubro",$E$9="seleccione sub - rubro"),"-",HLOOKUP((CONCATENATE($E$9,$K$17)),'IMESI Vol Físico - Series mensu'!$C$4:$FZ$306,65,0)),"-")</f>
        <v>-</v>
      </c>
    </row>
    <row r="86" spans="4:11" x14ac:dyDescent="0.2">
      <c r="D86" s="72">
        <f t="shared" si="5"/>
        <v>1992</v>
      </c>
      <c r="E86" s="73">
        <f>+'IMESI Vol Físico - Series mensu'!A69</f>
        <v>33664</v>
      </c>
      <c r="F86" s="73"/>
      <c r="G86" s="74" t="str">
        <f>IF($E$11="",IF(OR($E$7="seleccione rubro",$E$9="seleccione sub - rubro"),"-",HLOOKUP((CONCATENATE($E$9,$G$17)),'IMESI Vol Físico - Series mensu'!$C$4:$FZ$306,65,0)),"-")</f>
        <v>-</v>
      </c>
      <c r="H86" s="75"/>
      <c r="I86" s="74" t="str">
        <f>IF($E$11="",IF(OR($E$7="seleccione rubro",$E$9="seleccione sub - rubro"),"-",HLOOKUP((CONCATENATE($E$9,$I$17)),'IMESI Vol Físico - Series mensu'!$C$4:$FZ$306,66,0)),"-")</f>
        <v>-</v>
      </c>
      <c r="J86" s="75"/>
      <c r="K86" s="74" t="str">
        <f>IF($E$11="",IF(OR($E$7="seleccione rubro",$E$9="seleccione sub - rubro"),"-",HLOOKUP((CONCATENATE($E$9,$K$17)),'IMESI Vol Físico - Series mensu'!$C$4:$FZ$306,66,0)),"-")</f>
        <v>-</v>
      </c>
    </row>
    <row r="87" spans="4:11" x14ac:dyDescent="0.2">
      <c r="D87" s="72">
        <f t="shared" si="5"/>
        <v>1992</v>
      </c>
      <c r="E87" s="73">
        <f>+'IMESI Vol Físico - Series mensu'!A70</f>
        <v>33695</v>
      </c>
      <c r="F87" s="73"/>
      <c r="G87" s="74" t="str">
        <f>IF($E$11="",IF(OR($E$7="seleccione rubro",$E$9="seleccione sub - rubro"),"-",HLOOKUP((CONCATENATE($E$9,$G$17)),'IMESI Vol Físico - Series mensu'!$C$4:$FZ$306,66,0)),"-")</f>
        <v>-</v>
      </c>
      <c r="H87" s="75"/>
      <c r="I87" s="74" t="str">
        <f>IF($E$11="",IF(OR($E$7="seleccione rubro",$E$9="seleccione sub - rubro"),"-",HLOOKUP((CONCATENATE($E$9,$I$17)),'IMESI Vol Físico - Series mensu'!$C$4:$FZ$306,67,0)),"-")</f>
        <v>-</v>
      </c>
      <c r="J87" s="75"/>
      <c r="K87" s="74" t="str">
        <f>IF($E$11="",IF(OR($E$7="seleccione rubro",$E$9="seleccione sub - rubro"),"-",HLOOKUP((CONCATENATE($E$9,$K$17)),'IMESI Vol Físico - Series mensu'!$C$4:$FZ$306,67,0)),"-")</f>
        <v>-</v>
      </c>
    </row>
    <row r="88" spans="4:11" x14ac:dyDescent="0.2">
      <c r="D88" s="72">
        <f t="shared" si="5"/>
        <v>1992</v>
      </c>
      <c r="E88" s="73">
        <f>+'IMESI Vol Físico - Series mensu'!A71</f>
        <v>33725</v>
      </c>
      <c r="F88" s="73"/>
      <c r="G88" s="74" t="str">
        <f>IF($E$11="",IF(OR($E$7="seleccione rubro",$E$9="seleccione sub - rubro"),"-",HLOOKUP((CONCATENATE($E$9,$G$17)),'IMESI Vol Físico - Series mensu'!$C$4:$FZ$306,67,0)),"-")</f>
        <v>-</v>
      </c>
      <c r="H88" s="75"/>
      <c r="I88" s="74" t="str">
        <f>IF($E$11="",IF(OR($E$7="seleccione rubro",$E$9="seleccione sub - rubro"),"-",HLOOKUP((CONCATENATE($E$9,$I$17)),'IMESI Vol Físico - Series mensu'!$C$4:$FZ$306,68,0)),"-")</f>
        <v>-</v>
      </c>
      <c r="J88" s="75"/>
      <c r="K88" s="74" t="str">
        <f>IF($E$11="",IF(OR($E$7="seleccione rubro",$E$9="seleccione sub - rubro"),"-",HLOOKUP((CONCATENATE($E$9,$K$17)),'IMESI Vol Físico - Series mensu'!$C$4:$FZ$306,68,0)),"-")</f>
        <v>-</v>
      </c>
    </row>
    <row r="89" spans="4:11" x14ac:dyDescent="0.2">
      <c r="D89" s="72">
        <f t="shared" si="5"/>
        <v>1992</v>
      </c>
      <c r="E89" s="73">
        <f>+'IMESI Vol Físico - Series mensu'!A72</f>
        <v>33756</v>
      </c>
      <c r="F89" s="73"/>
      <c r="G89" s="74" t="str">
        <f>IF($E$11="",IF(OR($E$7="seleccione rubro",$E$9="seleccione sub - rubro"),"-",HLOOKUP((CONCATENATE($E$9,$G$17)),'IMESI Vol Físico - Series mensu'!$C$4:$FZ$306,68,0)),"-")</f>
        <v>-</v>
      </c>
      <c r="H89" s="75"/>
      <c r="I89" s="74" t="str">
        <f>IF($E$11="",IF(OR($E$7="seleccione rubro",$E$9="seleccione sub - rubro"),"-",HLOOKUP((CONCATENATE($E$9,$I$17)),'IMESI Vol Físico - Series mensu'!$C$4:$FZ$306,69,0)),"-")</f>
        <v>-</v>
      </c>
      <c r="J89" s="75"/>
      <c r="K89" s="74" t="str">
        <f>IF($E$11="",IF(OR($E$7="seleccione rubro",$E$9="seleccione sub - rubro"),"-",HLOOKUP((CONCATENATE($E$9,$K$17)),'IMESI Vol Físico - Series mensu'!$C$4:$FZ$306,69,0)),"-")</f>
        <v>-</v>
      </c>
    </row>
    <row r="90" spans="4:11" x14ac:dyDescent="0.2">
      <c r="D90" s="72">
        <f t="shared" si="5"/>
        <v>1992</v>
      </c>
      <c r="E90" s="73">
        <f>+'IMESI Vol Físico - Series mensu'!A73</f>
        <v>33786</v>
      </c>
      <c r="F90" s="73"/>
      <c r="G90" s="74" t="str">
        <f>IF($E$11="",IF(OR($E$7="seleccione rubro",$E$9="seleccione sub - rubro"),"-",HLOOKUP((CONCATENATE($E$9,$G$17)),'IMESI Vol Físico - Series mensu'!$C$4:$FZ$306,69,0)),"-")</f>
        <v>-</v>
      </c>
      <c r="H90" s="75"/>
      <c r="I90" s="74" t="str">
        <f>IF($E$11="",IF(OR($E$7="seleccione rubro",$E$9="seleccione sub - rubro"),"-",HLOOKUP((CONCATENATE($E$9,$I$17)),'IMESI Vol Físico - Series mensu'!$C$4:$FZ$306,70,0)),"-")</f>
        <v>-</v>
      </c>
      <c r="J90" s="75"/>
      <c r="K90" s="74" t="str">
        <f>IF($E$11="",IF(OR($E$7="seleccione rubro",$E$9="seleccione sub - rubro"),"-",HLOOKUP((CONCATENATE($E$9,$K$17)),'IMESI Vol Físico - Series mensu'!$C$4:$FZ$306,70,0)),"-")</f>
        <v>-</v>
      </c>
    </row>
    <row r="91" spans="4:11" x14ac:dyDescent="0.2">
      <c r="D91" s="72">
        <f t="shared" si="5"/>
        <v>1992</v>
      </c>
      <c r="E91" s="73">
        <f>+'IMESI Vol Físico - Series mensu'!A74</f>
        <v>33817</v>
      </c>
      <c r="F91" s="73"/>
      <c r="G91" s="74" t="str">
        <f>IF($E$11="",IF(OR($E$7="seleccione rubro",$E$9="seleccione sub - rubro"),"-",HLOOKUP((CONCATENATE($E$9,$G$17)),'IMESI Vol Físico - Series mensu'!$C$4:$FZ$306,70,0)),"-")</f>
        <v>-</v>
      </c>
      <c r="H91" s="75"/>
      <c r="I91" s="74" t="str">
        <f>IF($E$11="",IF(OR($E$7="seleccione rubro",$E$9="seleccione sub - rubro"),"-",HLOOKUP((CONCATENATE($E$9,$I$17)),'IMESI Vol Físico - Series mensu'!$C$4:$FZ$306,71,0)),"-")</f>
        <v>-</v>
      </c>
      <c r="J91" s="75"/>
      <c r="K91" s="74" t="str">
        <f>IF($E$11="",IF(OR($E$7="seleccione rubro",$E$9="seleccione sub - rubro"),"-",HLOOKUP((CONCATENATE($E$9,$K$17)),'IMESI Vol Físico - Series mensu'!$C$4:$FZ$306,71,0)),"-")</f>
        <v>-</v>
      </c>
    </row>
    <row r="92" spans="4:11" x14ac:dyDescent="0.2">
      <c r="D92" s="72">
        <f t="shared" si="5"/>
        <v>1992</v>
      </c>
      <c r="E92" s="73">
        <f>+'IMESI Vol Físico - Series mensu'!A75</f>
        <v>33848</v>
      </c>
      <c r="F92" s="73"/>
      <c r="G92" s="74" t="str">
        <f>IF($E$11="",IF(OR($E$7="seleccione rubro",$E$9="seleccione sub - rubro"),"-",HLOOKUP((CONCATENATE($E$9,$G$17)),'IMESI Vol Físico - Series mensu'!$C$4:$FZ$306,71,0)),"-")</f>
        <v>-</v>
      </c>
      <c r="H92" s="75"/>
      <c r="I92" s="74" t="str">
        <f>IF($E$11="",IF(OR($E$7="seleccione rubro",$E$9="seleccione sub - rubro"),"-",HLOOKUP((CONCATENATE($E$9,$I$17)),'IMESI Vol Físico - Series mensu'!$C$4:$FZ$306,72,0)),"-")</f>
        <v>-</v>
      </c>
      <c r="J92" s="75"/>
      <c r="K92" s="74" t="str">
        <f>IF($E$11="",IF(OR($E$7="seleccione rubro",$E$9="seleccione sub - rubro"),"-",HLOOKUP((CONCATENATE($E$9,$K$17)),'IMESI Vol Físico - Series mensu'!$C$4:$FZ$306,72,0)),"-")</f>
        <v>-</v>
      </c>
    </row>
    <row r="93" spans="4:11" x14ac:dyDescent="0.2">
      <c r="D93" s="72">
        <f t="shared" si="5"/>
        <v>1992</v>
      </c>
      <c r="E93" s="73">
        <f>+'IMESI Vol Físico - Series mensu'!A76</f>
        <v>33878</v>
      </c>
      <c r="F93" s="73"/>
      <c r="G93" s="74" t="str">
        <f>IF($E$11="",IF(OR($E$7="seleccione rubro",$E$9="seleccione sub - rubro"),"-",HLOOKUP((CONCATENATE($E$9,$G$17)),'IMESI Vol Físico - Series mensu'!$C$4:$FZ$306,72,0)),"-")</f>
        <v>-</v>
      </c>
      <c r="H93" s="75"/>
      <c r="I93" s="74" t="str">
        <f>IF($E$11="",IF(OR($E$7="seleccione rubro",$E$9="seleccione sub - rubro"),"-",HLOOKUP((CONCATENATE($E$9,$I$17)),'IMESI Vol Físico - Series mensu'!$C$4:$FZ$306,73,0)),"-")</f>
        <v>-</v>
      </c>
      <c r="J93" s="75"/>
      <c r="K93" s="74" t="str">
        <f>IF($E$11="",IF(OR($E$7="seleccione rubro",$E$9="seleccione sub - rubro"),"-",HLOOKUP((CONCATENATE($E$9,$K$17)),'IMESI Vol Físico - Series mensu'!$C$4:$FZ$306,73,0)),"-")</f>
        <v>-</v>
      </c>
    </row>
    <row r="94" spans="4:11" x14ac:dyDescent="0.2">
      <c r="D94" s="72">
        <f t="shared" si="5"/>
        <v>1992</v>
      </c>
      <c r="E94" s="73">
        <f>+'IMESI Vol Físico - Series mensu'!A77</f>
        <v>33909</v>
      </c>
      <c r="F94" s="73"/>
      <c r="G94" s="74" t="str">
        <f>IF($E$11="",IF(OR($E$7="seleccione rubro",$E$9="seleccione sub - rubro"),"-",HLOOKUP((CONCATENATE($E$9,$G$17)),'IMESI Vol Físico - Series mensu'!$C$4:$FZ$306,73,0)),"-")</f>
        <v>-</v>
      </c>
      <c r="H94" s="75"/>
      <c r="I94" s="74" t="str">
        <f>IF($E$11="",IF(OR($E$7="seleccione rubro",$E$9="seleccione sub - rubro"),"-",HLOOKUP((CONCATENATE($E$9,$I$17)),'IMESI Vol Físico - Series mensu'!$C$4:$FZ$306,74,0)),"-")</f>
        <v>-</v>
      </c>
      <c r="J94" s="75"/>
      <c r="K94" s="74" t="str">
        <f>IF($E$11="",IF(OR($E$7="seleccione rubro",$E$9="seleccione sub - rubro"),"-",HLOOKUP((CONCATENATE($E$9,$K$17)),'IMESI Vol Físico - Series mensu'!$C$4:$FZ$306,74,0)),"-")</f>
        <v>-</v>
      </c>
    </row>
    <row r="95" spans="4:11" x14ac:dyDescent="0.2">
      <c r="D95" s="72">
        <f t="shared" si="5"/>
        <v>1992</v>
      </c>
      <c r="E95" s="73">
        <f>+'IMESI Vol Físico - Series mensu'!A78</f>
        <v>33939</v>
      </c>
      <c r="F95" s="73"/>
      <c r="G95" s="74" t="str">
        <f>IF($E$11="",IF(OR($E$7="seleccione rubro",$E$9="seleccione sub - rubro"),"-",HLOOKUP((CONCATENATE($E$9,$G$17)),'IMESI Vol Físico - Series mensu'!$C$4:$FZ$306,74,0)),"-")</f>
        <v>-</v>
      </c>
      <c r="H95" s="75"/>
      <c r="I95" s="74" t="str">
        <f>IF($E$11="",IF(OR($E$7="seleccione rubro",$E$9="seleccione sub - rubro"),"-",HLOOKUP((CONCATENATE($E$9,$I$17)),'IMESI Vol Físico - Series mensu'!$C$4:$FZ$306,75,0)),"-")</f>
        <v>-</v>
      </c>
      <c r="J95" s="75"/>
      <c r="K95" s="74" t="str">
        <f>IF($E$11="",IF(OR($E$7="seleccione rubro",$E$9="seleccione sub - rubro"),"-",HLOOKUP((CONCATENATE($E$9,$K$17)),'IMESI Vol Físico - Series mensu'!$C$4:$FZ$306,75,0)),"-")</f>
        <v>-</v>
      </c>
    </row>
    <row r="96" spans="4:11" x14ac:dyDescent="0.2">
      <c r="D96" s="69">
        <f>+D97</f>
        <v>1993</v>
      </c>
      <c r="E96" s="70"/>
      <c r="F96" s="70"/>
      <c r="G96" s="74"/>
      <c r="H96" s="75"/>
      <c r="I96" s="74"/>
      <c r="J96" s="75"/>
      <c r="K96" s="74"/>
    </row>
    <row r="97" spans="4:11" x14ac:dyDescent="0.2">
      <c r="D97" s="72">
        <f>YEAR(E97)</f>
        <v>1993</v>
      </c>
      <c r="E97" s="73">
        <f>+'IMESI Vol Físico - Series mensu'!A79</f>
        <v>33970</v>
      </c>
      <c r="F97" s="73"/>
      <c r="G97" s="74" t="str">
        <f>IF($E$11="",IF(OR($E$7="seleccione rubro",$E$9="seleccione sub - rubro"),"-",HLOOKUP((CONCATENATE($E$9,$G$17)),'IMESI Vol Físico - Series mensu'!$C$4:$FZ$306,75,0)),"-")</f>
        <v>-</v>
      </c>
      <c r="H97" s="75"/>
      <c r="I97" s="74" t="str">
        <f>IF($E$11="",IF(OR($E$7="seleccione rubro",$E$9="seleccione sub - rubro"),"-",HLOOKUP((CONCATENATE($E$9,$I$17)),'IMESI Vol Físico - Series mensu'!$C$4:$FZ$306,76,0)),"-")</f>
        <v>-</v>
      </c>
      <c r="J97" s="75"/>
      <c r="K97" s="74" t="str">
        <f>IF($E$11="",IF(OR($E$7="seleccione rubro",$E$9="seleccione sub - rubro"),"-",HLOOKUP((CONCATENATE($E$9,$K$17)),'IMESI Vol Físico - Series mensu'!$C$4:$FZ$306,76,0)),"-")</f>
        <v>-</v>
      </c>
    </row>
    <row r="98" spans="4:11" x14ac:dyDescent="0.2">
      <c r="D98" s="72">
        <f t="shared" ref="D98:D108" si="6">YEAR(E98)</f>
        <v>1993</v>
      </c>
      <c r="E98" s="73">
        <f>+'IMESI Vol Físico - Series mensu'!A80</f>
        <v>34001</v>
      </c>
      <c r="F98" s="73"/>
      <c r="G98" s="74" t="str">
        <f>IF($E$11="",IF(OR($E$7="seleccione rubro",$E$9="seleccione sub - rubro"),"-",HLOOKUP((CONCATENATE($E$9,$G$17)),'IMESI Vol Físico - Series mensu'!$C$4:$FZ$306,76,0)),"-")</f>
        <v>-</v>
      </c>
      <c r="H98" s="75"/>
      <c r="I98" s="74" t="str">
        <f>IF($E$11="",IF(OR($E$7="seleccione rubro",$E$9="seleccione sub - rubro"),"-",HLOOKUP((CONCATENATE($E$9,$I$17)),'IMESI Vol Físico - Series mensu'!$C$4:$FZ$306,77,0)),"-")</f>
        <v>-</v>
      </c>
      <c r="J98" s="75"/>
      <c r="K98" s="74" t="str">
        <f>IF($E$11="",IF(OR($E$7="seleccione rubro",$E$9="seleccione sub - rubro"),"-",HLOOKUP((CONCATENATE($E$9,$K$17)),'IMESI Vol Físico - Series mensu'!$C$4:$FZ$306,77,0)),"-")</f>
        <v>-</v>
      </c>
    </row>
    <row r="99" spans="4:11" x14ac:dyDescent="0.2">
      <c r="D99" s="72">
        <f t="shared" si="6"/>
        <v>1993</v>
      </c>
      <c r="E99" s="73">
        <f>+'IMESI Vol Físico - Series mensu'!A81</f>
        <v>34029</v>
      </c>
      <c r="F99" s="73"/>
      <c r="G99" s="74" t="str">
        <f>IF($E$11="",IF(OR($E$7="seleccione rubro",$E$9="seleccione sub - rubro"),"-",HLOOKUP((CONCATENATE($E$9,$G$17)),'IMESI Vol Físico - Series mensu'!$C$4:$FZ$306,77,0)),"-")</f>
        <v>-</v>
      </c>
      <c r="H99" s="75"/>
      <c r="I99" s="74" t="str">
        <f>IF($E$11="",IF(OR($E$7="seleccione rubro",$E$9="seleccione sub - rubro"),"-",HLOOKUP((CONCATENATE($E$9,$I$17)),'IMESI Vol Físico - Series mensu'!$C$4:$FZ$306,78,0)),"-")</f>
        <v>-</v>
      </c>
      <c r="J99" s="75"/>
      <c r="K99" s="74" t="str">
        <f>IF($E$11="",IF(OR($E$7="seleccione rubro",$E$9="seleccione sub - rubro"),"-",HLOOKUP((CONCATENATE($E$9,$K$17)),'IMESI Vol Físico - Series mensu'!$C$4:$FZ$306,78,0)),"-")</f>
        <v>-</v>
      </c>
    </row>
    <row r="100" spans="4:11" x14ac:dyDescent="0.2">
      <c r="D100" s="72">
        <f t="shared" si="6"/>
        <v>1993</v>
      </c>
      <c r="E100" s="73">
        <f>+'IMESI Vol Físico - Series mensu'!A82</f>
        <v>34060</v>
      </c>
      <c r="F100" s="73"/>
      <c r="G100" s="74" t="str">
        <f>IF($E$11="",IF(OR($E$7="seleccione rubro",$E$9="seleccione sub - rubro"),"-",HLOOKUP((CONCATENATE($E$9,$G$17)),'IMESI Vol Físico - Series mensu'!$C$4:$FZ$306,78,0)),"-")</f>
        <v>-</v>
      </c>
      <c r="H100" s="75"/>
      <c r="I100" s="74" t="str">
        <f>IF($E$11="",IF(OR($E$7="seleccione rubro",$E$9="seleccione sub - rubro"),"-",HLOOKUP((CONCATENATE($E$9,$I$17)),'IMESI Vol Físico - Series mensu'!$C$4:$FZ$306,79,0)),"-")</f>
        <v>-</v>
      </c>
      <c r="J100" s="75"/>
      <c r="K100" s="74" t="str">
        <f>IF($E$11="",IF(OR($E$7="seleccione rubro",$E$9="seleccione sub - rubro"),"-",HLOOKUP((CONCATENATE($E$9,$K$17)),'IMESI Vol Físico - Series mensu'!$C$4:$FZ$306,79,0)),"-")</f>
        <v>-</v>
      </c>
    </row>
    <row r="101" spans="4:11" x14ac:dyDescent="0.2">
      <c r="D101" s="72">
        <f t="shared" si="6"/>
        <v>1993</v>
      </c>
      <c r="E101" s="73">
        <f>+'IMESI Vol Físico - Series mensu'!A83</f>
        <v>34090</v>
      </c>
      <c r="F101" s="73"/>
      <c r="G101" s="74" t="str">
        <f>IF($E$11="",IF(OR($E$7="seleccione rubro",$E$9="seleccione sub - rubro"),"-",HLOOKUP((CONCATENATE($E$9,$G$17)),'IMESI Vol Físico - Series mensu'!$C$4:$FZ$306,79,0)),"-")</f>
        <v>-</v>
      </c>
      <c r="H101" s="75"/>
      <c r="I101" s="74" t="str">
        <f>IF($E$11="",IF(OR($E$7="seleccione rubro",$E$9="seleccione sub - rubro"),"-",HLOOKUP((CONCATENATE($E$9,$I$17)),'IMESI Vol Físico - Series mensu'!$C$4:$FZ$306,80,0)),"-")</f>
        <v>-</v>
      </c>
      <c r="J101" s="75"/>
      <c r="K101" s="74" t="str">
        <f>IF($E$11="",IF(OR($E$7="seleccione rubro",$E$9="seleccione sub - rubro"),"-",HLOOKUP((CONCATENATE($E$9,$K$17)),'IMESI Vol Físico - Series mensu'!$C$4:$FZ$306,80,0)),"-")</f>
        <v>-</v>
      </c>
    </row>
    <row r="102" spans="4:11" x14ac:dyDescent="0.2">
      <c r="D102" s="72">
        <f t="shared" si="6"/>
        <v>1993</v>
      </c>
      <c r="E102" s="73">
        <f>+'IMESI Vol Físico - Series mensu'!A84</f>
        <v>34121</v>
      </c>
      <c r="F102" s="73"/>
      <c r="G102" s="74" t="str">
        <f>IF($E$11="",IF(OR($E$7="seleccione rubro",$E$9="seleccione sub - rubro"),"-",HLOOKUP((CONCATENATE($E$9,$G$17)),'IMESI Vol Físico - Series mensu'!$C$4:$FZ$306,80,0)),"-")</f>
        <v>-</v>
      </c>
      <c r="H102" s="75"/>
      <c r="I102" s="74" t="str">
        <f>IF($E$11="",IF(OR($E$7="seleccione rubro",$E$9="seleccione sub - rubro"),"-",HLOOKUP((CONCATENATE($E$9,$I$17)),'IMESI Vol Físico - Series mensu'!$C$4:$FZ$306,81,0)),"-")</f>
        <v>-</v>
      </c>
      <c r="J102" s="75"/>
      <c r="K102" s="74" t="str">
        <f>IF($E$11="",IF(OR($E$7="seleccione rubro",$E$9="seleccione sub - rubro"),"-",HLOOKUP((CONCATENATE($E$9,$K$17)),'IMESI Vol Físico - Series mensu'!$C$4:$FZ$306,81,0)),"-")</f>
        <v>-</v>
      </c>
    </row>
    <row r="103" spans="4:11" x14ac:dyDescent="0.2">
      <c r="D103" s="72">
        <f t="shared" si="6"/>
        <v>1993</v>
      </c>
      <c r="E103" s="73">
        <f>+'IMESI Vol Físico - Series mensu'!A85</f>
        <v>34151</v>
      </c>
      <c r="F103" s="73"/>
      <c r="G103" s="74" t="str">
        <f>IF($E$11="",IF(OR($E$7="seleccione rubro",$E$9="seleccione sub - rubro"),"-",HLOOKUP((CONCATENATE($E$9,$G$17)),'IMESI Vol Físico - Series mensu'!$C$4:$FZ$306,81,0)),"-")</f>
        <v>-</v>
      </c>
      <c r="H103" s="75"/>
      <c r="I103" s="74" t="str">
        <f>IF($E$11="",IF(OR($E$7="seleccione rubro",$E$9="seleccione sub - rubro"),"-",HLOOKUP((CONCATENATE($E$9,$I$17)),'IMESI Vol Físico - Series mensu'!$C$4:$FZ$306,82,0)),"-")</f>
        <v>-</v>
      </c>
      <c r="J103" s="75"/>
      <c r="K103" s="74" t="str">
        <f>IF($E$11="",IF(OR($E$7="seleccione rubro",$E$9="seleccione sub - rubro"),"-",HLOOKUP((CONCATENATE($E$9,$K$17)),'IMESI Vol Físico - Series mensu'!$C$4:$FZ$306,82,0)),"-")</f>
        <v>-</v>
      </c>
    </row>
    <row r="104" spans="4:11" x14ac:dyDescent="0.2">
      <c r="D104" s="72">
        <f t="shared" si="6"/>
        <v>1993</v>
      </c>
      <c r="E104" s="73">
        <f>+'IMESI Vol Físico - Series mensu'!A86</f>
        <v>34182</v>
      </c>
      <c r="F104" s="73"/>
      <c r="G104" s="74" t="str">
        <f>IF($E$11="",IF(OR($E$7="seleccione rubro",$E$9="seleccione sub - rubro"),"-",HLOOKUP((CONCATENATE($E$9,$G$17)),'IMESI Vol Físico - Series mensu'!$C$4:$FZ$306,82,0)),"-")</f>
        <v>-</v>
      </c>
      <c r="H104" s="75"/>
      <c r="I104" s="74" t="str">
        <f>IF($E$11="",IF(OR($E$7="seleccione rubro",$E$9="seleccione sub - rubro"),"-",HLOOKUP((CONCATENATE($E$9,$I$17)),'IMESI Vol Físico - Series mensu'!$C$4:$FZ$306,83,0)),"-")</f>
        <v>-</v>
      </c>
      <c r="J104" s="75"/>
      <c r="K104" s="74" t="str">
        <f>IF($E$11="",IF(OR($E$7="seleccione rubro",$E$9="seleccione sub - rubro"),"-",HLOOKUP((CONCATENATE($E$9,$K$17)),'IMESI Vol Físico - Series mensu'!$C$4:$FZ$306,83,0)),"-")</f>
        <v>-</v>
      </c>
    </row>
    <row r="105" spans="4:11" x14ac:dyDescent="0.2">
      <c r="D105" s="72">
        <f t="shared" si="6"/>
        <v>1993</v>
      </c>
      <c r="E105" s="73">
        <f>+'IMESI Vol Físico - Series mensu'!A87</f>
        <v>34213</v>
      </c>
      <c r="F105" s="73"/>
      <c r="G105" s="74" t="str">
        <f>IF($E$11="",IF(OR($E$7="seleccione rubro",$E$9="seleccione sub - rubro"),"-",HLOOKUP((CONCATENATE($E$9,$G$17)),'IMESI Vol Físico - Series mensu'!$C$4:$FZ$306,83,0)),"-")</f>
        <v>-</v>
      </c>
      <c r="H105" s="75"/>
      <c r="I105" s="74" t="str">
        <f>IF($E$11="",IF(OR($E$7="seleccione rubro",$E$9="seleccione sub - rubro"),"-",HLOOKUP((CONCATENATE($E$9,$I$17)),'IMESI Vol Físico - Series mensu'!$C$4:$FZ$306,84,0)),"-")</f>
        <v>-</v>
      </c>
      <c r="J105" s="75"/>
      <c r="K105" s="74" t="str">
        <f>IF($E$11="",IF(OR($E$7="seleccione rubro",$E$9="seleccione sub - rubro"),"-",HLOOKUP((CONCATENATE($E$9,$K$17)),'IMESI Vol Físico - Series mensu'!$C$4:$FZ$306,84,0)),"-")</f>
        <v>-</v>
      </c>
    </row>
    <row r="106" spans="4:11" x14ac:dyDescent="0.2">
      <c r="D106" s="72">
        <f t="shared" si="6"/>
        <v>1993</v>
      </c>
      <c r="E106" s="73">
        <f>+'IMESI Vol Físico - Series mensu'!A88</f>
        <v>34243</v>
      </c>
      <c r="F106" s="73"/>
      <c r="G106" s="74" t="str">
        <f>IF($E$11="",IF(OR($E$7="seleccione rubro",$E$9="seleccione sub - rubro"),"-",HLOOKUP((CONCATENATE($E$9,$G$17)),'IMESI Vol Físico - Series mensu'!$C$4:$FZ$306,84,0)),"-")</f>
        <v>-</v>
      </c>
      <c r="H106" s="75"/>
      <c r="I106" s="74" t="str">
        <f>IF($E$11="",IF(OR($E$7="seleccione rubro",$E$9="seleccione sub - rubro"),"-",HLOOKUP((CONCATENATE($E$9,$I$17)),'IMESI Vol Físico - Series mensu'!$C$4:$FZ$306,85,0)),"-")</f>
        <v>-</v>
      </c>
      <c r="J106" s="75"/>
      <c r="K106" s="74" t="str">
        <f>IF($E$11="",IF(OR($E$7="seleccione rubro",$E$9="seleccione sub - rubro"),"-",HLOOKUP((CONCATENATE($E$9,$K$17)),'IMESI Vol Físico - Series mensu'!$C$4:$FZ$306,85,0)),"-")</f>
        <v>-</v>
      </c>
    </row>
    <row r="107" spans="4:11" x14ac:dyDescent="0.2">
      <c r="D107" s="72">
        <f t="shared" si="6"/>
        <v>1993</v>
      </c>
      <c r="E107" s="73">
        <f>+'IMESI Vol Físico - Series mensu'!A89</f>
        <v>34274</v>
      </c>
      <c r="F107" s="73"/>
      <c r="G107" s="74" t="str">
        <f>IF($E$11="",IF(OR($E$7="seleccione rubro",$E$9="seleccione sub - rubro"),"-",HLOOKUP((CONCATENATE($E$9,$G$17)),'IMESI Vol Físico - Series mensu'!$C$4:$FZ$306,85,0)),"-")</f>
        <v>-</v>
      </c>
      <c r="H107" s="75"/>
      <c r="I107" s="74" t="str">
        <f>IF($E$11="",IF(OR($E$7="seleccione rubro",$E$9="seleccione sub - rubro"),"-",HLOOKUP((CONCATENATE($E$9,$I$17)),'IMESI Vol Físico - Series mensu'!$C$4:$FZ$306,86,0)),"-")</f>
        <v>-</v>
      </c>
      <c r="J107" s="75"/>
      <c r="K107" s="74" t="str">
        <f>IF($E$11="",IF(OR($E$7="seleccione rubro",$E$9="seleccione sub - rubro"),"-",HLOOKUP((CONCATENATE($E$9,$K$17)),'IMESI Vol Físico - Series mensu'!$C$4:$FZ$306,86,0)),"-")</f>
        <v>-</v>
      </c>
    </row>
    <row r="108" spans="4:11" x14ac:dyDescent="0.2">
      <c r="D108" s="72">
        <f t="shared" si="6"/>
        <v>1993</v>
      </c>
      <c r="E108" s="73">
        <f>+'IMESI Vol Físico - Series mensu'!A90</f>
        <v>34304</v>
      </c>
      <c r="F108" s="73"/>
      <c r="G108" s="74" t="str">
        <f>IF($E$11="",IF(OR($E$7="seleccione rubro",$E$9="seleccione sub - rubro"),"-",HLOOKUP((CONCATENATE($E$9,$G$17)),'IMESI Vol Físico - Series mensu'!$C$4:$FZ$306,86,0)),"-")</f>
        <v>-</v>
      </c>
      <c r="H108" s="75"/>
      <c r="I108" s="74" t="str">
        <f>IF($E$11="",IF(OR($E$7="seleccione rubro",$E$9="seleccione sub - rubro"),"-",HLOOKUP((CONCATENATE($E$9,$I$17)),'IMESI Vol Físico - Series mensu'!$C$4:$FZ$306,87,0)),"-")</f>
        <v>-</v>
      </c>
      <c r="J108" s="75"/>
      <c r="K108" s="74" t="str">
        <f>IF($E$11="",IF(OR($E$7="seleccione rubro",$E$9="seleccione sub - rubro"),"-",HLOOKUP((CONCATENATE($E$9,$K$17)),'IMESI Vol Físico - Series mensu'!$C$4:$FZ$306,87,0)),"-")</f>
        <v>-</v>
      </c>
    </row>
    <row r="109" spans="4:11" x14ac:dyDescent="0.2">
      <c r="D109" s="69">
        <f>+D110</f>
        <v>1994</v>
      </c>
      <c r="E109" s="70"/>
      <c r="F109" s="70"/>
      <c r="G109" s="74"/>
      <c r="H109" s="75"/>
      <c r="I109" s="74"/>
      <c r="J109" s="75"/>
      <c r="K109" s="74"/>
    </row>
    <row r="110" spans="4:11" x14ac:dyDescent="0.2">
      <c r="D110" s="72">
        <f>YEAR(E110)</f>
        <v>1994</v>
      </c>
      <c r="E110" s="73">
        <f>+'IMESI Vol Físico - Series mensu'!A91</f>
        <v>34335</v>
      </c>
      <c r="F110" s="73"/>
      <c r="G110" s="74" t="str">
        <f>IF($E$11="",IF(OR($E$7="seleccione rubro",$E$9="seleccione sub - rubro"),"-",HLOOKUP((CONCATENATE($E$9,$G$17)),'IMESI Vol Físico - Series mensu'!$C$4:$FZ$306,87,0)),"-")</f>
        <v>-</v>
      </c>
      <c r="H110" s="75"/>
      <c r="I110" s="74" t="str">
        <f>IF($E$11="",IF(OR($E$7="seleccione rubro",$E$9="seleccione sub - rubro"),"-",HLOOKUP((CONCATENATE($E$9,$I$17)),'IMESI Vol Físico - Series mensu'!$C$4:$FZ$306,88,0)),"-")</f>
        <v>-</v>
      </c>
      <c r="J110" s="75"/>
      <c r="K110" s="74" t="str">
        <f>IF($E$11="",IF(OR($E$7="seleccione rubro",$E$9="seleccione sub - rubro"),"-",HLOOKUP((CONCATENATE($E$9,$K$17)),'IMESI Vol Físico - Series mensu'!$C$4:$FZ$306,88,0)),"-")</f>
        <v>-</v>
      </c>
    </row>
    <row r="111" spans="4:11" x14ac:dyDescent="0.2">
      <c r="D111" s="72">
        <f t="shared" ref="D111:D121" si="7">YEAR(E111)</f>
        <v>1994</v>
      </c>
      <c r="E111" s="73">
        <f>+'IMESI Vol Físico - Series mensu'!A92</f>
        <v>34366</v>
      </c>
      <c r="F111" s="73"/>
      <c r="G111" s="74" t="str">
        <f>IF($E$11="",IF(OR($E$7="seleccione rubro",$E$9="seleccione sub - rubro"),"-",HLOOKUP((CONCATENATE($E$9,$G$17)),'IMESI Vol Físico - Series mensu'!$C$4:$FZ$306,88,0)),"-")</f>
        <v>-</v>
      </c>
      <c r="H111" s="75"/>
      <c r="I111" s="74" t="str">
        <f>IF($E$11="",IF(OR($E$7="seleccione rubro",$E$9="seleccione sub - rubro"),"-",HLOOKUP((CONCATENATE($E$9,$I$17)),'IMESI Vol Físico - Series mensu'!$C$4:$FZ$306,89,0)),"-")</f>
        <v>-</v>
      </c>
      <c r="J111" s="75"/>
      <c r="K111" s="74" t="str">
        <f>IF($E$11="",IF(OR($E$7="seleccione rubro",$E$9="seleccione sub - rubro"),"-",HLOOKUP((CONCATENATE($E$9,$K$17)),'IMESI Vol Físico - Series mensu'!$C$4:$FZ$306,89,0)),"-")</f>
        <v>-</v>
      </c>
    </row>
    <row r="112" spans="4:11" x14ac:dyDescent="0.2">
      <c r="D112" s="72">
        <f t="shared" si="7"/>
        <v>1994</v>
      </c>
      <c r="E112" s="73">
        <f>+'IMESI Vol Físico - Series mensu'!A93</f>
        <v>34394</v>
      </c>
      <c r="F112" s="73"/>
      <c r="G112" s="74" t="str">
        <f>IF($E$11="",IF(OR($E$7="seleccione rubro",$E$9="seleccione sub - rubro"),"-",HLOOKUP((CONCATENATE($E$9,$G$17)),'IMESI Vol Físico - Series mensu'!$C$4:$FZ$306,89,0)),"-")</f>
        <v>-</v>
      </c>
      <c r="H112" s="75"/>
      <c r="I112" s="74" t="str">
        <f>IF($E$11="",IF(OR($E$7="seleccione rubro",$E$9="seleccione sub - rubro"),"-",HLOOKUP((CONCATENATE($E$9,$I$17)),'IMESI Vol Físico - Series mensu'!$C$4:$FZ$306,90,0)),"-")</f>
        <v>-</v>
      </c>
      <c r="J112" s="75"/>
      <c r="K112" s="74" t="str">
        <f>IF($E$11="",IF(OR($E$7="seleccione rubro",$E$9="seleccione sub - rubro"),"-",HLOOKUP((CONCATENATE($E$9,$K$17)),'IMESI Vol Físico - Series mensu'!$C$4:$FZ$306,90,0)),"-")</f>
        <v>-</v>
      </c>
    </row>
    <row r="113" spans="4:11" x14ac:dyDescent="0.2">
      <c r="D113" s="72">
        <f t="shared" si="7"/>
        <v>1994</v>
      </c>
      <c r="E113" s="73">
        <f>+'IMESI Vol Físico - Series mensu'!A94</f>
        <v>34425</v>
      </c>
      <c r="F113" s="73"/>
      <c r="G113" s="74" t="str">
        <f>IF($E$11="",IF(OR($E$7="seleccione rubro",$E$9="seleccione sub - rubro"),"-",HLOOKUP((CONCATENATE($E$9,$G$17)),'IMESI Vol Físico - Series mensu'!$C$4:$FZ$306,90,0)),"-")</f>
        <v>-</v>
      </c>
      <c r="H113" s="75"/>
      <c r="I113" s="74" t="str">
        <f>IF($E$11="",IF(OR($E$7="seleccione rubro",$E$9="seleccione sub - rubro"),"-",HLOOKUP((CONCATENATE($E$9,$I$17)),'IMESI Vol Físico - Series mensu'!$C$4:$FZ$306,91,0)),"-")</f>
        <v>-</v>
      </c>
      <c r="J113" s="75"/>
      <c r="K113" s="74" t="str">
        <f>IF($E$11="",IF(OR($E$7="seleccione rubro",$E$9="seleccione sub - rubro"),"-",HLOOKUP((CONCATENATE($E$9,$K$17)),'IMESI Vol Físico - Series mensu'!$C$4:$FZ$306,91,0)),"-")</f>
        <v>-</v>
      </c>
    </row>
    <row r="114" spans="4:11" x14ac:dyDescent="0.2">
      <c r="D114" s="72">
        <f t="shared" si="7"/>
        <v>1994</v>
      </c>
      <c r="E114" s="73">
        <f>+'IMESI Vol Físico - Series mensu'!A95</f>
        <v>34455</v>
      </c>
      <c r="F114" s="73"/>
      <c r="G114" s="74" t="str">
        <f>IF($E$11="",IF(OR($E$7="seleccione rubro",$E$9="seleccione sub - rubro"),"-",HLOOKUP((CONCATENATE($E$9,$G$17)),'IMESI Vol Físico - Series mensu'!$C$4:$FZ$306,91,0)),"-")</f>
        <v>-</v>
      </c>
      <c r="H114" s="75"/>
      <c r="I114" s="74" t="str">
        <f>IF($E$11="",IF(OR($E$7="seleccione rubro",$E$9="seleccione sub - rubro"),"-",HLOOKUP((CONCATENATE($E$9,$I$17)),'IMESI Vol Físico - Series mensu'!$C$4:$FZ$306,92,0)),"-")</f>
        <v>-</v>
      </c>
      <c r="J114" s="75"/>
      <c r="K114" s="74" t="str">
        <f>IF($E$11="",IF(OR($E$7="seleccione rubro",$E$9="seleccione sub - rubro"),"-",HLOOKUP((CONCATENATE($E$9,$K$17)),'IMESI Vol Físico - Series mensu'!$C$4:$FZ$306,92,0)),"-")</f>
        <v>-</v>
      </c>
    </row>
    <row r="115" spans="4:11" x14ac:dyDescent="0.2">
      <c r="D115" s="72">
        <f t="shared" si="7"/>
        <v>1994</v>
      </c>
      <c r="E115" s="73">
        <f>+'IMESI Vol Físico - Series mensu'!A96</f>
        <v>34486</v>
      </c>
      <c r="F115" s="73"/>
      <c r="G115" s="74" t="str">
        <f>IF($E$11="",IF(OR($E$7="seleccione rubro",$E$9="seleccione sub - rubro"),"-",HLOOKUP((CONCATENATE($E$9,$G$17)),'IMESI Vol Físico - Series mensu'!$C$4:$FZ$306,92,0)),"-")</f>
        <v>-</v>
      </c>
      <c r="H115" s="75"/>
      <c r="I115" s="74" t="str">
        <f>IF($E$11="",IF(OR($E$7="seleccione rubro",$E$9="seleccione sub - rubro"),"-",HLOOKUP((CONCATENATE($E$9,$I$17)),'IMESI Vol Físico - Series mensu'!$C$4:$FZ$306,93,0)),"-")</f>
        <v>-</v>
      </c>
      <c r="J115" s="75"/>
      <c r="K115" s="74" t="str">
        <f>IF($E$11="",IF(OR($E$7="seleccione rubro",$E$9="seleccione sub - rubro"),"-",HLOOKUP((CONCATENATE($E$9,$K$17)),'IMESI Vol Físico - Series mensu'!$C$4:$FZ$306,93,0)),"-")</f>
        <v>-</v>
      </c>
    </row>
    <row r="116" spans="4:11" x14ac:dyDescent="0.2">
      <c r="D116" s="72">
        <f t="shared" si="7"/>
        <v>1994</v>
      </c>
      <c r="E116" s="73">
        <f>+'IMESI Vol Físico - Series mensu'!A97</f>
        <v>34516</v>
      </c>
      <c r="F116" s="73"/>
      <c r="G116" s="74" t="str">
        <f>IF($E$11="",IF(OR($E$7="seleccione rubro",$E$9="seleccione sub - rubro"),"-",HLOOKUP((CONCATENATE($E$9,$G$17)),'IMESI Vol Físico - Series mensu'!$C$4:$FZ$306,93,0)),"-")</f>
        <v>-</v>
      </c>
      <c r="H116" s="75"/>
      <c r="I116" s="74" t="str">
        <f>IF($E$11="",IF(OR($E$7="seleccione rubro",$E$9="seleccione sub - rubro"),"-",HLOOKUP((CONCATENATE($E$9,$I$17)),'IMESI Vol Físico - Series mensu'!$C$4:$FZ$306,94,0)),"-")</f>
        <v>-</v>
      </c>
      <c r="J116" s="75"/>
      <c r="K116" s="74" t="str">
        <f>IF($E$11="",IF(OR($E$7="seleccione rubro",$E$9="seleccione sub - rubro"),"-",HLOOKUP((CONCATENATE($E$9,$K$17)),'IMESI Vol Físico - Series mensu'!$C$4:$FZ$306,94,0)),"-")</f>
        <v>-</v>
      </c>
    </row>
    <row r="117" spans="4:11" x14ac:dyDescent="0.2">
      <c r="D117" s="72">
        <f t="shared" si="7"/>
        <v>1994</v>
      </c>
      <c r="E117" s="73">
        <f>+'IMESI Vol Físico - Series mensu'!A98</f>
        <v>34547</v>
      </c>
      <c r="F117" s="73"/>
      <c r="G117" s="74" t="str">
        <f>IF($E$11="",IF(OR($E$7="seleccione rubro",$E$9="seleccione sub - rubro"),"-",HLOOKUP((CONCATENATE($E$9,$G$17)),'IMESI Vol Físico - Series mensu'!$C$4:$FZ$306,94,0)),"-")</f>
        <v>-</v>
      </c>
      <c r="H117" s="75"/>
      <c r="I117" s="74" t="str">
        <f>IF($E$11="",IF(OR($E$7="seleccione rubro",$E$9="seleccione sub - rubro"),"-",HLOOKUP((CONCATENATE($E$9,$I$17)),'IMESI Vol Físico - Series mensu'!$C$4:$FZ$306,95,0)),"-")</f>
        <v>-</v>
      </c>
      <c r="J117" s="75"/>
      <c r="K117" s="74" t="str">
        <f>IF($E$11="",IF(OR($E$7="seleccione rubro",$E$9="seleccione sub - rubro"),"-",HLOOKUP((CONCATENATE($E$9,$K$17)),'IMESI Vol Físico - Series mensu'!$C$4:$FZ$306,95,0)),"-")</f>
        <v>-</v>
      </c>
    </row>
    <row r="118" spans="4:11" x14ac:dyDescent="0.2">
      <c r="D118" s="72">
        <f t="shared" si="7"/>
        <v>1994</v>
      </c>
      <c r="E118" s="73">
        <f>+'IMESI Vol Físico - Series mensu'!A99</f>
        <v>34578</v>
      </c>
      <c r="F118" s="73"/>
      <c r="G118" s="74" t="str">
        <f>IF($E$11="",IF(OR($E$7="seleccione rubro",$E$9="seleccione sub - rubro"),"-",HLOOKUP((CONCATENATE($E$9,$G$17)),'IMESI Vol Físico - Series mensu'!$C$4:$FZ$306,95,0)),"-")</f>
        <v>-</v>
      </c>
      <c r="H118" s="75"/>
      <c r="I118" s="74" t="str">
        <f>IF($E$11="",IF(OR($E$7="seleccione rubro",$E$9="seleccione sub - rubro"),"-",HLOOKUP((CONCATENATE($E$9,$I$17)),'IMESI Vol Físico - Series mensu'!$C$4:$FZ$306,96,0)),"-")</f>
        <v>-</v>
      </c>
      <c r="J118" s="75"/>
      <c r="K118" s="74" t="str">
        <f>IF($E$11="",IF(OR($E$7="seleccione rubro",$E$9="seleccione sub - rubro"),"-",HLOOKUP((CONCATENATE($E$9,$K$17)),'IMESI Vol Físico - Series mensu'!$C$4:$FZ$306,96,0)),"-")</f>
        <v>-</v>
      </c>
    </row>
    <row r="119" spans="4:11" x14ac:dyDescent="0.2">
      <c r="D119" s="72">
        <f t="shared" si="7"/>
        <v>1994</v>
      </c>
      <c r="E119" s="73">
        <f>+'IMESI Vol Físico - Series mensu'!A100</f>
        <v>34608</v>
      </c>
      <c r="F119" s="73"/>
      <c r="G119" s="74" t="str">
        <f>IF($E$11="",IF(OR($E$7="seleccione rubro",$E$9="seleccione sub - rubro"),"-",HLOOKUP((CONCATENATE($E$9,$G$17)),'IMESI Vol Físico - Series mensu'!$C$4:$FZ$306,96,0)),"-")</f>
        <v>-</v>
      </c>
      <c r="H119" s="75"/>
      <c r="I119" s="74" t="str">
        <f>IF($E$11="",IF(OR($E$7="seleccione rubro",$E$9="seleccione sub - rubro"),"-",HLOOKUP((CONCATENATE($E$9,$I$17)),'IMESI Vol Físico - Series mensu'!$C$4:$FZ$306,97,0)),"-")</f>
        <v>-</v>
      </c>
      <c r="J119" s="75"/>
      <c r="K119" s="74" t="str">
        <f>IF($E$11="",IF(OR($E$7="seleccione rubro",$E$9="seleccione sub - rubro"),"-",HLOOKUP((CONCATENATE($E$9,$K$17)),'IMESI Vol Físico - Series mensu'!$C$4:$FZ$306,97,0)),"-")</f>
        <v>-</v>
      </c>
    </row>
    <row r="120" spans="4:11" x14ac:dyDescent="0.2">
      <c r="D120" s="72">
        <f t="shared" si="7"/>
        <v>1994</v>
      </c>
      <c r="E120" s="73">
        <f>+'IMESI Vol Físico - Series mensu'!A101</f>
        <v>34639</v>
      </c>
      <c r="F120" s="73"/>
      <c r="G120" s="74" t="str">
        <f>IF($E$11="",IF(OR($E$7="seleccione rubro",$E$9="seleccione sub - rubro"),"-",HLOOKUP((CONCATENATE($E$9,$G$17)),'IMESI Vol Físico - Series mensu'!$C$4:$FZ$306,97,0)),"-")</f>
        <v>-</v>
      </c>
      <c r="H120" s="75"/>
      <c r="I120" s="74" t="str">
        <f>IF($E$11="",IF(OR($E$7="seleccione rubro",$E$9="seleccione sub - rubro"),"-",HLOOKUP((CONCATENATE($E$9,$I$17)),'IMESI Vol Físico - Series mensu'!$C$4:$FZ$306,98,0)),"-")</f>
        <v>-</v>
      </c>
      <c r="J120" s="75"/>
      <c r="K120" s="74" t="str">
        <f>IF($E$11="",IF(OR($E$7="seleccione rubro",$E$9="seleccione sub - rubro"),"-",HLOOKUP((CONCATENATE($E$9,$K$17)),'IMESI Vol Físico - Series mensu'!$C$4:$FZ$306,98,0)),"-")</f>
        <v>-</v>
      </c>
    </row>
    <row r="121" spans="4:11" x14ac:dyDescent="0.2">
      <c r="D121" s="72">
        <f t="shared" si="7"/>
        <v>1994</v>
      </c>
      <c r="E121" s="73">
        <f>+'IMESI Vol Físico - Series mensu'!A102</f>
        <v>34669</v>
      </c>
      <c r="F121" s="73"/>
      <c r="G121" s="74" t="str">
        <f>IF($E$11="",IF(OR($E$7="seleccione rubro",$E$9="seleccione sub - rubro"),"-",HLOOKUP((CONCATENATE($E$9,$G$17)),'IMESI Vol Físico - Series mensu'!$C$4:$FZ$306,98,0)),"-")</f>
        <v>-</v>
      </c>
      <c r="H121" s="75"/>
      <c r="I121" s="74" t="str">
        <f>IF($E$11="",IF(OR($E$7="seleccione rubro",$E$9="seleccione sub - rubro"),"-",HLOOKUP((CONCATENATE($E$9,$I$17)),'IMESI Vol Físico - Series mensu'!$C$4:$FZ$306,99,0)),"-")</f>
        <v>-</v>
      </c>
      <c r="J121" s="75"/>
      <c r="K121" s="74" t="str">
        <f>IF($E$11="",IF(OR($E$7="seleccione rubro",$E$9="seleccione sub - rubro"),"-",HLOOKUP((CONCATENATE($E$9,$K$17)),'IMESI Vol Físico - Series mensu'!$C$4:$FZ$306,99,0)),"-")</f>
        <v>-</v>
      </c>
    </row>
    <row r="122" spans="4:11" x14ac:dyDescent="0.2">
      <c r="D122" s="69">
        <f>+D123</f>
        <v>1995</v>
      </c>
      <c r="E122" s="70"/>
      <c r="F122" s="70"/>
      <c r="G122" s="74"/>
      <c r="H122" s="75"/>
      <c r="I122" s="74"/>
      <c r="J122" s="75"/>
      <c r="K122" s="74"/>
    </row>
    <row r="123" spans="4:11" x14ac:dyDescent="0.2">
      <c r="D123" s="72">
        <f>YEAR(E123)</f>
        <v>1995</v>
      </c>
      <c r="E123" s="73">
        <f>+'IMESI Vol Físico - Series mensu'!A103</f>
        <v>34700</v>
      </c>
      <c r="F123" s="73"/>
      <c r="G123" s="74" t="str">
        <f>IF($E$11="",IF(OR($E$7="seleccione rubro",$E$9="seleccione sub - rubro"),"-",HLOOKUP((CONCATENATE($E$9,$G$17)),'IMESI Vol Físico - Series mensu'!$C$4:$FZ$306,99,0)),"-")</f>
        <v>-</v>
      </c>
      <c r="H123" s="75"/>
      <c r="I123" s="74" t="str">
        <f>IF($E$11="",IF(OR($E$7="seleccione rubro",$E$9="seleccione sub - rubro"),"-",HLOOKUP((CONCATENATE($E$9,$I$17)),'IMESI Vol Físico - Series mensu'!$C$4:$FZ$306,100,0)),"-")</f>
        <v>-</v>
      </c>
      <c r="J123" s="75"/>
      <c r="K123" s="74" t="str">
        <f>IF($E$11="",IF(OR($E$7="seleccione rubro",$E$9="seleccione sub - rubro"),"-",HLOOKUP((CONCATENATE($E$9,$K$17)),'IMESI Vol Físico - Series mensu'!$C$4:$FZ$306,100,0)),"-")</f>
        <v>-</v>
      </c>
    </row>
    <row r="124" spans="4:11" x14ac:dyDescent="0.2">
      <c r="D124" s="72">
        <f t="shared" ref="D124:D134" si="8">YEAR(E124)</f>
        <v>1995</v>
      </c>
      <c r="E124" s="73">
        <f>+'IMESI Vol Físico - Series mensu'!A104</f>
        <v>34731</v>
      </c>
      <c r="F124" s="73"/>
      <c r="G124" s="74" t="str">
        <f>IF($E$11="",IF(OR($E$7="seleccione rubro",$E$9="seleccione sub - rubro"),"-",HLOOKUP((CONCATENATE($E$9,$G$17)),'IMESI Vol Físico - Series mensu'!$C$4:$FZ$306,100,0)),"-")</f>
        <v>-</v>
      </c>
      <c r="H124" s="75"/>
      <c r="I124" s="74" t="str">
        <f>IF($E$11="",IF(OR($E$7="seleccione rubro",$E$9="seleccione sub - rubro"),"-",HLOOKUP((CONCATENATE($E$9,$I$17)),'IMESI Vol Físico - Series mensu'!$C$4:$FZ$306,101,0)),"-")</f>
        <v>-</v>
      </c>
      <c r="J124" s="75"/>
      <c r="K124" s="74" t="str">
        <f>IF($E$11="",IF(OR($E$7="seleccione rubro",$E$9="seleccione sub - rubro"),"-",HLOOKUP((CONCATENATE($E$9,$K$17)),'IMESI Vol Físico - Series mensu'!$C$4:$FZ$306,101,0)),"-")</f>
        <v>-</v>
      </c>
    </row>
    <row r="125" spans="4:11" x14ac:dyDescent="0.2">
      <c r="D125" s="72">
        <f t="shared" si="8"/>
        <v>1995</v>
      </c>
      <c r="E125" s="73">
        <f>+'IMESI Vol Físico - Series mensu'!A105</f>
        <v>34759</v>
      </c>
      <c r="F125" s="73"/>
      <c r="G125" s="74" t="str">
        <f>IF($E$11="",IF(OR($E$7="seleccione rubro",$E$9="seleccione sub - rubro"),"-",HLOOKUP((CONCATENATE($E$9,$G$17)),'IMESI Vol Físico - Series mensu'!$C$4:$FZ$306,101,0)),"-")</f>
        <v>-</v>
      </c>
      <c r="H125" s="75"/>
      <c r="I125" s="74" t="str">
        <f>IF($E$11="",IF(OR($E$7="seleccione rubro",$E$9="seleccione sub - rubro"),"-",HLOOKUP((CONCATENATE($E$9,$I$17)),'IMESI Vol Físico - Series mensu'!$C$4:$FZ$306,102,0)),"-")</f>
        <v>-</v>
      </c>
      <c r="J125" s="75"/>
      <c r="K125" s="74" t="str">
        <f>IF($E$11="",IF(OR($E$7="seleccione rubro",$E$9="seleccione sub - rubro"),"-",HLOOKUP((CONCATENATE($E$9,$K$17)),'IMESI Vol Físico - Series mensu'!$C$4:$FZ$306,102,0)),"-")</f>
        <v>-</v>
      </c>
    </row>
    <row r="126" spans="4:11" x14ac:dyDescent="0.2">
      <c r="D126" s="72">
        <f t="shared" si="8"/>
        <v>1995</v>
      </c>
      <c r="E126" s="73">
        <f>+'IMESI Vol Físico - Series mensu'!A106</f>
        <v>34790</v>
      </c>
      <c r="F126" s="73"/>
      <c r="G126" s="74" t="str">
        <f>IF($E$11="",IF(OR($E$7="seleccione rubro",$E$9="seleccione sub - rubro"),"-",HLOOKUP((CONCATENATE($E$9,$G$17)),'IMESI Vol Físico - Series mensu'!$C$4:$FZ$306,102,0)),"-")</f>
        <v>-</v>
      </c>
      <c r="H126" s="75"/>
      <c r="I126" s="74" t="str">
        <f>IF($E$11="",IF(OR($E$7="seleccione rubro",$E$9="seleccione sub - rubro"),"-",HLOOKUP((CONCATENATE($E$9,$I$17)),'IMESI Vol Físico - Series mensu'!$C$4:$FZ$306,103,0)),"-")</f>
        <v>-</v>
      </c>
      <c r="J126" s="75"/>
      <c r="K126" s="74" t="str">
        <f>IF($E$11="",IF(OR($E$7="seleccione rubro",$E$9="seleccione sub - rubro"),"-",HLOOKUP((CONCATENATE($E$9,$K$17)),'IMESI Vol Físico - Series mensu'!$C$4:$FZ$306,103,0)),"-")</f>
        <v>-</v>
      </c>
    </row>
    <row r="127" spans="4:11" x14ac:dyDescent="0.2">
      <c r="D127" s="72">
        <f t="shared" si="8"/>
        <v>1995</v>
      </c>
      <c r="E127" s="73">
        <f>+'IMESI Vol Físico - Series mensu'!A107</f>
        <v>34820</v>
      </c>
      <c r="F127" s="73"/>
      <c r="G127" s="74" t="str">
        <f>IF($E$11="",IF(OR($E$7="seleccione rubro",$E$9="seleccione sub - rubro"),"-",HLOOKUP((CONCATENATE($E$9,$G$17)),'IMESI Vol Físico - Series mensu'!$C$4:$FZ$306,103,0)),"-")</f>
        <v>-</v>
      </c>
      <c r="H127" s="75"/>
      <c r="I127" s="74" t="str">
        <f>IF($E$11="",IF(OR($E$7="seleccione rubro",$E$9="seleccione sub - rubro"),"-",HLOOKUP((CONCATENATE($E$9,$I$17)),'IMESI Vol Físico - Series mensu'!$C$4:$FZ$306,104,0)),"-")</f>
        <v>-</v>
      </c>
      <c r="J127" s="75"/>
      <c r="K127" s="74" t="str">
        <f>IF($E$11="",IF(OR($E$7="seleccione rubro",$E$9="seleccione sub - rubro"),"-",HLOOKUP((CONCATENATE($E$9,$K$17)),'IMESI Vol Físico - Series mensu'!$C$4:$FZ$306,104,0)),"-")</f>
        <v>-</v>
      </c>
    </row>
    <row r="128" spans="4:11" x14ac:dyDescent="0.2">
      <c r="D128" s="72">
        <f t="shared" si="8"/>
        <v>1995</v>
      </c>
      <c r="E128" s="73">
        <f>+'IMESI Vol Físico - Series mensu'!A108</f>
        <v>34851</v>
      </c>
      <c r="F128" s="73"/>
      <c r="G128" s="74" t="str">
        <f>IF($E$11="",IF(OR($E$7="seleccione rubro",$E$9="seleccione sub - rubro"),"-",HLOOKUP((CONCATENATE($E$9,$G$17)),'IMESI Vol Físico - Series mensu'!$C$4:$FZ$306,104,0)),"-")</f>
        <v>-</v>
      </c>
      <c r="H128" s="75"/>
      <c r="I128" s="74" t="str">
        <f>IF($E$11="",IF(OR($E$7="seleccione rubro",$E$9="seleccione sub - rubro"),"-",HLOOKUP((CONCATENATE($E$9,$I$17)),'IMESI Vol Físico - Series mensu'!$C$4:$FZ$306,105,0)),"-")</f>
        <v>-</v>
      </c>
      <c r="J128" s="75"/>
      <c r="K128" s="74" t="str">
        <f>IF($E$11="",IF(OR($E$7="seleccione rubro",$E$9="seleccione sub - rubro"),"-",HLOOKUP((CONCATENATE($E$9,$K$17)),'IMESI Vol Físico - Series mensu'!$C$4:$FZ$306,105,0)),"-")</f>
        <v>-</v>
      </c>
    </row>
    <row r="129" spans="4:11" x14ac:dyDescent="0.2">
      <c r="D129" s="72">
        <f t="shared" si="8"/>
        <v>1995</v>
      </c>
      <c r="E129" s="73">
        <f>+'IMESI Vol Físico - Series mensu'!A109</f>
        <v>34881</v>
      </c>
      <c r="F129" s="73"/>
      <c r="G129" s="74" t="str">
        <f>IF($E$11="",IF(OR($E$7="seleccione rubro",$E$9="seleccione sub - rubro"),"-",HLOOKUP((CONCATENATE($E$9,$G$17)),'IMESI Vol Físico - Series mensu'!$C$4:$FZ$306,105,0)),"-")</f>
        <v>-</v>
      </c>
      <c r="H129" s="75"/>
      <c r="I129" s="74" t="str">
        <f>IF($E$11="",IF(OR($E$7="seleccione rubro",$E$9="seleccione sub - rubro"),"-",HLOOKUP((CONCATENATE($E$9,$I$17)),'IMESI Vol Físico - Series mensu'!$C$4:$FZ$306,106,0)),"-")</f>
        <v>-</v>
      </c>
      <c r="J129" s="75"/>
      <c r="K129" s="74" t="str">
        <f>IF($E$11="",IF(OR($E$7="seleccione rubro",$E$9="seleccione sub - rubro"),"-",HLOOKUP((CONCATENATE($E$9,$K$17)),'IMESI Vol Físico - Series mensu'!$C$4:$FZ$306,106,0)),"-")</f>
        <v>-</v>
      </c>
    </row>
    <row r="130" spans="4:11" x14ac:dyDescent="0.2">
      <c r="D130" s="72">
        <f t="shared" si="8"/>
        <v>1995</v>
      </c>
      <c r="E130" s="73">
        <f>+'IMESI Vol Físico - Series mensu'!A110</f>
        <v>34912</v>
      </c>
      <c r="F130" s="73"/>
      <c r="G130" s="74" t="str">
        <f>IF($E$11="",IF(OR($E$7="seleccione rubro",$E$9="seleccione sub - rubro"),"-",HLOOKUP((CONCATENATE($E$9,$G$17)),'IMESI Vol Físico - Series mensu'!$C$4:$FZ$306,106,0)),"-")</f>
        <v>-</v>
      </c>
      <c r="H130" s="75"/>
      <c r="I130" s="74" t="str">
        <f>IF($E$11="",IF(OR($E$7="seleccione rubro",$E$9="seleccione sub - rubro"),"-",HLOOKUP((CONCATENATE($E$9,$I$17)),'IMESI Vol Físico - Series mensu'!$C$4:$FZ$306,107,0)),"-")</f>
        <v>-</v>
      </c>
      <c r="J130" s="75"/>
      <c r="K130" s="74" t="str">
        <f>IF($E$11="",IF(OR($E$7="seleccione rubro",$E$9="seleccione sub - rubro"),"-",HLOOKUP((CONCATENATE($E$9,$K$17)),'IMESI Vol Físico - Series mensu'!$C$4:$FZ$306,107,0)),"-")</f>
        <v>-</v>
      </c>
    </row>
    <row r="131" spans="4:11" x14ac:dyDescent="0.2">
      <c r="D131" s="72">
        <f t="shared" si="8"/>
        <v>1995</v>
      </c>
      <c r="E131" s="73">
        <f>+'IMESI Vol Físico - Series mensu'!A111</f>
        <v>34943</v>
      </c>
      <c r="F131" s="73"/>
      <c r="G131" s="74" t="str">
        <f>IF($E$11="",IF(OR($E$7="seleccione rubro",$E$9="seleccione sub - rubro"),"-",HLOOKUP((CONCATENATE($E$9,$G$17)),'IMESI Vol Físico - Series mensu'!$C$4:$FZ$306,107,0)),"-")</f>
        <v>-</v>
      </c>
      <c r="H131" s="75"/>
      <c r="I131" s="74" t="str">
        <f>IF($E$11="",IF(OR($E$7="seleccione rubro",$E$9="seleccione sub - rubro"),"-",HLOOKUP((CONCATENATE($E$9,$I$17)),'IMESI Vol Físico - Series mensu'!$C$4:$FZ$306,108,0)),"-")</f>
        <v>-</v>
      </c>
      <c r="J131" s="75"/>
      <c r="K131" s="74" t="str">
        <f>IF($E$11="",IF(OR($E$7="seleccione rubro",$E$9="seleccione sub - rubro"),"-",HLOOKUP((CONCATENATE($E$9,$K$17)),'IMESI Vol Físico - Series mensu'!$C$4:$FZ$306,108,0)),"-")</f>
        <v>-</v>
      </c>
    </row>
    <row r="132" spans="4:11" x14ac:dyDescent="0.2">
      <c r="D132" s="72">
        <f t="shared" si="8"/>
        <v>1995</v>
      </c>
      <c r="E132" s="73">
        <f>+'IMESI Vol Físico - Series mensu'!A112</f>
        <v>34973</v>
      </c>
      <c r="F132" s="73"/>
      <c r="G132" s="74" t="str">
        <f>IF($E$11="",IF(OR($E$7="seleccione rubro",$E$9="seleccione sub - rubro"),"-",HLOOKUP((CONCATENATE($E$9,$G$17)),'IMESI Vol Físico - Series mensu'!$C$4:$FZ$306,108,0)),"-")</f>
        <v>-</v>
      </c>
      <c r="H132" s="75"/>
      <c r="I132" s="74" t="str">
        <f>IF($E$11="",IF(OR($E$7="seleccione rubro",$E$9="seleccione sub - rubro"),"-",HLOOKUP((CONCATENATE($E$9,$I$17)),'IMESI Vol Físico - Series mensu'!$C$4:$FZ$306,109,0)),"-")</f>
        <v>-</v>
      </c>
      <c r="J132" s="75"/>
      <c r="K132" s="74" t="str">
        <f>IF($E$11="",IF(OR($E$7="seleccione rubro",$E$9="seleccione sub - rubro"),"-",HLOOKUP((CONCATENATE($E$9,$K$17)),'IMESI Vol Físico - Series mensu'!$C$4:$FZ$306,109,0)),"-")</f>
        <v>-</v>
      </c>
    </row>
    <row r="133" spans="4:11" x14ac:dyDescent="0.2">
      <c r="D133" s="72">
        <f t="shared" si="8"/>
        <v>1995</v>
      </c>
      <c r="E133" s="73">
        <f>+'IMESI Vol Físico - Series mensu'!A113</f>
        <v>35004</v>
      </c>
      <c r="F133" s="73"/>
      <c r="G133" s="74" t="str">
        <f>IF($E$11="",IF(OR($E$7="seleccione rubro",$E$9="seleccione sub - rubro"),"-",HLOOKUP((CONCATENATE($E$9,$G$17)),'IMESI Vol Físico - Series mensu'!$C$4:$FZ$306,109,0)),"-")</f>
        <v>-</v>
      </c>
      <c r="H133" s="75"/>
      <c r="I133" s="74" t="str">
        <f>IF($E$11="",IF(OR($E$7="seleccione rubro",$E$9="seleccione sub - rubro"),"-",HLOOKUP((CONCATENATE($E$9,$I$17)),'IMESI Vol Físico - Series mensu'!$C$4:$FZ$306,110,0)),"-")</f>
        <v>-</v>
      </c>
      <c r="J133" s="75"/>
      <c r="K133" s="74" t="str">
        <f>IF($E$11="",IF(OR($E$7="seleccione rubro",$E$9="seleccione sub - rubro"),"-",HLOOKUP((CONCATENATE($E$9,$K$17)),'IMESI Vol Físico - Series mensu'!$C$4:$FZ$306,110,0)),"-")</f>
        <v>-</v>
      </c>
    </row>
    <row r="134" spans="4:11" x14ac:dyDescent="0.2">
      <c r="D134" s="72">
        <f t="shared" si="8"/>
        <v>1995</v>
      </c>
      <c r="E134" s="73">
        <f>+'IMESI Vol Físico - Series mensu'!A114</f>
        <v>35034</v>
      </c>
      <c r="F134" s="73"/>
      <c r="G134" s="74" t="str">
        <f>IF($E$11="",IF(OR($E$7="seleccione rubro",$E$9="seleccione sub - rubro"),"-",HLOOKUP((CONCATENATE($E$9,$G$17)),'IMESI Vol Físico - Series mensu'!$C$4:$FZ$306,110,0)),"-")</f>
        <v>-</v>
      </c>
      <c r="H134" s="75"/>
      <c r="I134" s="74" t="str">
        <f>IF($E$11="",IF(OR($E$7="seleccione rubro",$E$9="seleccione sub - rubro"),"-",HLOOKUP((CONCATENATE($E$9,$I$17)),'IMESI Vol Físico - Series mensu'!$C$4:$FZ$306,111,0)),"-")</f>
        <v>-</v>
      </c>
      <c r="J134" s="75"/>
      <c r="K134" s="74" t="str">
        <f>IF($E$11="",IF(OR($E$7="seleccione rubro",$E$9="seleccione sub - rubro"),"-",HLOOKUP((CONCATENATE($E$9,$K$17)),'IMESI Vol Físico - Series mensu'!$C$4:$FZ$306,111,0)),"-")</f>
        <v>-</v>
      </c>
    </row>
    <row r="135" spans="4:11" x14ac:dyDescent="0.2">
      <c r="D135" s="69">
        <f>+D136</f>
        <v>1996</v>
      </c>
      <c r="E135" s="70"/>
      <c r="F135" s="70"/>
      <c r="G135" s="74"/>
      <c r="H135" s="75"/>
      <c r="I135" s="74"/>
      <c r="J135" s="75"/>
      <c r="K135" s="74"/>
    </row>
    <row r="136" spans="4:11" x14ac:dyDescent="0.2">
      <c r="D136" s="72">
        <f>YEAR(E136)</f>
        <v>1996</v>
      </c>
      <c r="E136" s="73">
        <f>+'IMESI Vol Físico - Series mensu'!A115</f>
        <v>35065</v>
      </c>
      <c r="F136" s="73"/>
      <c r="G136" s="74" t="str">
        <f>IF($E$11="",IF(OR($E$7="seleccione rubro",$E$9="seleccione sub - rubro"),"-",HLOOKUP((CONCATENATE($E$9,$G$17)),'IMESI Vol Físico - Series mensu'!$C$4:$FZ$306,111,0)),"-")</f>
        <v>-</v>
      </c>
      <c r="H136" s="75"/>
      <c r="I136" s="74" t="str">
        <f>IF($E$11="",IF(OR($E$7="seleccione rubro",$E$9="seleccione sub - rubro"),"-",HLOOKUP((CONCATENATE($E$9,$I$17)),'IMESI Vol Físico - Series mensu'!$C$4:$FZ$306,112,0)),"-")</f>
        <v>-</v>
      </c>
      <c r="J136" s="75"/>
      <c r="K136" s="74" t="str">
        <f>IF($E$11="",IF(OR($E$7="seleccione rubro",$E$9="seleccione sub - rubro"),"-",HLOOKUP((CONCATENATE($E$9,$K$17)),'IMESI Vol Físico - Series mensu'!$C$4:$FZ$306,112,0)),"-")</f>
        <v>-</v>
      </c>
    </row>
    <row r="137" spans="4:11" x14ac:dyDescent="0.2">
      <c r="D137" s="72">
        <f t="shared" ref="D137:D147" si="9">YEAR(E137)</f>
        <v>1996</v>
      </c>
      <c r="E137" s="73">
        <f>+'IMESI Vol Físico - Series mensu'!A116</f>
        <v>35096</v>
      </c>
      <c r="F137" s="73"/>
      <c r="G137" s="74" t="str">
        <f>IF($E$11="",IF(OR($E$7="seleccione rubro",$E$9="seleccione sub - rubro"),"-",HLOOKUP((CONCATENATE($E$9,$G$17)),'IMESI Vol Físico - Series mensu'!$C$4:$FZ$306,112,0)),"-")</f>
        <v>-</v>
      </c>
      <c r="H137" s="75"/>
      <c r="I137" s="74" t="str">
        <f>IF($E$11="",IF(OR($E$7="seleccione rubro",$E$9="seleccione sub - rubro"),"-",HLOOKUP((CONCATENATE($E$9,$I$17)),'IMESI Vol Físico - Series mensu'!$C$4:$FZ$306,113,0)),"-")</f>
        <v>-</v>
      </c>
      <c r="J137" s="75"/>
      <c r="K137" s="74" t="str">
        <f>IF($E$11="",IF(OR($E$7="seleccione rubro",$E$9="seleccione sub - rubro"),"-",HLOOKUP((CONCATENATE($E$9,$K$17)),'IMESI Vol Físico - Series mensu'!$C$4:$FZ$306,113,0)),"-")</f>
        <v>-</v>
      </c>
    </row>
    <row r="138" spans="4:11" x14ac:dyDescent="0.2">
      <c r="D138" s="72">
        <f t="shared" si="9"/>
        <v>1996</v>
      </c>
      <c r="E138" s="73">
        <f>+'IMESI Vol Físico - Series mensu'!A117</f>
        <v>35125</v>
      </c>
      <c r="F138" s="73"/>
      <c r="G138" s="74" t="str">
        <f>IF($E$11="",IF(OR($E$7="seleccione rubro",$E$9="seleccione sub - rubro"),"-",HLOOKUP((CONCATENATE($E$9,$G$17)),'IMESI Vol Físico - Series mensu'!$C$4:$FZ$306,113,0)),"-")</f>
        <v>-</v>
      </c>
      <c r="H138" s="75"/>
      <c r="I138" s="74" t="str">
        <f>IF($E$11="",IF(OR($E$7="seleccione rubro",$E$9="seleccione sub - rubro"),"-",HLOOKUP((CONCATENATE($E$9,$I$17)),'IMESI Vol Físico - Series mensu'!$C$4:$FZ$306,114,0)),"-")</f>
        <v>-</v>
      </c>
      <c r="J138" s="75"/>
      <c r="K138" s="74" t="str">
        <f>IF($E$11="",IF(OR($E$7="seleccione rubro",$E$9="seleccione sub - rubro"),"-",HLOOKUP((CONCATENATE($E$9,$K$17)),'IMESI Vol Físico - Series mensu'!$C$4:$FZ$306,114,0)),"-")</f>
        <v>-</v>
      </c>
    </row>
    <row r="139" spans="4:11" x14ac:dyDescent="0.2">
      <c r="D139" s="72">
        <f t="shared" si="9"/>
        <v>1996</v>
      </c>
      <c r="E139" s="73">
        <f>+'IMESI Vol Físico - Series mensu'!A118</f>
        <v>35156</v>
      </c>
      <c r="F139" s="73"/>
      <c r="G139" s="74" t="str">
        <f>IF($E$11="",IF(OR($E$7="seleccione rubro",$E$9="seleccione sub - rubro"),"-",HLOOKUP((CONCATENATE($E$9,$G$17)),'IMESI Vol Físico - Series mensu'!$C$4:$FZ$306,114,0)),"-")</f>
        <v>-</v>
      </c>
      <c r="H139" s="75"/>
      <c r="I139" s="74" t="str">
        <f>IF($E$11="",IF(OR($E$7="seleccione rubro",$E$9="seleccione sub - rubro"),"-",HLOOKUP((CONCATENATE($E$9,$I$17)),'IMESI Vol Físico - Series mensu'!$C$4:$FZ$306,115,0)),"-")</f>
        <v>-</v>
      </c>
      <c r="J139" s="75"/>
      <c r="K139" s="74" t="str">
        <f>IF($E$11="",IF(OR($E$7="seleccione rubro",$E$9="seleccione sub - rubro"),"-",HLOOKUP((CONCATENATE($E$9,$K$17)),'IMESI Vol Físico - Series mensu'!$C$4:$FZ$306,115,0)),"-")</f>
        <v>-</v>
      </c>
    </row>
    <row r="140" spans="4:11" x14ac:dyDescent="0.2">
      <c r="D140" s="72">
        <f t="shared" si="9"/>
        <v>1996</v>
      </c>
      <c r="E140" s="73">
        <f>+'IMESI Vol Físico - Series mensu'!A119</f>
        <v>35186</v>
      </c>
      <c r="F140" s="73"/>
      <c r="G140" s="74" t="str">
        <f>IF($E$11="",IF(OR($E$7="seleccione rubro",$E$9="seleccione sub - rubro"),"-",HLOOKUP((CONCATENATE($E$9,$G$17)),'IMESI Vol Físico - Series mensu'!$C$4:$FZ$306,115,0)),"-")</f>
        <v>-</v>
      </c>
      <c r="H140" s="75"/>
      <c r="I140" s="74" t="str">
        <f>IF($E$11="",IF(OR($E$7="seleccione rubro",$E$9="seleccione sub - rubro"),"-",HLOOKUP((CONCATENATE($E$9,$I$17)),'IMESI Vol Físico - Series mensu'!$C$4:$FZ$306,116,0)),"-")</f>
        <v>-</v>
      </c>
      <c r="J140" s="75"/>
      <c r="K140" s="74" t="str">
        <f>IF($E$11="",IF(OR($E$7="seleccione rubro",$E$9="seleccione sub - rubro"),"-",HLOOKUP((CONCATENATE($E$9,$K$17)),'IMESI Vol Físico - Series mensu'!$C$4:$FZ$306,116,0)),"-")</f>
        <v>-</v>
      </c>
    </row>
    <row r="141" spans="4:11" x14ac:dyDescent="0.2">
      <c r="D141" s="72">
        <f t="shared" si="9"/>
        <v>1996</v>
      </c>
      <c r="E141" s="73">
        <f>+'IMESI Vol Físico - Series mensu'!A120</f>
        <v>35217</v>
      </c>
      <c r="F141" s="73"/>
      <c r="G141" s="74" t="str">
        <f>IF($E$11="",IF(OR($E$7="seleccione rubro",$E$9="seleccione sub - rubro"),"-",HLOOKUP((CONCATENATE($E$9,$G$17)),'IMESI Vol Físico - Series mensu'!$C$4:$FZ$306,116,0)),"-")</f>
        <v>-</v>
      </c>
      <c r="H141" s="75"/>
      <c r="I141" s="74" t="str">
        <f>IF($E$11="",IF(OR($E$7="seleccione rubro",$E$9="seleccione sub - rubro"),"-",HLOOKUP((CONCATENATE($E$9,$I$17)),'IMESI Vol Físico - Series mensu'!$C$4:$FZ$306,117,0)),"-")</f>
        <v>-</v>
      </c>
      <c r="J141" s="75"/>
      <c r="K141" s="74" t="str">
        <f>IF($E$11="",IF(OR($E$7="seleccione rubro",$E$9="seleccione sub - rubro"),"-",HLOOKUP((CONCATENATE($E$9,$K$17)),'IMESI Vol Físico - Series mensu'!$C$4:$FZ$306,117,0)),"-")</f>
        <v>-</v>
      </c>
    </row>
    <row r="142" spans="4:11" x14ac:dyDescent="0.2">
      <c r="D142" s="72">
        <f t="shared" si="9"/>
        <v>1996</v>
      </c>
      <c r="E142" s="73">
        <f>+'IMESI Vol Físico - Series mensu'!A121</f>
        <v>35247</v>
      </c>
      <c r="F142" s="73"/>
      <c r="G142" s="74" t="str">
        <f>IF($E$11="",IF(OR($E$7="seleccione rubro",$E$9="seleccione sub - rubro"),"-",HLOOKUP((CONCATENATE($E$9,$G$17)),'IMESI Vol Físico - Series mensu'!$C$4:$FZ$306,117,0)),"-")</f>
        <v>-</v>
      </c>
      <c r="H142" s="75"/>
      <c r="I142" s="74" t="str">
        <f>IF($E$11="",IF(OR($E$7="seleccione rubro",$E$9="seleccione sub - rubro"),"-",HLOOKUP((CONCATENATE($E$9,$I$17)),'IMESI Vol Físico - Series mensu'!$C$4:$FZ$306,118,0)),"-")</f>
        <v>-</v>
      </c>
      <c r="J142" s="75"/>
      <c r="K142" s="74" t="str">
        <f>IF($E$11="",IF(OR($E$7="seleccione rubro",$E$9="seleccione sub - rubro"),"-",HLOOKUP((CONCATENATE($E$9,$K$17)),'IMESI Vol Físico - Series mensu'!$C$4:$FZ$306,118,0)),"-")</f>
        <v>-</v>
      </c>
    </row>
    <row r="143" spans="4:11" x14ac:dyDescent="0.2">
      <c r="D143" s="72">
        <f t="shared" si="9"/>
        <v>1996</v>
      </c>
      <c r="E143" s="73">
        <f>+'IMESI Vol Físico - Series mensu'!A122</f>
        <v>35278</v>
      </c>
      <c r="F143" s="73"/>
      <c r="G143" s="74" t="str">
        <f>IF($E$11="",IF(OR($E$7="seleccione rubro",$E$9="seleccione sub - rubro"),"-",HLOOKUP((CONCATENATE($E$9,$G$17)),'IMESI Vol Físico - Series mensu'!$C$4:$FZ$306,118,0)),"-")</f>
        <v>-</v>
      </c>
      <c r="H143" s="75"/>
      <c r="I143" s="74" t="str">
        <f>IF($E$11="",IF(OR($E$7="seleccione rubro",$E$9="seleccione sub - rubro"),"-",HLOOKUP((CONCATENATE($E$9,$I$17)),'IMESI Vol Físico - Series mensu'!$C$4:$FZ$306,119,0)),"-")</f>
        <v>-</v>
      </c>
      <c r="J143" s="75"/>
      <c r="K143" s="74" t="str">
        <f>IF($E$11="",IF(OR($E$7="seleccione rubro",$E$9="seleccione sub - rubro"),"-",HLOOKUP((CONCATENATE($E$9,$K$17)),'IMESI Vol Físico - Series mensu'!$C$4:$FZ$306,119,0)),"-")</f>
        <v>-</v>
      </c>
    </row>
    <row r="144" spans="4:11" x14ac:dyDescent="0.2">
      <c r="D144" s="72">
        <f t="shared" si="9"/>
        <v>1996</v>
      </c>
      <c r="E144" s="73">
        <f>+'IMESI Vol Físico - Series mensu'!A123</f>
        <v>35309</v>
      </c>
      <c r="F144" s="73"/>
      <c r="G144" s="74" t="str">
        <f>IF($E$11="",IF(OR($E$7="seleccione rubro",$E$9="seleccione sub - rubro"),"-",HLOOKUP((CONCATENATE($E$9,$G$17)),'IMESI Vol Físico - Series mensu'!$C$4:$FZ$306,119,0)),"-")</f>
        <v>-</v>
      </c>
      <c r="H144" s="75"/>
      <c r="I144" s="74" t="str">
        <f>IF($E$11="",IF(OR($E$7="seleccione rubro",$E$9="seleccione sub - rubro"),"-",HLOOKUP((CONCATENATE($E$9,$I$17)),'IMESI Vol Físico - Series mensu'!$C$4:$FZ$306,120,0)),"-")</f>
        <v>-</v>
      </c>
      <c r="J144" s="75"/>
      <c r="K144" s="74" t="str">
        <f>IF($E$11="",IF(OR($E$7="seleccione rubro",$E$9="seleccione sub - rubro"),"-",HLOOKUP((CONCATENATE($E$9,$K$17)),'IMESI Vol Físico - Series mensu'!$C$4:$FZ$306,120,0)),"-")</f>
        <v>-</v>
      </c>
    </row>
    <row r="145" spans="4:11" x14ac:dyDescent="0.2">
      <c r="D145" s="72">
        <f t="shared" si="9"/>
        <v>1996</v>
      </c>
      <c r="E145" s="73">
        <f>+'IMESI Vol Físico - Series mensu'!A124</f>
        <v>35339</v>
      </c>
      <c r="F145" s="73"/>
      <c r="G145" s="74" t="str">
        <f>IF($E$11="",IF(OR($E$7="seleccione rubro",$E$9="seleccione sub - rubro"),"-",HLOOKUP((CONCATENATE($E$9,$G$17)),'IMESI Vol Físico - Series mensu'!$C$4:$FZ$306,120,0)),"-")</f>
        <v>-</v>
      </c>
      <c r="H145" s="75"/>
      <c r="I145" s="74" t="str">
        <f>IF($E$11="",IF(OR($E$7="seleccione rubro",$E$9="seleccione sub - rubro"),"-",HLOOKUP((CONCATENATE($E$9,$I$17)),'IMESI Vol Físico - Series mensu'!$C$4:$FZ$306,121,0)),"-")</f>
        <v>-</v>
      </c>
      <c r="J145" s="75"/>
      <c r="K145" s="74" t="str">
        <f>IF($E$11="",IF(OR($E$7="seleccione rubro",$E$9="seleccione sub - rubro"),"-",HLOOKUP((CONCATENATE($E$9,$K$17)),'IMESI Vol Físico - Series mensu'!$C$4:$FZ$306,121,0)),"-")</f>
        <v>-</v>
      </c>
    </row>
    <row r="146" spans="4:11" x14ac:dyDescent="0.2">
      <c r="D146" s="72">
        <f t="shared" si="9"/>
        <v>1996</v>
      </c>
      <c r="E146" s="73">
        <f>+'IMESI Vol Físico - Series mensu'!A125</f>
        <v>35370</v>
      </c>
      <c r="F146" s="73"/>
      <c r="G146" s="74" t="str">
        <f>IF($E$11="",IF(OR($E$7="seleccione rubro",$E$9="seleccione sub - rubro"),"-",HLOOKUP((CONCATENATE($E$9,$G$17)),'IMESI Vol Físico - Series mensu'!$C$4:$FZ$306,121,0)),"-")</f>
        <v>-</v>
      </c>
      <c r="H146" s="75"/>
      <c r="I146" s="74" t="str">
        <f>IF($E$11="",IF(OR($E$7="seleccione rubro",$E$9="seleccione sub - rubro"),"-",HLOOKUP((CONCATENATE($E$9,$I$17)),'IMESI Vol Físico - Series mensu'!$C$4:$FZ$306,122,0)),"-")</f>
        <v>-</v>
      </c>
      <c r="J146" s="75"/>
      <c r="K146" s="74" t="str">
        <f>IF($E$11="",IF(OR($E$7="seleccione rubro",$E$9="seleccione sub - rubro"),"-",HLOOKUP((CONCATENATE($E$9,$K$17)),'IMESI Vol Físico - Series mensu'!$C$4:$FZ$306,122,0)),"-")</f>
        <v>-</v>
      </c>
    </row>
    <row r="147" spans="4:11" x14ac:dyDescent="0.2">
      <c r="D147" s="72">
        <f t="shared" si="9"/>
        <v>1996</v>
      </c>
      <c r="E147" s="73">
        <f>+'IMESI Vol Físico - Series mensu'!A126</f>
        <v>35400</v>
      </c>
      <c r="F147" s="73"/>
      <c r="G147" s="74" t="str">
        <f>IF($E$11="",IF(OR($E$7="seleccione rubro",$E$9="seleccione sub - rubro"),"-",HLOOKUP((CONCATENATE($E$9,$G$17)),'IMESI Vol Físico - Series mensu'!$C$4:$FZ$306,122,0)),"-")</f>
        <v>-</v>
      </c>
      <c r="H147" s="75"/>
      <c r="I147" s="74" t="str">
        <f>IF($E$11="",IF(OR($E$7="seleccione rubro",$E$9="seleccione sub - rubro"),"-",HLOOKUP((CONCATENATE($E$9,$I$17)),'IMESI Vol Físico - Series mensu'!$C$4:$FZ$306,123,0)),"-")</f>
        <v>-</v>
      </c>
      <c r="J147" s="75"/>
      <c r="K147" s="74" t="str">
        <f>IF($E$11="",IF(OR($E$7="seleccione rubro",$E$9="seleccione sub - rubro"),"-",HLOOKUP((CONCATENATE($E$9,$K$17)),'IMESI Vol Físico - Series mensu'!$C$4:$FZ$306,123,0)),"-")</f>
        <v>-</v>
      </c>
    </row>
    <row r="148" spans="4:11" x14ac:dyDescent="0.2">
      <c r="D148" s="69">
        <f>+D149</f>
        <v>1997</v>
      </c>
      <c r="E148" s="70"/>
      <c r="F148" s="70"/>
      <c r="G148" s="74"/>
      <c r="H148" s="75"/>
      <c r="I148" s="74"/>
      <c r="J148" s="75"/>
      <c r="K148" s="74"/>
    </row>
    <row r="149" spans="4:11" x14ac:dyDescent="0.2">
      <c r="D149" s="72">
        <f>YEAR(E149)</f>
        <v>1997</v>
      </c>
      <c r="E149" s="73">
        <f>+'IMESI Vol Físico - Series mensu'!A127</f>
        <v>35431</v>
      </c>
      <c r="F149" s="73"/>
      <c r="G149" s="74" t="str">
        <f>IF($E$11="",IF(OR($E$7="seleccione rubro",$E$9="seleccione sub - rubro"),"-",HLOOKUP((CONCATENATE($E$9,$G$17)),'IMESI Vol Físico - Series mensu'!$C$4:$FZ$306,123,0)),"-")</f>
        <v>-</v>
      </c>
      <c r="H149" s="75"/>
      <c r="I149" s="74" t="str">
        <f>IF($E$11="",IF(OR($E$7="seleccione rubro",$E$9="seleccione sub - rubro"),"-",HLOOKUP((CONCATENATE($E$9,$I$17)),'IMESI Vol Físico - Series mensu'!$C$4:$FZ$306,124,0)),"-")</f>
        <v>-</v>
      </c>
      <c r="J149" s="75"/>
      <c r="K149" s="74" t="str">
        <f>IF($E$11="",IF(OR($E$7="seleccione rubro",$E$9="seleccione sub - rubro"),"-",HLOOKUP((CONCATENATE($E$9,$K$17)),'IMESI Vol Físico - Series mensu'!$C$4:$FZ$306,124,0)),"-")</f>
        <v>-</v>
      </c>
    </row>
    <row r="150" spans="4:11" x14ac:dyDescent="0.2">
      <c r="D150" s="72">
        <f t="shared" ref="D150:D160" si="10">YEAR(E150)</f>
        <v>1997</v>
      </c>
      <c r="E150" s="73">
        <f>+'IMESI Vol Físico - Series mensu'!A128</f>
        <v>35462</v>
      </c>
      <c r="F150" s="73"/>
      <c r="G150" s="74" t="str">
        <f>IF($E$11="",IF(OR($E$7="seleccione rubro",$E$9="seleccione sub - rubro"),"-",HLOOKUP((CONCATENATE($E$9,$G$17)),'IMESI Vol Físico - Series mensu'!$C$4:$FZ$306,124,0)),"-")</f>
        <v>-</v>
      </c>
      <c r="H150" s="75"/>
      <c r="I150" s="74" t="str">
        <f>IF($E$11="",IF(OR($E$7="seleccione rubro",$E$9="seleccione sub - rubro"),"-",HLOOKUP((CONCATENATE($E$9,$I$17)),'IMESI Vol Físico - Series mensu'!$C$4:$FZ$306,125,0)),"-")</f>
        <v>-</v>
      </c>
      <c r="J150" s="75"/>
      <c r="K150" s="74" t="str">
        <f>IF($E$11="",IF(OR($E$7="seleccione rubro",$E$9="seleccione sub - rubro"),"-",HLOOKUP((CONCATENATE($E$9,$K$17)),'IMESI Vol Físico - Series mensu'!$C$4:$FZ$306,125,0)),"-")</f>
        <v>-</v>
      </c>
    </row>
    <row r="151" spans="4:11" x14ac:dyDescent="0.2">
      <c r="D151" s="72">
        <f t="shared" si="10"/>
        <v>1997</v>
      </c>
      <c r="E151" s="73">
        <f>+'IMESI Vol Físico - Series mensu'!A129</f>
        <v>35490</v>
      </c>
      <c r="F151" s="73"/>
      <c r="G151" s="74" t="str">
        <f>IF($E$11="",IF(OR($E$7="seleccione rubro",$E$9="seleccione sub - rubro"),"-",HLOOKUP((CONCATENATE($E$9,$G$17)),'IMESI Vol Físico - Series mensu'!$C$4:$FZ$306,125,0)),"-")</f>
        <v>-</v>
      </c>
      <c r="H151" s="75"/>
      <c r="I151" s="74" t="str">
        <f>IF($E$11="",IF(OR($E$7="seleccione rubro",$E$9="seleccione sub - rubro"),"-",HLOOKUP((CONCATENATE($E$9,$I$17)),'IMESI Vol Físico - Series mensu'!$C$4:$FZ$306,126,0)),"-")</f>
        <v>-</v>
      </c>
      <c r="J151" s="75"/>
      <c r="K151" s="74" t="str">
        <f>IF($E$11="",IF(OR($E$7="seleccione rubro",$E$9="seleccione sub - rubro"),"-",HLOOKUP((CONCATENATE($E$9,$K$17)),'IMESI Vol Físico - Series mensu'!$C$4:$FZ$306,126,0)),"-")</f>
        <v>-</v>
      </c>
    </row>
    <row r="152" spans="4:11" x14ac:dyDescent="0.2">
      <c r="D152" s="72">
        <f t="shared" si="10"/>
        <v>1997</v>
      </c>
      <c r="E152" s="73">
        <f>+'IMESI Vol Físico - Series mensu'!A130</f>
        <v>35521</v>
      </c>
      <c r="F152" s="73"/>
      <c r="G152" s="74" t="str">
        <f>IF($E$11="",IF(OR($E$7="seleccione rubro",$E$9="seleccione sub - rubro"),"-",HLOOKUP((CONCATENATE($E$9,$G$17)),'IMESI Vol Físico - Series mensu'!$C$4:$FZ$306,126,0)),"-")</f>
        <v>-</v>
      </c>
      <c r="H152" s="75"/>
      <c r="I152" s="74" t="str">
        <f>IF($E$11="",IF(OR($E$7="seleccione rubro",$E$9="seleccione sub - rubro"),"-",HLOOKUP((CONCATENATE($E$9,$I$17)),'IMESI Vol Físico - Series mensu'!$C$4:$FZ$306,127,0)),"-")</f>
        <v>-</v>
      </c>
      <c r="J152" s="75"/>
      <c r="K152" s="74" t="str">
        <f>IF($E$11="",IF(OR($E$7="seleccione rubro",$E$9="seleccione sub - rubro"),"-",HLOOKUP((CONCATENATE($E$9,$K$17)),'IMESI Vol Físico - Series mensu'!$C$4:$FZ$306,127,0)),"-")</f>
        <v>-</v>
      </c>
    </row>
    <row r="153" spans="4:11" x14ac:dyDescent="0.2">
      <c r="D153" s="72">
        <f t="shared" si="10"/>
        <v>1997</v>
      </c>
      <c r="E153" s="73">
        <f>+'IMESI Vol Físico - Series mensu'!A131</f>
        <v>35551</v>
      </c>
      <c r="F153" s="73"/>
      <c r="G153" s="74" t="str">
        <f>IF($E$11="",IF(OR($E$7="seleccione rubro",$E$9="seleccione sub - rubro"),"-",HLOOKUP((CONCATENATE($E$9,$G$17)),'IMESI Vol Físico - Series mensu'!$C$4:$FZ$306,127,0)),"-")</f>
        <v>-</v>
      </c>
      <c r="H153" s="75"/>
      <c r="I153" s="74" t="str">
        <f>IF($E$11="",IF(OR($E$7="seleccione rubro",$E$9="seleccione sub - rubro"),"-",HLOOKUP((CONCATENATE($E$9,$I$17)),'IMESI Vol Físico - Series mensu'!$C$4:$FZ$306,128,0)),"-")</f>
        <v>-</v>
      </c>
      <c r="J153" s="75"/>
      <c r="K153" s="74" t="str">
        <f>IF($E$11="",IF(OR($E$7="seleccione rubro",$E$9="seleccione sub - rubro"),"-",HLOOKUP((CONCATENATE($E$9,$K$17)),'IMESI Vol Físico - Series mensu'!$C$4:$FZ$306,128,0)),"-")</f>
        <v>-</v>
      </c>
    </row>
    <row r="154" spans="4:11" x14ac:dyDescent="0.2">
      <c r="D154" s="72">
        <f t="shared" si="10"/>
        <v>1997</v>
      </c>
      <c r="E154" s="73">
        <f>+'IMESI Vol Físico - Series mensu'!A132</f>
        <v>35582</v>
      </c>
      <c r="F154" s="73"/>
      <c r="G154" s="74" t="str">
        <f>IF($E$11="",IF(OR($E$7="seleccione rubro",$E$9="seleccione sub - rubro"),"-",HLOOKUP((CONCATENATE($E$9,$G$17)),'IMESI Vol Físico - Series mensu'!$C$4:$FZ$306,128,0)),"-")</f>
        <v>-</v>
      </c>
      <c r="H154" s="75"/>
      <c r="I154" s="74" t="str">
        <f>IF($E$11="",IF(OR($E$7="seleccione rubro",$E$9="seleccione sub - rubro"),"-",HLOOKUP((CONCATENATE($E$9,$I$17)),'IMESI Vol Físico - Series mensu'!$C$4:$FZ$306,129,0)),"-")</f>
        <v>-</v>
      </c>
      <c r="J154" s="75"/>
      <c r="K154" s="74" t="str">
        <f>IF($E$11="",IF(OR($E$7="seleccione rubro",$E$9="seleccione sub - rubro"),"-",HLOOKUP((CONCATENATE($E$9,$K$17)),'IMESI Vol Físico - Series mensu'!$C$4:$FZ$306,129,0)),"-")</f>
        <v>-</v>
      </c>
    </row>
    <row r="155" spans="4:11" x14ac:dyDescent="0.2">
      <c r="D155" s="72">
        <f t="shared" si="10"/>
        <v>1997</v>
      </c>
      <c r="E155" s="73">
        <f>+'IMESI Vol Físico - Series mensu'!A133</f>
        <v>35612</v>
      </c>
      <c r="F155" s="73"/>
      <c r="G155" s="74" t="str">
        <f>IF($E$11="",IF(OR($E$7="seleccione rubro",$E$9="seleccione sub - rubro"),"-",HLOOKUP((CONCATENATE($E$9,$G$17)),'IMESI Vol Físico - Series mensu'!$C$4:$FZ$306,129,0)),"-")</f>
        <v>-</v>
      </c>
      <c r="H155" s="75"/>
      <c r="I155" s="74" t="str">
        <f>IF($E$11="",IF(OR($E$7="seleccione rubro",$E$9="seleccione sub - rubro"),"-",HLOOKUP((CONCATENATE($E$9,$I$17)),'IMESI Vol Físico - Series mensu'!$C$4:$FZ$306,130,0)),"-")</f>
        <v>-</v>
      </c>
      <c r="J155" s="75"/>
      <c r="K155" s="74" t="str">
        <f>IF($E$11="",IF(OR($E$7="seleccione rubro",$E$9="seleccione sub - rubro"),"-",HLOOKUP((CONCATENATE($E$9,$K$17)),'IMESI Vol Físico - Series mensu'!$C$4:$FZ$306,130,0)),"-")</f>
        <v>-</v>
      </c>
    </row>
    <row r="156" spans="4:11" x14ac:dyDescent="0.2">
      <c r="D156" s="72">
        <f t="shared" si="10"/>
        <v>1997</v>
      </c>
      <c r="E156" s="73">
        <f>+'IMESI Vol Físico - Series mensu'!A134</f>
        <v>35643</v>
      </c>
      <c r="F156" s="73"/>
      <c r="G156" s="74" t="str">
        <f>IF($E$11="",IF(OR($E$7="seleccione rubro",$E$9="seleccione sub - rubro"),"-",HLOOKUP((CONCATENATE($E$9,$G$17)),'IMESI Vol Físico - Series mensu'!$C$4:$FZ$306,130,0)),"-")</f>
        <v>-</v>
      </c>
      <c r="H156" s="75"/>
      <c r="I156" s="74" t="str">
        <f>IF($E$11="",IF(OR($E$7="seleccione rubro",$E$9="seleccione sub - rubro"),"-",HLOOKUP((CONCATENATE($E$9,$I$17)),'IMESI Vol Físico - Series mensu'!$C$4:$FZ$306,131,0)),"-")</f>
        <v>-</v>
      </c>
      <c r="J156" s="75"/>
      <c r="K156" s="74" t="str">
        <f>IF($E$11="",IF(OR($E$7="seleccione rubro",$E$9="seleccione sub - rubro"),"-",HLOOKUP((CONCATENATE($E$9,$K$17)),'IMESI Vol Físico - Series mensu'!$C$4:$FZ$306,131,0)),"-")</f>
        <v>-</v>
      </c>
    </row>
    <row r="157" spans="4:11" x14ac:dyDescent="0.2">
      <c r="D157" s="72">
        <f t="shared" si="10"/>
        <v>1997</v>
      </c>
      <c r="E157" s="73">
        <f>+'IMESI Vol Físico - Series mensu'!A135</f>
        <v>35674</v>
      </c>
      <c r="F157" s="73"/>
      <c r="G157" s="74" t="str">
        <f>IF($E$11="",IF(OR($E$7="seleccione rubro",$E$9="seleccione sub - rubro"),"-",HLOOKUP((CONCATENATE($E$9,$G$17)),'IMESI Vol Físico - Series mensu'!$C$4:$FZ$306,131,0)),"-")</f>
        <v>-</v>
      </c>
      <c r="H157" s="75"/>
      <c r="I157" s="74" t="str">
        <f>IF($E$11="",IF(OR($E$7="seleccione rubro",$E$9="seleccione sub - rubro"),"-",HLOOKUP((CONCATENATE($E$9,$I$17)),'IMESI Vol Físico - Series mensu'!$C$4:$FZ$306,132,0)),"-")</f>
        <v>-</v>
      </c>
      <c r="J157" s="75"/>
      <c r="K157" s="74" t="str">
        <f>IF($E$11="",IF(OR($E$7="seleccione rubro",$E$9="seleccione sub - rubro"),"-",HLOOKUP((CONCATENATE($E$9,$K$17)),'IMESI Vol Físico - Series mensu'!$C$4:$FZ$306,132,0)),"-")</f>
        <v>-</v>
      </c>
    </row>
    <row r="158" spans="4:11" x14ac:dyDescent="0.2">
      <c r="D158" s="72">
        <f t="shared" si="10"/>
        <v>1997</v>
      </c>
      <c r="E158" s="73">
        <f>+'IMESI Vol Físico - Series mensu'!A136</f>
        <v>35704</v>
      </c>
      <c r="F158" s="73"/>
      <c r="G158" s="74" t="str">
        <f>IF($E$11="",IF(OR($E$7="seleccione rubro",$E$9="seleccione sub - rubro"),"-",HLOOKUP((CONCATENATE($E$9,$G$17)),'IMESI Vol Físico - Series mensu'!$C$4:$FZ$306,132,0)),"-")</f>
        <v>-</v>
      </c>
      <c r="H158" s="75"/>
      <c r="I158" s="74" t="str">
        <f>IF($E$11="",IF(OR($E$7="seleccione rubro",$E$9="seleccione sub - rubro"),"-",HLOOKUP((CONCATENATE($E$9,$I$17)),'IMESI Vol Físico - Series mensu'!$C$4:$FZ$306,133,0)),"-")</f>
        <v>-</v>
      </c>
      <c r="J158" s="75"/>
      <c r="K158" s="74" t="str">
        <f>IF($E$11="",IF(OR($E$7="seleccione rubro",$E$9="seleccione sub - rubro"),"-",HLOOKUP((CONCATENATE($E$9,$K$17)),'IMESI Vol Físico - Series mensu'!$C$4:$FZ$306,133,0)),"-")</f>
        <v>-</v>
      </c>
    </row>
    <row r="159" spans="4:11" x14ac:dyDescent="0.2">
      <c r="D159" s="72">
        <f t="shared" si="10"/>
        <v>1997</v>
      </c>
      <c r="E159" s="73">
        <f>+'IMESI Vol Físico - Series mensu'!A137</f>
        <v>35735</v>
      </c>
      <c r="F159" s="73"/>
      <c r="G159" s="74" t="str">
        <f>IF($E$11="",IF(OR($E$7="seleccione rubro",$E$9="seleccione sub - rubro"),"-",HLOOKUP((CONCATENATE($E$9,$G$17)),'IMESI Vol Físico - Series mensu'!$C$4:$FZ$306,133,0)),"-")</f>
        <v>-</v>
      </c>
      <c r="H159" s="75"/>
      <c r="I159" s="74" t="str">
        <f>IF($E$11="",IF(OR($E$7="seleccione rubro",$E$9="seleccione sub - rubro"),"-",HLOOKUP((CONCATENATE($E$9,$I$17)),'IMESI Vol Físico - Series mensu'!$C$4:$FZ$306,134,0)),"-")</f>
        <v>-</v>
      </c>
      <c r="J159" s="75"/>
      <c r="K159" s="74" t="str">
        <f>IF($E$11="",IF(OR($E$7="seleccione rubro",$E$9="seleccione sub - rubro"),"-",HLOOKUP((CONCATENATE($E$9,$K$17)),'IMESI Vol Físico - Series mensu'!$C$4:$FZ$306,134,0)),"-")</f>
        <v>-</v>
      </c>
    </row>
    <row r="160" spans="4:11" x14ac:dyDescent="0.2">
      <c r="D160" s="72">
        <f t="shared" si="10"/>
        <v>1997</v>
      </c>
      <c r="E160" s="73">
        <f>+'IMESI Vol Físico - Series mensu'!A138</f>
        <v>35765</v>
      </c>
      <c r="F160" s="73"/>
      <c r="G160" s="74" t="str">
        <f>IF($E$11="",IF(OR($E$7="seleccione rubro",$E$9="seleccione sub - rubro"),"-",HLOOKUP((CONCATENATE($E$9,$G$17)),'IMESI Vol Físico - Series mensu'!$C$4:$FZ$306,134,0)),"-")</f>
        <v>-</v>
      </c>
      <c r="H160" s="75"/>
      <c r="I160" s="74" t="str">
        <f>IF($E$11="",IF(OR($E$7="seleccione rubro",$E$9="seleccione sub - rubro"),"-",HLOOKUP((CONCATENATE($E$9,$I$17)),'IMESI Vol Físico - Series mensu'!$C$4:$FZ$306,135,0)),"-")</f>
        <v>-</v>
      </c>
      <c r="J160" s="75"/>
      <c r="K160" s="74" t="str">
        <f>IF($E$11="",IF(OR($E$7="seleccione rubro",$E$9="seleccione sub - rubro"),"-",HLOOKUP((CONCATENATE($E$9,$K$17)),'IMESI Vol Físico - Series mensu'!$C$4:$FZ$306,135,0)),"-")</f>
        <v>-</v>
      </c>
    </row>
    <row r="161" spans="4:11" x14ac:dyDescent="0.2">
      <c r="D161" s="69">
        <f>+D162</f>
        <v>1998</v>
      </c>
      <c r="E161" s="70"/>
      <c r="F161" s="70"/>
      <c r="G161" s="74"/>
      <c r="H161" s="75"/>
      <c r="I161" s="74"/>
      <c r="J161" s="75"/>
      <c r="K161" s="74"/>
    </row>
    <row r="162" spans="4:11" x14ac:dyDescent="0.2">
      <c r="D162" s="72">
        <f>YEAR(E162)</f>
        <v>1998</v>
      </c>
      <c r="E162" s="73">
        <f>+'IMESI Vol Físico - Series mensu'!A139</f>
        <v>35796</v>
      </c>
      <c r="F162" s="73"/>
      <c r="G162" s="74" t="str">
        <f>IF($E$11="",IF(OR($E$7="seleccione rubro",$E$9="seleccione sub - rubro"),"-",HLOOKUP((CONCATENATE($E$9,$G$17)),'IMESI Vol Físico - Series mensu'!$C$4:$FZ$306,135,0)),"-")</f>
        <v>-</v>
      </c>
      <c r="H162" s="75"/>
      <c r="I162" s="74" t="str">
        <f>IF($E$11="",IF(OR($E$7="seleccione rubro",$E$9="seleccione sub - rubro"),"-",HLOOKUP((CONCATENATE($E$9,$I$17)),'IMESI Vol Físico - Series mensu'!$C$4:$FZ$306,136,0)),"-")</f>
        <v>-</v>
      </c>
      <c r="J162" s="75"/>
      <c r="K162" s="74" t="str">
        <f>IF($E$11="",IF(OR($E$7="seleccione rubro",$E$9="seleccione sub - rubro"),"-",HLOOKUP((CONCATENATE($E$9,$K$17)),'IMESI Vol Físico - Series mensu'!$C$4:$FZ$306,136,0)),"-")</f>
        <v>-</v>
      </c>
    </row>
    <row r="163" spans="4:11" x14ac:dyDescent="0.2">
      <c r="D163" s="72">
        <f t="shared" ref="D163:D173" si="11">YEAR(E163)</f>
        <v>1998</v>
      </c>
      <c r="E163" s="73">
        <f>+'IMESI Vol Físico - Series mensu'!A140</f>
        <v>35827</v>
      </c>
      <c r="F163" s="73"/>
      <c r="G163" s="74" t="str">
        <f>IF($E$11="",IF(OR($E$7="seleccione rubro",$E$9="seleccione sub - rubro"),"-",HLOOKUP((CONCATENATE($E$9,$G$17)),'IMESI Vol Físico - Series mensu'!$C$4:$FZ$306,136,0)),"-")</f>
        <v>-</v>
      </c>
      <c r="H163" s="75"/>
      <c r="I163" s="74" t="str">
        <f>IF($E$11="",IF(OR($E$7="seleccione rubro",$E$9="seleccione sub - rubro"),"-",HLOOKUP((CONCATENATE($E$9,$I$17)),'IMESI Vol Físico - Series mensu'!$C$4:$FZ$306,137,0)),"-")</f>
        <v>-</v>
      </c>
      <c r="J163" s="75"/>
      <c r="K163" s="74" t="str">
        <f>IF($E$11="",IF(OR($E$7="seleccione rubro",$E$9="seleccione sub - rubro"),"-",HLOOKUP((CONCATENATE($E$9,$K$17)),'IMESI Vol Físico - Series mensu'!$C$4:$FZ$306,137,0)),"-")</f>
        <v>-</v>
      </c>
    </row>
    <row r="164" spans="4:11" x14ac:dyDescent="0.2">
      <c r="D164" s="72">
        <f t="shared" si="11"/>
        <v>1998</v>
      </c>
      <c r="E164" s="73">
        <f>+'IMESI Vol Físico - Series mensu'!A141</f>
        <v>35855</v>
      </c>
      <c r="F164" s="73"/>
      <c r="G164" s="74" t="str">
        <f>IF($E$11="",IF(OR($E$7="seleccione rubro",$E$9="seleccione sub - rubro"),"-",HLOOKUP((CONCATENATE($E$9,$G$17)),'IMESI Vol Físico - Series mensu'!$C$4:$FZ$306,137,0)),"-")</f>
        <v>-</v>
      </c>
      <c r="H164" s="75"/>
      <c r="I164" s="74" t="str">
        <f>IF($E$11="",IF(OR($E$7="seleccione rubro",$E$9="seleccione sub - rubro"),"-",HLOOKUP((CONCATENATE($E$9,$I$17)),'IMESI Vol Físico - Series mensu'!$C$4:$FZ$306,138,0)),"-")</f>
        <v>-</v>
      </c>
      <c r="J164" s="75"/>
      <c r="K164" s="74" t="str">
        <f>IF($E$11="",IF(OR($E$7="seleccione rubro",$E$9="seleccione sub - rubro"),"-",HLOOKUP((CONCATENATE($E$9,$K$17)),'IMESI Vol Físico - Series mensu'!$C$4:$FZ$306,138,0)),"-")</f>
        <v>-</v>
      </c>
    </row>
    <row r="165" spans="4:11" x14ac:dyDescent="0.2">
      <c r="D165" s="72">
        <f t="shared" si="11"/>
        <v>1998</v>
      </c>
      <c r="E165" s="73">
        <f>+'IMESI Vol Físico - Series mensu'!A142</f>
        <v>35886</v>
      </c>
      <c r="F165" s="73"/>
      <c r="G165" s="74" t="str">
        <f>IF($E$11="",IF(OR($E$7="seleccione rubro",$E$9="seleccione sub - rubro"),"-",HLOOKUP((CONCATENATE($E$9,$G$17)),'IMESI Vol Físico - Series mensu'!$C$4:$FZ$306,138,0)),"-")</f>
        <v>-</v>
      </c>
      <c r="H165" s="75"/>
      <c r="I165" s="74" t="str">
        <f>IF($E$11="",IF(OR($E$7="seleccione rubro",$E$9="seleccione sub - rubro"),"-",HLOOKUP((CONCATENATE($E$9,$I$17)),'IMESI Vol Físico - Series mensu'!$C$4:$FZ$306,139,0)),"-")</f>
        <v>-</v>
      </c>
      <c r="J165" s="75"/>
      <c r="K165" s="74" t="str">
        <f>IF($E$11="",IF(OR($E$7="seleccione rubro",$E$9="seleccione sub - rubro"),"-",HLOOKUP((CONCATENATE($E$9,$K$17)),'IMESI Vol Físico - Series mensu'!$C$4:$FZ$306,139,0)),"-")</f>
        <v>-</v>
      </c>
    </row>
    <row r="166" spans="4:11" x14ac:dyDescent="0.2">
      <c r="D166" s="72">
        <f t="shared" si="11"/>
        <v>1998</v>
      </c>
      <c r="E166" s="73">
        <f>+'IMESI Vol Físico - Series mensu'!A143</f>
        <v>35916</v>
      </c>
      <c r="F166" s="73"/>
      <c r="G166" s="74" t="str">
        <f>IF($E$11="",IF(OR($E$7="seleccione rubro",$E$9="seleccione sub - rubro"),"-",HLOOKUP((CONCATENATE($E$9,$G$17)),'IMESI Vol Físico - Series mensu'!$C$4:$FZ$306,139,0)),"-")</f>
        <v>-</v>
      </c>
      <c r="H166" s="75"/>
      <c r="I166" s="74" t="str">
        <f>IF($E$11="",IF(OR($E$7="seleccione rubro",$E$9="seleccione sub - rubro"),"-",HLOOKUP((CONCATENATE($E$9,$I$17)),'IMESI Vol Físico - Series mensu'!$C$4:$FZ$306,140,0)),"-")</f>
        <v>-</v>
      </c>
      <c r="J166" s="75"/>
      <c r="K166" s="74" t="str">
        <f>IF($E$11="",IF(OR($E$7="seleccione rubro",$E$9="seleccione sub - rubro"),"-",HLOOKUP((CONCATENATE($E$9,$K$17)),'IMESI Vol Físico - Series mensu'!$C$4:$FZ$306,140,0)),"-")</f>
        <v>-</v>
      </c>
    </row>
    <row r="167" spans="4:11" x14ac:dyDescent="0.2">
      <c r="D167" s="72">
        <f t="shared" si="11"/>
        <v>1998</v>
      </c>
      <c r="E167" s="73">
        <f>+'IMESI Vol Físico - Series mensu'!A144</f>
        <v>35947</v>
      </c>
      <c r="F167" s="73"/>
      <c r="G167" s="74" t="str">
        <f>IF($E$11="",IF(OR($E$7="seleccione rubro",$E$9="seleccione sub - rubro"),"-",HLOOKUP((CONCATENATE($E$9,$G$17)),'IMESI Vol Físico - Series mensu'!$C$4:$FZ$306,140,0)),"-")</f>
        <v>-</v>
      </c>
      <c r="H167" s="75"/>
      <c r="I167" s="74" t="str">
        <f>IF($E$11="",IF(OR($E$7="seleccione rubro",$E$9="seleccione sub - rubro"),"-",HLOOKUP((CONCATENATE($E$9,$I$17)),'IMESI Vol Físico - Series mensu'!$C$4:$FZ$306,141,0)),"-")</f>
        <v>-</v>
      </c>
      <c r="J167" s="75"/>
      <c r="K167" s="74" t="str">
        <f>IF($E$11="",IF(OR($E$7="seleccione rubro",$E$9="seleccione sub - rubro"),"-",HLOOKUP((CONCATENATE($E$9,$K$17)),'IMESI Vol Físico - Series mensu'!$C$4:$FZ$306,141,0)),"-")</f>
        <v>-</v>
      </c>
    </row>
    <row r="168" spans="4:11" x14ac:dyDescent="0.2">
      <c r="D168" s="72">
        <f t="shared" si="11"/>
        <v>1998</v>
      </c>
      <c r="E168" s="73">
        <f>+'IMESI Vol Físico - Series mensu'!A145</f>
        <v>35977</v>
      </c>
      <c r="F168" s="73"/>
      <c r="G168" s="74" t="str">
        <f>IF($E$11="",IF(OR($E$7="seleccione rubro",$E$9="seleccione sub - rubro"),"-",HLOOKUP((CONCATENATE($E$9,$G$17)),'IMESI Vol Físico - Series mensu'!$C$4:$FZ$306,141,0)),"-")</f>
        <v>-</v>
      </c>
      <c r="H168" s="75"/>
      <c r="I168" s="74" t="str">
        <f>IF($E$11="",IF(OR($E$7="seleccione rubro",$E$9="seleccione sub - rubro"),"-",HLOOKUP((CONCATENATE($E$9,$I$17)),'IMESI Vol Físico - Series mensu'!$C$4:$FZ$306,142,0)),"-")</f>
        <v>-</v>
      </c>
      <c r="J168" s="75"/>
      <c r="K168" s="74" t="str">
        <f>IF($E$11="",IF(OR($E$7="seleccione rubro",$E$9="seleccione sub - rubro"),"-",HLOOKUP((CONCATENATE($E$9,$K$17)),'IMESI Vol Físico - Series mensu'!$C$4:$FZ$306,142,0)),"-")</f>
        <v>-</v>
      </c>
    </row>
    <row r="169" spans="4:11" x14ac:dyDescent="0.2">
      <c r="D169" s="72">
        <f t="shared" si="11"/>
        <v>1998</v>
      </c>
      <c r="E169" s="73">
        <f>+'IMESI Vol Físico - Series mensu'!A146</f>
        <v>36008</v>
      </c>
      <c r="F169" s="73"/>
      <c r="G169" s="74" t="str">
        <f>IF($E$11="",IF(OR($E$7="seleccione rubro",$E$9="seleccione sub - rubro"),"-",HLOOKUP((CONCATENATE($E$9,$G$17)),'IMESI Vol Físico - Series mensu'!$C$4:$FZ$306,142,0)),"-")</f>
        <v>-</v>
      </c>
      <c r="H169" s="75"/>
      <c r="I169" s="74" t="str">
        <f>IF($E$11="",IF(OR($E$7="seleccione rubro",$E$9="seleccione sub - rubro"),"-",HLOOKUP((CONCATENATE($E$9,$I$17)),'IMESI Vol Físico - Series mensu'!$C$4:$FZ$306,143,0)),"-")</f>
        <v>-</v>
      </c>
      <c r="J169" s="75"/>
      <c r="K169" s="74" t="str">
        <f>IF($E$11="",IF(OR($E$7="seleccione rubro",$E$9="seleccione sub - rubro"),"-",HLOOKUP((CONCATENATE($E$9,$K$17)),'IMESI Vol Físico - Series mensu'!$C$4:$FZ$306,143,0)),"-")</f>
        <v>-</v>
      </c>
    </row>
    <row r="170" spans="4:11" x14ac:dyDescent="0.2">
      <c r="D170" s="72">
        <f t="shared" si="11"/>
        <v>1998</v>
      </c>
      <c r="E170" s="73">
        <f>+'IMESI Vol Físico - Series mensu'!A147</f>
        <v>36039</v>
      </c>
      <c r="F170" s="73"/>
      <c r="G170" s="74" t="str">
        <f>IF($E$11="",IF(OR($E$7="seleccione rubro",$E$9="seleccione sub - rubro"),"-",HLOOKUP((CONCATENATE($E$9,$G$17)),'IMESI Vol Físico - Series mensu'!$C$4:$FZ$306,143,0)),"-")</f>
        <v>-</v>
      </c>
      <c r="H170" s="75"/>
      <c r="I170" s="74" t="str">
        <f>IF($E$11="",IF(OR($E$7="seleccione rubro",$E$9="seleccione sub - rubro"),"-",HLOOKUP((CONCATENATE($E$9,$I$17)),'IMESI Vol Físico - Series mensu'!$C$4:$FZ$306,144,0)),"-")</f>
        <v>-</v>
      </c>
      <c r="J170" s="75"/>
      <c r="K170" s="74" t="str">
        <f>IF($E$11="",IF(OR($E$7="seleccione rubro",$E$9="seleccione sub - rubro"),"-",HLOOKUP((CONCATENATE($E$9,$K$17)),'IMESI Vol Físico - Series mensu'!$C$4:$FZ$306,144,0)),"-")</f>
        <v>-</v>
      </c>
    </row>
    <row r="171" spans="4:11" x14ac:dyDescent="0.2">
      <c r="D171" s="72">
        <f t="shared" si="11"/>
        <v>1998</v>
      </c>
      <c r="E171" s="73">
        <f>+'IMESI Vol Físico - Series mensu'!A148</f>
        <v>36069</v>
      </c>
      <c r="F171" s="73"/>
      <c r="G171" s="74" t="str">
        <f>IF($E$11="",IF(OR($E$7="seleccione rubro",$E$9="seleccione sub - rubro"),"-",HLOOKUP((CONCATENATE($E$9,$G$17)),'IMESI Vol Físico - Series mensu'!$C$4:$FZ$306,144,0)),"-")</f>
        <v>-</v>
      </c>
      <c r="H171" s="75"/>
      <c r="I171" s="74" t="str">
        <f>IF($E$11="",IF(OR($E$7="seleccione rubro",$E$9="seleccione sub - rubro"),"-",HLOOKUP((CONCATENATE($E$9,$I$17)),'IMESI Vol Físico - Series mensu'!$C$4:$FZ$306,145,0)),"-")</f>
        <v>-</v>
      </c>
      <c r="J171" s="75"/>
      <c r="K171" s="74" t="str">
        <f>IF($E$11="",IF(OR($E$7="seleccione rubro",$E$9="seleccione sub - rubro"),"-",HLOOKUP((CONCATENATE($E$9,$K$17)),'IMESI Vol Físico - Series mensu'!$C$4:$FZ$306,145,0)),"-")</f>
        <v>-</v>
      </c>
    </row>
    <row r="172" spans="4:11" x14ac:dyDescent="0.2">
      <c r="D172" s="72">
        <f t="shared" si="11"/>
        <v>1998</v>
      </c>
      <c r="E172" s="73">
        <f>+'IMESI Vol Físico - Series mensu'!A149</f>
        <v>36100</v>
      </c>
      <c r="F172" s="73"/>
      <c r="G172" s="74" t="str">
        <f>IF($E$11="",IF(OR($E$7="seleccione rubro",$E$9="seleccione sub - rubro"),"-",HLOOKUP((CONCATENATE($E$9,$G$17)),'IMESI Vol Físico - Series mensu'!$C$4:$FZ$306,145,0)),"-")</f>
        <v>-</v>
      </c>
      <c r="H172" s="75"/>
      <c r="I172" s="74" t="str">
        <f>IF($E$11="",IF(OR($E$7="seleccione rubro",$E$9="seleccione sub - rubro"),"-",HLOOKUP((CONCATENATE($E$9,$I$17)),'IMESI Vol Físico - Series mensu'!$C$4:$FZ$306,146,0)),"-")</f>
        <v>-</v>
      </c>
      <c r="J172" s="75"/>
      <c r="K172" s="74" t="str">
        <f>IF($E$11="",IF(OR($E$7="seleccione rubro",$E$9="seleccione sub - rubro"),"-",HLOOKUP((CONCATENATE($E$9,$K$17)),'IMESI Vol Físico - Series mensu'!$C$4:$FZ$306,146,0)),"-")</f>
        <v>-</v>
      </c>
    </row>
    <row r="173" spans="4:11" x14ac:dyDescent="0.2">
      <c r="D173" s="72">
        <f t="shared" si="11"/>
        <v>1998</v>
      </c>
      <c r="E173" s="73">
        <f>+'IMESI Vol Físico - Series mensu'!A150</f>
        <v>36130</v>
      </c>
      <c r="F173" s="73"/>
      <c r="G173" s="74" t="str">
        <f>IF($E$11="",IF(OR($E$7="seleccione rubro",$E$9="seleccione sub - rubro"),"-",HLOOKUP((CONCATENATE($E$9,$G$17)),'IMESI Vol Físico - Series mensu'!$C$4:$FZ$306,146,0)),"-")</f>
        <v>-</v>
      </c>
      <c r="H173" s="75"/>
      <c r="I173" s="74" t="str">
        <f>IF($E$11="",IF(OR($E$7="seleccione rubro",$E$9="seleccione sub - rubro"),"-",HLOOKUP((CONCATENATE($E$9,$I$17)),'IMESI Vol Físico - Series mensu'!$C$4:$FZ$306,147,0)),"-")</f>
        <v>-</v>
      </c>
      <c r="J173" s="75"/>
      <c r="K173" s="74" t="str">
        <f>IF($E$11="",IF(OR($E$7="seleccione rubro",$E$9="seleccione sub - rubro"),"-",HLOOKUP((CONCATENATE($E$9,$K$17)),'IMESI Vol Físico - Series mensu'!$C$4:$FZ$306,147,0)),"-")</f>
        <v>-</v>
      </c>
    </row>
    <row r="174" spans="4:11" x14ac:dyDescent="0.2">
      <c r="D174" s="69">
        <f>+D175</f>
        <v>1999</v>
      </c>
      <c r="E174" s="70"/>
      <c r="F174" s="70"/>
      <c r="G174" s="74"/>
      <c r="H174" s="75"/>
      <c r="I174" s="74"/>
      <c r="J174" s="75"/>
      <c r="K174" s="74"/>
    </row>
    <row r="175" spans="4:11" x14ac:dyDescent="0.2">
      <c r="D175" s="72">
        <f>YEAR(E175)</f>
        <v>1999</v>
      </c>
      <c r="E175" s="73">
        <f>+'IMESI Vol Físico - Series mensu'!A151</f>
        <v>36161</v>
      </c>
      <c r="F175" s="73"/>
      <c r="G175" s="74" t="str">
        <f>IF($E$11="",IF(OR($E$7="seleccione rubro",$E$9="seleccione sub - rubro"),"-",HLOOKUP((CONCATENATE($E$9,$G$17)),'IMESI Vol Físico - Series mensu'!$C$4:$FZ$306,147,0)),"-")</f>
        <v>-</v>
      </c>
      <c r="H175" s="75"/>
      <c r="I175" s="74" t="str">
        <f>IF($E$11="",IF(OR($E$7="seleccione rubro",$E$9="seleccione sub - rubro"),"-",HLOOKUP((CONCATENATE($E$9,$I$17)),'IMESI Vol Físico - Series mensu'!$C$4:$FZ$306,148,0)),"-")</f>
        <v>-</v>
      </c>
      <c r="J175" s="75"/>
      <c r="K175" s="74" t="str">
        <f>IF($E$11="",IF(OR($E$7="seleccione rubro",$E$9="seleccione sub - rubro"),"-",HLOOKUP((CONCATENATE($E$9,$K$17)),'IMESI Vol Físico - Series mensu'!$C$4:$FZ$306,148,0)),"-")</f>
        <v>-</v>
      </c>
    </row>
    <row r="176" spans="4:11" x14ac:dyDescent="0.2">
      <c r="D176" s="72">
        <f t="shared" ref="D176:D186" si="12">YEAR(E176)</f>
        <v>1999</v>
      </c>
      <c r="E176" s="73">
        <f>+'IMESI Vol Físico - Series mensu'!A152</f>
        <v>36192</v>
      </c>
      <c r="F176" s="73"/>
      <c r="G176" s="74" t="str">
        <f>IF($E$11="",IF(OR($E$7="seleccione rubro",$E$9="seleccione sub - rubro"),"-",HLOOKUP((CONCATENATE($E$9,$G$17)),'IMESI Vol Físico - Series mensu'!$C$4:$FZ$306,148,0)),"-")</f>
        <v>-</v>
      </c>
      <c r="H176" s="75"/>
      <c r="I176" s="74" t="str">
        <f>IF($E$11="",IF(OR($E$7="seleccione rubro",$E$9="seleccione sub - rubro"),"-",HLOOKUP((CONCATENATE($E$9,$I$17)),'IMESI Vol Físico - Series mensu'!$C$4:$FZ$306,149,0)),"-")</f>
        <v>-</v>
      </c>
      <c r="J176" s="75"/>
      <c r="K176" s="74" t="str">
        <f>IF($E$11="",IF(OR($E$7="seleccione rubro",$E$9="seleccione sub - rubro"),"-",HLOOKUP((CONCATENATE($E$9,$K$17)),'IMESI Vol Físico - Series mensu'!$C$4:$FZ$306,149,0)),"-")</f>
        <v>-</v>
      </c>
    </row>
    <row r="177" spans="4:11" x14ac:dyDescent="0.2">
      <c r="D177" s="72">
        <f t="shared" si="12"/>
        <v>1999</v>
      </c>
      <c r="E177" s="73">
        <f>+'IMESI Vol Físico - Series mensu'!A153</f>
        <v>36220</v>
      </c>
      <c r="F177" s="73"/>
      <c r="G177" s="74" t="str">
        <f>IF($E$11="",IF(OR($E$7="seleccione rubro",$E$9="seleccione sub - rubro"),"-",HLOOKUP((CONCATENATE($E$9,$G$17)),'IMESI Vol Físico - Series mensu'!$C$4:$FZ$306,149,0)),"-")</f>
        <v>-</v>
      </c>
      <c r="H177" s="75"/>
      <c r="I177" s="74" t="str">
        <f>IF($E$11="",IF(OR($E$7="seleccione rubro",$E$9="seleccione sub - rubro"),"-",HLOOKUP((CONCATENATE($E$9,$I$17)),'IMESI Vol Físico - Series mensu'!$C$4:$FZ$306,150,0)),"-")</f>
        <v>-</v>
      </c>
      <c r="J177" s="75"/>
      <c r="K177" s="74" t="str">
        <f>IF($E$11="",IF(OR($E$7="seleccione rubro",$E$9="seleccione sub - rubro"),"-",HLOOKUP((CONCATENATE($E$9,$K$17)),'IMESI Vol Físico - Series mensu'!$C$4:$FZ$306,150,0)),"-")</f>
        <v>-</v>
      </c>
    </row>
    <row r="178" spans="4:11" x14ac:dyDescent="0.2">
      <c r="D178" s="72">
        <f t="shared" si="12"/>
        <v>1999</v>
      </c>
      <c r="E178" s="73">
        <f>+'IMESI Vol Físico - Series mensu'!A154</f>
        <v>36251</v>
      </c>
      <c r="F178" s="73"/>
      <c r="G178" s="74" t="str">
        <f>IF($E$11="",IF(OR($E$7="seleccione rubro",$E$9="seleccione sub - rubro"),"-",HLOOKUP((CONCATENATE($E$9,$G$17)),'IMESI Vol Físico - Series mensu'!$C$4:$FZ$306,150,0)),"-")</f>
        <v>-</v>
      </c>
      <c r="H178" s="75"/>
      <c r="I178" s="74" t="str">
        <f>IF($E$11="",IF(OR($E$7="seleccione rubro",$E$9="seleccione sub - rubro"),"-",HLOOKUP((CONCATENATE($E$9,$I$17)),'IMESI Vol Físico - Series mensu'!$C$4:$FZ$306,151,0)),"-")</f>
        <v>-</v>
      </c>
      <c r="J178" s="75"/>
      <c r="K178" s="74" t="str">
        <f>IF($E$11="",IF(OR($E$7="seleccione rubro",$E$9="seleccione sub - rubro"),"-",HLOOKUP((CONCATENATE($E$9,$K$17)),'IMESI Vol Físico - Series mensu'!$C$4:$FZ$306,151,0)),"-")</f>
        <v>-</v>
      </c>
    </row>
    <row r="179" spans="4:11" x14ac:dyDescent="0.2">
      <c r="D179" s="72">
        <f t="shared" si="12"/>
        <v>1999</v>
      </c>
      <c r="E179" s="73">
        <f>+'IMESI Vol Físico - Series mensu'!A155</f>
        <v>36281</v>
      </c>
      <c r="F179" s="73"/>
      <c r="G179" s="74" t="str">
        <f>IF($E$11="",IF(OR($E$7="seleccione rubro",$E$9="seleccione sub - rubro"),"-",HLOOKUP((CONCATENATE($E$9,$G$17)),'IMESI Vol Físico - Series mensu'!$C$4:$FZ$306,151,0)),"-")</f>
        <v>-</v>
      </c>
      <c r="H179" s="75"/>
      <c r="I179" s="74" t="str">
        <f>IF($E$11="",IF(OR($E$7="seleccione rubro",$E$9="seleccione sub - rubro"),"-",HLOOKUP((CONCATENATE($E$9,$I$17)),'IMESI Vol Físico - Series mensu'!$C$4:$FZ$306,152,0)),"-")</f>
        <v>-</v>
      </c>
      <c r="J179" s="75"/>
      <c r="K179" s="74" t="str">
        <f>IF($E$11="",IF(OR($E$7="seleccione rubro",$E$9="seleccione sub - rubro"),"-",HLOOKUP((CONCATENATE($E$9,$K$17)),'IMESI Vol Físico - Series mensu'!$C$4:$FZ$306,152,0)),"-")</f>
        <v>-</v>
      </c>
    </row>
    <row r="180" spans="4:11" x14ac:dyDescent="0.2">
      <c r="D180" s="72">
        <f t="shared" si="12"/>
        <v>1999</v>
      </c>
      <c r="E180" s="73">
        <f>+'IMESI Vol Físico - Series mensu'!A156</f>
        <v>36312</v>
      </c>
      <c r="F180" s="73"/>
      <c r="G180" s="74" t="str">
        <f>IF($E$11="",IF(OR($E$7="seleccione rubro",$E$9="seleccione sub - rubro"),"-",HLOOKUP((CONCATENATE($E$9,$G$17)),'IMESI Vol Físico - Series mensu'!$C$4:$FZ$306,152,0)),"-")</f>
        <v>-</v>
      </c>
      <c r="H180" s="75"/>
      <c r="I180" s="74" t="str">
        <f>IF($E$11="",IF(OR($E$7="seleccione rubro",$E$9="seleccione sub - rubro"),"-",HLOOKUP((CONCATENATE($E$9,$I$17)),'IMESI Vol Físico - Series mensu'!$C$4:$FZ$306,153,0)),"-")</f>
        <v>-</v>
      </c>
      <c r="J180" s="75"/>
      <c r="K180" s="74" t="str">
        <f>IF($E$11="",IF(OR($E$7="seleccione rubro",$E$9="seleccione sub - rubro"),"-",HLOOKUP((CONCATENATE($E$9,$K$17)),'IMESI Vol Físico - Series mensu'!$C$4:$FZ$306,153,0)),"-")</f>
        <v>-</v>
      </c>
    </row>
    <row r="181" spans="4:11" x14ac:dyDescent="0.2">
      <c r="D181" s="72">
        <f t="shared" si="12"/>
        <v>1999</v>
      </c>
      <c r="E181" s="73">
        <f>+'IMESI Vol Físico - Series mensu'!A157</f>
        <v>36342</v>
      </c>
      <c r="F181" s="73"/>
      <c r="G181" s="74" t="str">
        <f>IF($E$11="",IF(OR($E$7="seleccione rubro",$E$9="seleccione sub - rubro"),"-",HLOOKUP((CONCATENATE($E$9,$G$17)),'IMESI Vol Físico - Series mensu'!$C$4:$FZ$306,153,0)),"-")</f>
        <v>-</v>
      </c>
      <c r="H181" s="75"/>
      <c r="I181" s="74" t="str">
        <f>IF($E$11="",IF(OR($E$7="seleccione rubro",$E$9="seleccione sub - rubro"),"-",HLOOKUP((CONCATENATE($E$9,$I$17)),'IMESI Vol Físico - Series mensu'!$C$4:$FZ$306,154,0)),"-")</f>
        <v>-</v>
      </c>
      <c r="J181" s="75"/>
      <c r="K181" s="74" t="str">
        <f>IF($E$11="",IF(OR($E$7="seleccione rubro",$E$9="seleccione sub - rubro"),"-",HLOOKUP((CONCATENATE($E$9,$K$17)),'IMESI Vol Físico - Series mensu'!$C$4:$FZ$306,154,0)),"-")</f>
        <v>-</v>
      </c>
    </row>
    <row r="182" spans="4:11" x14ac:dyDescent="0.2">
      <c r="D182" s="72">
        <f t="shared" si="12"/>
        <v>1999</v>
      </c>
      <c r="E182" s="73">
        <f>+'IMESI Vol Físico - Series mensu'!A158</f>
        <v>36373</v>
      </c>
      <c r="F182" s="73"/>
      <c r="G182" s="74" t="str">
        <f>IF($E$11="",IF(OR($E$7="seleccione rubro",$E$9="seleccione sub - rubro"),"-",HLOOKUP((CONCATENATE($E$9,$G$17)),'IMESI Vol Físico - Series mensu'!$C$4:$FZ$306,154,0)),"-")</f>
        <v>-</v>
      </c>
      <c r="H182" s="75"/>
      <c r="I182" s="74" t="str">
        <f>IF($E$11="",IF(OR($E$7="seleccione rubro",$E$9="seleccione sub - rubro"),"-",HLOOKUP((CONCATENATE($E$9,$I$17)),'IMESI Vol Físico - Series mensu'!$C$4:$FZ$306,155,0)),"-")</f>
        <v>-</v>
      </c>
      <c r="J182" s="75"/>
      <c r="K182" s="74" t="str">
        <f>IF($E$11="",IF(OR($E$7="seleccione rubro",$E$9="seleccione sub - rubro"),"-",HLOOKUP((CONCATENATE($E$9,$K$17)),'IMESI Vol Físico - Series mensu'!$C$4:$FZ$306,155,0)),"-")</f>
        <v>-</v>
      </c>
    </row>
    <row r="183" spans="4:11" x14ac:dyDescent="0.2">
      <c r="D183" s="72">
        <f t="shared" si="12"/>
        <v>1999</v>
      </c>
      <c r="E183" s="73">
        <f>+'IMESI Vol Físico - Series mensu'!A159</f>
        <v>36404</v>
      </c>
      <c r="F183" s="73"/>
      <c r="G183" s="74" t="str">
        <f>IF($E$11="",IF(OR($E$7="seleccione rubro",$E$9="seleccione sub - rubro"),"-",HLOOKUP((CONCATENATE($E$9,$G$17)),'IMESI Vol Físico - Series mensu'!$C$4:$FZ$306,155,0)),"-")</f>
        <v>-</v>
      </c>
      <c r="H183" s="75"/>
      <c r="I183" s="74" t="str">
        <f>IF($E$11="",IF(OR($E$7="seleccione rubro",$E$9="seleccione sub - rubro"),"-",HLOOKUP((CONCATENATE($E$9,$I$17)),'IMESI Vol Físico - Series mensu'!$C$4:$FZ$306,156,0)),"-")</f>
        <v>-</v>
      </c>
      <c r="J183" s="75"/>
      <c r="K183" s="74" t="str">
        <f>IF($E$11="",IF(OR($E$7="seleccione rubro",$E$9="seleccione sub - rubro"),"-",HLOOKUP((CONCATENATE($E$9,$K$17)),'IMESI Vol Físico - Series mensu'!$C$4:$FZ$306,156,0)),"-")</f>
        <v>-</v>
      </c>
    </row>
    <row r="184" spans="4:11" x14ac:dyDescent="0.2">
      <c r="D184" s="72">
        <f t="shared" si="12"/>
        <v>1999</v>
      </c>
      <c r="E184" s="73">
        <f>+'IMESI Vol Físico - Series mensu'!A160</f>
        <v>36434</v>
      </c>
      <c r="F184" s="73"/>
      <c r="G184" s="74" t="str">
        <f>IF($E$11="",IF(OR($E$7="seleccione rubro",$E$9="seleccione sub - rubro"),"-",HLOOKUP((CONCATENATE($E$9,$G$17)),'IMESI Vol Físico - Series mensu'!$C$4:$FZ$306,156,0)),"-")</f>
        <v>-</v>
      </c>
      <c r="H184" s="75"/>
      <c r="I184" s="74" t="str">
        <f>IF($E$11="",IF(OR($E$7="seleccione rubro",$E$9="seleccione sub - rubro"),"-",HLOOKUP((CONCATENATE($E$9,$I$17)),'IMESI Vol Físico - Series mensu'!$C$4:$FZ$306,157,0)),"-")</f>
        <v>-</v>
      </c>
      <c r="J184" s="75"/>
      <c r="K184" s="74" t="str">
        <f>IF($E$11="",IF(OR($E$7="seleccione rubro",$E$9="seleccione sub - rubro"),"-",HLOOKUP((CONCATENATE($E$9,$K$17)),'IMESI Vol Físico - Series mensu'!$C$4:$FZ$306,157,0)),"-")</f>
        <v>-</v>
      </c>
    </row>
    <row r="185" spans="4:11" x14ac:dyDescent="0.2">
      <c r="D185" s="72">
        <f t="shared" si="12"/>
        <v>1999</v>
      </c>
      <c r="E185" s="73">
        <f>+'IMESI Vol Físico - Series mensu'!A161</f>
        <v>36465</v>
      </c>
      <c r="F185" s="73"/>
      <c r="G185" s="74" t="str">
        <f>IF($E$11="",IF(OR($E$7="seleccione rubro",$E$9="seleccione sub - rubro"),"-",HLOOKUP((CONCATENATE($E$9,$G$17)),'IMESI Vol Físico - Series mensu'!$C$4:$FZ$306,157,0)),"-")</f>
        <v>-</v>
      </c>
      <c r="H185" s="75"/>
      <c r="I185" s="74" t="str">
        <f>IF($E$11="",IF(OR($E$7="seleccione rubro",$E$9="seleccione sub - rubro"),"-",HLOOKUP((CONCATENATE($E$9,$I$17)),'IMESI Vol Físico - Series mensu'!$C$4:$FZ$306,158,0)),"-")</f>
        <v>-</v>
      </c>
      <c r="J185" s="75"/>
      <c r="K185" s="74" t="str">
        <f>IF($E$11="",IF(OR($E$7="seleccione rubro",$E$9="seleccione sub - rubro"),"-",HLOOKUP((CONCATENATE($E$9,$K$17)),'IMESI Vol Físico - Series mensu'!$C$4:$FZ$306,158,0)),"-")</f>
        <v>-</v>
      </c>
    </row>
    <row r="186" spans="4:11" x14ac:dyDescent="0.2">
      <c r="D186" s="72">
        <f t="shared" si="12"/>
        <v>1999</v>
      </c>
      <c r="E186" s="73">
        <f>+'IMESI Vol Físico - Series mensu'!A162</f>
        <v>36495</v>
      </c>
      <c r="F186" s="73"/>
      <c r="G186" s="74" t="str">
        <f>IF($E$11="",IF(OR($E$7="seleccione rubro",$E$9="seleccione sub - rubro"),"-",HLOOKUP((CONCATENATE($E$9,$G$17)),'IMESI Vol Físico - Series mensu'!$C$4:$FZ$306,158,0)),"-")</f>
        <v>-</v>
      </c>
      <c r="H186" s="75"/>
      <c r="I186" s="74" t="str">
        <f>IF($E$11="",IF(OR($E$7="seleccione rubro",$E$9="seleccione sub - rubro"),"-",HLOOKUP((CONCATENATE($E$9,$I$17)),'IMESI Vol Físico - Series mensu'!$C$4:$FZ$306,159,0)),"-")</f>
        <v>-</v>
      </c>
      <c r="J186" s="75"/>
      <c r="K186" s="74" t="str">
        <f>IF($E$11="",IF(OR($E$7="seleccione rubro",$E$9="seleccione sub - rubro"),"-",HLOOKUP((CONCATENATE($E$9,$K$17)),'IMESI Vol Físico - Series mensu'!$C$4:$FZ$306,159,0)),"-")</f>
        <v>-</v>
      </c>
    </row>
    <row r="187" spans="4:11" x14ac:dyDescent="0.2">
      <c r="D187" s="69">
        <f>+D188</f>
        <v>2000</v>
      </c>
      <c r="E187" s="70"/>
      <c r="F187" s="70"/>
      <c r="G187" s="74"/>
      <c r="H187" s="75"/>
      <c r="I187" s="74"/>
      <c r="J187" s="75"/>
      <c r="K187" s="74"/>
    </row>
    <row r="188" spans="4:11" x14ac:dyDescent="0.2">
      <c r="D188" s="72">
        <f>YEAR(E188)</f>
        <v>2000</v>
      </c>
      <c r="E188" s="73">
        <f>+'IMESI Vol Físico - Series mensu'!A163</f>
        <v>36526</v>
      </c>
      <c r="F188" s="73"/>
      <c r="G188" s="74" t="str">
        <f>IF($E$11="",IF(OR($E$7="seleccione rubro",$E$9="seleccione sub - rubro"),"-",HLOOKUP((CONCATENATE($E$9,$G$17)),'IMESI Vol Físico - Series mensu'!$C$4:$FZ$306,159,0)),"-")</f>
        <v>-</v>
      </c>
      <c r="H188" s="75"/>
      <c r="I188" s="74" t="str">
        <f>IF($E$11="",IF(OR($E$7="seleccione rubro",$E$9="seleccione sub - rubro"),"-",HLOOKUP((CONCATENATE($E$9,$I$17)),'IMESI Vol Físico - Series mensu'!$C$4:$FZ$306,160,0)),"-")</f>
        <v>-</v>
      </c>
      <c r="J188" s="75"/>
      <c r="K188" s="74" t="str">
        <f>IF($E$11="",IF(OR($E$7="seleccione rubro",$E$9="seleccione sub - rubro"),"-",HLOOKUP((CONCATENATE($E$9,$K$17)),'IMESI Vol Físico - Series mensu'!$C$4:$FZ$306,160,0)),"-")</f>
        <v>-</v>
      </c>
    </row>
    <row r="189" spans="4:11" x14ac:dyDescent="0.2">
      <c r="D189" s="72">
        <f t="shared" ref="D189:D199" si="13">YEAR(E189)</f>
        <v>2000</v>
      </c>
      <c r="E189" s="73">
        <f>+'IMESI Vol Físico - Series mensu'!A164</f>
        <v>36557</v>
      </c>
      <c r="F189" s="73"/>
      <c r="G189" s="74" t="str">
        <f>IF($E$11="",IF(OR($E$7="seleccione rubro",$E$9="seleccione sub - rubro"),"-",HLOOKUP((CONCATENATE($E$9,$G$17)),'IMESI Vol Físico - Series mensu'!$C$4:$FZ$306,160,0)),"-")</f>
        <v>-</v>
      </c>
      <c r="H189" s="75"/>
      <c r="I189" s="74" t="str">
        <f>IF($E$11="",IF(OR($E$7="seleccione rubro",$E$9="seleccione sub - rubro"),"-",HLOOKUP((CONCATENATE($E$9,$I$17)),'IMESI Vol Físico - Series mensu'!$C$4:$FZ$306,161,0)),"-")</f>
        <v>-</v>
      </c>
      <c r="J189" s="75"/>
      <c r="K189" s="74" t="str">
        <f>IF($E$11="",IF(OR($E$7="seleccione rubro",$E$9="seleccione sub - rubro"),"-",HLOOKUP((CONCATENATE($E$9,$K$17)),'IMESI Vol Físico - Series mensu'!$C$4:$FZ$306,161,0)),"-")</f>
        <v>-</v>
      </c>
    </row>
    <row r="190" spans="4:11" x14ac:dyDescent="0.2">
      <c r="D190" s="72">
        <f t="shared" si="13"/>
        <v>2000</v>
      </c>
      <c r="E190" s="73">
        <f>+'IMESI Vol Físico - Series mensu'!A165</f>
        <v>36586</v>
      </c>
      <c r="F190" s="73"/>
      <c r="G190" s="74" t="str">
        <f>IF($E$11="",IF(OR($E$7="seleccione rubro",$E$9="seleccione sub - rubro"),"-",HLOOKUP((CONCATENATE($E$9,$G$17)),'IMESI Vol Físico - Series mensu'!$C$4:$FZ$306,161,0)),"-")</f>
        <v>-</v>
      </c>
      <c r="H190" s="75"/>
      <c r="I190" s="74" t="str">
        <f>IF($E$11="",IF(OR($E$7="seleccione rubro",$E$9="seleccione sub - rubro"),"-",HLOOKUP((CONCATENATE($E$9,$I$17)),'IMESI Vol Físico - Series mensu'!$C$4:$FZ$306,162,0)),"-")</f>
        <v>-</v>
      </c>
      <c r="J190" s="75"/>
      <c r="K190" s="74" t="str">
        <f>IF($E$11="",IF(OR($E$7="seleccione rubro",$E$9="seleccione sub - rubro"),"-",HLOOKUP((CONCATENATE($E$9,$K$17)),'IMESI Vol Físico - Series mensu'!$C$4:$FZ$306,162,0)),"-")</f>
        <v>-</v>
      </c>
    </row>
    <row r="191" spans="4:11" x14ac:dyDescent="0.2">
      <c r="D191" s="72">
        <f t="shared" si="13"/>
        <v>2000</v>
      </c>
      <c r="E191" s="73">
        <f>+'IMESI Vol Físico - Series mensu'!A166</f>
        <v>36617</v>
      </c>
      <c r="F191" s="73"/>
      <c r="G191" s="74" t="str">
        <f>IF($E$11="",IF(OR($E$7="seleccione rubro",$E$9="seleccione sub - rubro"),"-",HLOOKUP((CONCATENATE($E$9,$G$17)),'IMESI Vol Físico - Series mensu'!$C$4:$FZ$306,162,0)),"-")</f>
        <v>-</v>
      </c>
      <c r="H191" s="75"/>
      <c r="I191" s="74" t="str">
        <f>IF($E$11="",IF(OR($E$7="seleccione rubro",$E$9="seleccione sub - rubro"),"-",HLOOKUP((CONCATENATE($E$9,$I$17)),'IMESI Vol Físico - Series mensu'!$C$4:$FZ$306,163,0)),"-")</f>
        <v>-</v>
      </c>
      <c r="J191" s="75"/>
      <c r="K191" s="74" t="str">
        <f>IF($E$11="",IF(OR($E$7="seleccione rubro",$E$9="seleccione sub - rubro"),"-",HLOOKUP((CONCATENATE($E$9,$K$17)),'IMESI Vol Físico - Series mensu'!$C$4:$FZ$306,163,0)),"-")</f>
        <v>-</v>
      </c>
    </row>
    <row r="192" spans="4:11" x14ac:dyDescent="0.2">
      <c r="D192" s="72">
        <f t="shared" si="13"/>
        <v>2000</v>
      </c>
      <c r="E192" s="73">
        <f>+'IMESI Vol Físico - Series mensu'!A167</f>
        <v>36647</v>
      </c>
      <c r="F192" s="73"/>
      <c r="G192" s="74" t="str">
        <f>IF($E$11="",IF(OR($E$7="seleccione rubro",$E$9="seleccione sub - rubro"),"-",HLOOKUP((CONCATENATE($E$9,$G$17)),'IMESI Vol Físico - Series mensu'!$C$4:$FZ$306,163,0)),"-")</f>
        <v>-</v>
      </c>
      <c r="H192" s="75"/>
      <c r="I192" s="74" t="str">
        <f>IF($E$11="",IF(OR($E$7="seleccione rubro",$E$9="seleccione sub - rubro"),"-",HLOOKUP((CONCATENATE($E$9,$I$17)),'IMESI Vol Físico - Series mensu'!$C$4:$FZ$306,164,0)),"-")</f>
        <v>-</v>
      </c>
      <c r="J192" s="75"/>
      <c r="K192" s="74" t="str">
        <f>IF($E$11="",IF(OR($E$7="seleccione rubro",$E$9="seleccione sub - rubro"),"-",HLOOKUP((CONCATENATE($E$9,$K$17)),'IMESI Vol Físico - Series mensu'!$C$4:$FZ$306,164,0)),"-")</f>
        <v>-</v>
      </c>
    </row>
    <row r="193" spans="4:11" x14ac:dyDescent="0.2">
      <c r="D193" s="72">
        <f t="shared" si="13"/>
        <v>2000</v>
      </c>
      <c r="E193" s="73">
        <f>+'IMESI Vol Físico - Series mensu'!A168</f>
        <v>36678</v>
      </c>
      <c r="F193" s="73"/>
      <c r="G193" s="74" t="str">
        <f>IF($E$11="",IF(OR($E$7="seleccione rubro",$E$9="seleccione sub - rubro"),"-",HLOOKUP((CONCATENATE($E$9,$G$17)),'IMESI Vol Físico - Series mensu'!$C$4:$FZ$306,164,0)),"-")</f>
        <v>-</v>
      </c>
      <c r="H193" s="75"/>
      <c r="I193" s="74" t="str">
        <f>IF($E$11="",IF(OR($E$7="seleccione rubro",$E$9="seleccione sub - rubro"),"-",HLOOKUP((CONCATENATE($E$9,$I$17)),'IMESI Vol Físico - Series mensu'!$C$4:$FZ$306,165,0)),"-")</f>
        <v>-</v>
      </c>
      <c r="J193" s="75"/>
      <c r="K193" s="74" t="str">
        <f>IF($E$11="",IF(OR($E$7="seleccione rubro",$E$9="seleccione sub - rubro"),"-",HLOOKUP((CONCATENATE($E$9,$K$17)),'IMESI Vol Físico - Series mensu'!$C$4:$FZ$306,165,0)),"-")</f>
        <v>-</v>
      </c>
    </row>
    <row r="194" spans="4:11" x14ac:dyDescent="0.2">
      <c r="D194" s="72">
        <f t="shared" si="13"/>
        <v>2000</v>
      </c>
      <c r="E194" s="73">
        <f>+'IMESI Vol Físico - Series mensu'!A169</f>
        <v>36708</v>
      </c>
      <c r="F194" s="73"/>
      <c r="G194" s="74" t="str">
        <f>IF($E$11="",IF(OR($E$7="seleccione rubro",$E$9="seleccione sub - rubro"),"-",HLOOKUP((CONCATENATE($E$9,$G$17)),'IMESI Vol Físico - Series mensu'!$C$4:$FZ$306,165,0)),"-")</f>
        <v>-</v>
      </c>
      <c r="H194" s="75"/>
      <c r="I194" s="74" t="str">
        <f>IF($E$11="",IF(OR($E$7="seleccione rubro",$E$9="seleccione sub - rubro"),"-",HLOOKUP((CONCATENATE($E$9,$I$17)),'IMESI Vol Físico - Series mensu'!$C$4:$FZ$306,166,0)),"-")</f>
        <v>-</v>
      </c>
      <c r="J194" s="75"/>
      <c r="K194" s="74" t="str">
        <f>IF($E$11="",IF(OR($E$7="seleccione rubro",$E$9="seleccione sub - rubro"),"-",HLOOKUP((CONCATENATE($E$9,$K$17)),'IMESI Vol Físico - Series mensu'!$C$4:$FZ$306,166,0)),"-")</f>
        <v>-</v>
      </c>
    </row>
    <row r="195" spans="4:11" x14ac:dyDescent="0.2">
      <c r="D195" s="72">
        <f t="shared" si="13"/>
        <v>2000</v>
      </c>
      <c r="E195" s="73">
        <f>+'IMESI Vol Físico - Series mensu'!A170</f>
        <v>36739</v>
      </c>
      <c r="F195" s="73"/>
      <c r="G195" s="74" t="str">
        <f>IF($E$11="",IF(OR($E$7="seleccione rubro",$E$9="seleccione sub - rubro"),"-",HLOOKUP((CONCATENATE($E$9,$G$17)),'IMESI Vol Físico - Series mensu'!$C$4:$FZ$306,166,0)),"-")</f>
        <v>-</v>
      </c>
      <c r="H195" s="75"/>
      <c r="I195" s="74" t="str">
        <f>IF($E$11="",IF(OR($E$7="seleccione rubro",$E$9="seleccione sub - rubro"),"-",HLOOKUP((CONCATENATE($E$9,$I$17)),'IMESI Vol Físico - Series mensu'!$C$4:$FZ$306,167,0)),"-")</f>
        <v>-</v>
      </c>
      <c r="J195" s="75"/>
      <c r="K195" s="74" t="str">
        <f>IF($E$11="",IF(OR($E$7="seleccione rubro",$E$9="seleccione sub - rubro"),"-",HLOOKUP((CONCATENATE($E$9,$K$17)),'IMESI Vol Físico - Series mensu'!$C$4:$FZ$306,167,0)),"-")</f>
        <v>-</v>
      </c>
    </row>
    <row r="196" spans="4:11" x14ac:dyDescent="0.2">
      <c r="D196" s="72">
        <f t="shared" si="13"/>
        <v>2000</v>
      </c>
      <c r="E196" s="73">
        <f>+'IMESI Vol Físico - Series mensu'!A171</f>
        <v>36770</v>
      </c>
      <c r="F196" s="73"/>
      <c r="G196" s="74" t="str">
        <f>IF($E$11="",IF(OR($E$7="seleccione rubro",$E$9="seleccione sub - rubro"),"-",HLOOKUP((CONCATENATE($E$9,$G$17)),'IMESI Vol Físico - Series mensu'!$C$4:$FZ$306,167,0)),"-")</f>
        <v>-</v>
      </c>
      <c r="H196" s="75"/>
      <c r="I196" s="74" t="str">
        <f>IF($E$11="",IF(OR($E$7="seleccione rubro",$E$9="seleccione sub - rubro"),"-",HLOOKUP((CONCATENATE($E$9,$I$17)),'IMESI Vol Físico - Series mensu'!$C$4:$FZ$306,168,0)),"-")</f>
        <v>-</v>
      </c>
      <c r="J196" s="75"/>
      <c r="K196" s="74" t="str">
        <f>IF($E$11="",IF(OR($E$7="seleccione rubro",$E$9="seleccione sub - rubro"),"-",HLOOKUP((CONCATENATE($E$9,$K$17)),'IMESI Vol Físico - Series mensu'!$C$4:$FZ$306,168,0)),"-")</f>
        <v>-</v>
      </c>
    </row>
    <row r="197" spans="4:11" x14ac:dyDescent="0.2">
      <c r="D197" s="72">
        <f t="shared" si="13"/>
        <v>2000</v>
      </c>
      <c r="E197" s="73">
        <f>+'IMESI Vol Físico - Series mensu'!A172</f>
        <v>36800</v>
      </c>
      <c r="F197" s="73"/>
      <c r="G197" s="74" t="str">
        <f>IF($E$11="",IF(OR($E$7="seleccione rubro",$E$9="seleccione sub - rubro"),"-",HLOOKUP((CONCATENATE($E$9,$G$17)),'IMESI Vol Físico - Series mensu'!$C$4:$FZ$306,168,0)),"-")</f>
        <v>-</v>
      </c>
      <c r="H197" s="75"/>
      <c r="I197" s="74" t="str">
        <f>IF($E$11="",IF(OR($E$7="seleccione rubro",$E$9="seleccione sub - rubro"),"-",HLOOKUP((CONCATENATE($E$9,$I$17)),'IMESI Vol Físico - Series mensu'!$C$4:$FZ$306,169,0)),"-")</f>
        <v>-</v>
      </c>
      <c r="J197" s="75"/>
      <c r="K197" s="74" t="str">
        <f>IF($E$11="",IF(OR($E$7="seleccione rubro",$E$9="seleccione sub - rubro"),"-",HLOOKUP((CONCATENATE($E$9,$K$17)),'IMESI Vol Físico - Series mensu'!$C$4:$FZ$306,169,0)),"-")</f>
        <v>-</v>
      </c>
    </row>
    <row r="198" spans="4:11" x14ac:dyDescent="0.2">
      <c r="D198" s="72">
        <f t="shared" si="13"/>
        <v>2000</v>
      </c>
      <c r="E198" s="73">
        <f>+'IMESI Vol Físico - Series mensu'!A173</f>
        <v>36831</v>
      </c>
      <c r="F198" s="73"/>
      <c r="G198" s="74" t="str">
        <f>IF($E$11="",IF(OR($E$7="seleccione rubro",$E$9="seleccione sub - rubro"),"-",HLOOKUP((CONCATENATE($E$9,$G$17)),'IMESI Vol Físico - Series mensu'!$C$4:$FZ$306,169,0)),"-")</f>
        <v>-</v>
      </c>
      <c r="H198" s="75"/>
      <c r="I198" s="74" t="str">
        <f>IF($E$11="",IF(OR($E$7="seleccione rubro",$E$9="seleccione sub - rubro"),"-",HLOOKUP((CONCATENATE($E$9,$I$17)),'IMESI Vol Físico - Series mensu'!$C$4:$FZ$306,170,0)),"-")</f>
        <v>-</v>
      </c>
      <c r="J198" s="75"/>
      <c r="K198" s="74" t="str">
        <f>IF($E$11="",IF(OR($E$7="seleccione rubro",$E$9="seleccione sub - rubro"),"-",HLOOKUP((CONCATENATE($E$9,$K$17)),'IMESI Vol Físico - Series mensu'!$C$4:$FZ$306,170,0)),"-")</f>
        <v>-</v>
      </c>
    </row>
    <row r="199" spans="4:11" x14ac:dyDescent="0.2">
      <c r="D199" s="72">
        <f t="shared" si="13"/>
        <v>2000</v>
      </c>
      <c r="E199" s="73">
        <f>+'IMESI Vol Físico - Series mensu'!A174</f>
        <v>36861</v>
      </c>
      <c r="F199" s="73"/>
      <c r="G199" s="74" t="str">
        <f>IF($E$11="",IF(OR($E$7="seleccione rubro",$E$9="seleccione sub - rubro"),"-",HLOOKUP((CONCATENATE($E$9,$G$17)),'IMESI Vol Físico - Series mensu'!$C$4:$FZ$306,170,0)),"-")</f>
        <v>-</v>
      </c>
      <c r="H199" s="75"/>
      <c r="I199" s="74" t="str">
        <f>IF($E$11="",IF(OR($E$7="seleccione rubro",$E$9="seleccione sub - rubro"),"-",HLOOKUP((CONCATENATE($E$9,$I$17)),'IMESI Vol Físico - Series mensu'!$C$4:$FZ$306,171,0)),"-")</f>
        <v>-</v>
      </c>
      <c r="J199" s="75"/>
      <c r="K199" s="74" t="str">
        <f>IF($E$11="",IF(OR($E$7="seleccione rubro",$E$9="seleccione sub - rubro"),"-",HLOOKUP((CONCATENATE($E$9,$K$17)),'IMESI Vol Físico - Series mensu'!$C$4:$FZ$306,171,0)),"-")</f>
        <v>-</v>
      </c>
    </row>
    <row r="200" spans="4:11" x14ac:dyDescent="0.2">
      <c r="D200" s="69">
        <f>+D201</f>
        <v>2001</v>
      </c>
      <c r="E200" s="70"/>
      <c r="F200" s="70"/>
      <c r="G200" s="74"/>
      <c r="H200" s="75"/>
      <c r="I200" s="74"/>
      <c r="J200" s="75"/>
      <c r="K200" s="74"/>
    </row>
    <row r="201" spans="4:11" x14ac:dyDescent="0.2">
      <c r="D201" s="72">
        <f>YEAR(E201)</f>
        <v>2001</v>
      </c>
      <c r="E201" s="73">
        <f>+'IMESI Vol Físico - Series mensu'!A175</f>
        <v>36892</v>
      </c>
      <c r="F201" s="73"/>
      <c r="G201" s="74" t="str">
        <f>IF($E$11="",IF(OR($E$7="seleccione rubro",$E$9="seleccione sub - rubro"),"-",HLOOKUP((CONCATENATE($E$9,$G$17)),'IMESI Vol Físico - Series mensu'!$C$4:$FZ$306,171,0)),"-")</f>
        <v>-</v>
      </c>
      <c r="H201" s="75"/>
      <c r="I201" s="74" t="str">
        <f>IF($E$11="",IF(OR($E$7="seleccione rubro",$E$9="seleccione sub - rubro"),"-",HLOOKUP((CONCATENATE($E$9,$I$17)),'IMESI Vol Físico - Series mensu'!$C$4:$FZ$306,172,0)),"-")</f>
        <v>-</v>
      </c>
      <c r="J201" s="75"/>
      <c r="K201" s="74" t="str">
        <f>IF($E$11="",IF(OR($E$7="seleccione rubro",$E$9="seleccione sub - rubro"),"-",HLOOKUP((CONCATENATE($E$9,$K$17)),'IMESI Vol Físico - Series mensu'!$C$4:$FZ$306,172,0)),"-")</f>
        <v>-</v>
      </c>
    </row>
    <row r="202" spans="4:11" x14ac:dyDescent="0.2">
      <c r="D202" s="72">
        <f t="shared" ref="D202:D212" si="14">YEAR(E202)</f>
        <v>2001</v>
      </c>
      <c r="E202" s="73">
        <f>+'IMESI Vol Físico - Series mensu'!A176</f>
        <v>36923</v>
      </c>
      <c r="F202" s="73"/>
      <c r="G202" s="74" t="str">
        <f>IF($E$11="",IF(OR($E$7="seleccione rubro",$E$9="seleccione sub - rubro"),"-",HLOOKUP((CONCATENATE($E$9,$G$17)),'IMESI Vol Físico - Series mensu'!$C$4:$FZ$306,172,0)),"-")</f>
        <v>-</v>
      </c>
      <c r="H202" s="75"/>
      <c r="I202" s="74" t="str">
        <f>IF($E$11="",IF(OR($E$7="seleccione rubro",$E$9="seleccione sub - rubro"),"-",HLOOKUP((CONCATENATE($E$9,$I$17)),'IMESI Vol Físico - Series mensu'!$C$4:$FZ$306,173,0)),"-")</f>
        <v>-</v>
      </c>
      <c r="J202" s="75"/>
      <c r="K202" s="74" t="str">
        <f>IF($E$11="",IF(OR($E$7="seleccione rubro",$E$9="seleccione sub - rubro"),"-",HLOOKUP((CONCATENATE($E$9,$K$17)),'IMESI Vol Físico - Series mensu'!$C$4:$FZ$306,173,0)),"-")</f>
        <v>-</v>
      </c>
    </row>
    <row r="203" spans="4:11" x14ac:dyDescent="0.2">
      <c r="D203" s="72">
        <f t="shared" si="14"/>
        <v>2001</v>
      </c>
      <c r="E203" s="73">
        <f>+'IMESI Vol Físico - Series mensu'!A177</f>
        <v>36951</v>
      </c>
      <c r="F203" s="73"/>
      <c r="G203" s="74" t="str">
        <f>IF($E$11="",IF(OR($E$7="seleccione rubro",$E$9="seleccione sub - rubro"),"-",HLOOKUP((CONCATENATE($E$9,$G$17)),'IMESI Vol Físico - Series mensu'!$C$4:$FZ$306,173,0)),"-")</f>
        <v>-</v>
      </c>
      <c r="H203" s="75"/>
      <c r="I203" s="74" t="str">
        <f>IF($E$11="",IF(OR($E$7="seleccione rubro",$E$9="seleccione sub - rubro"),"-",HLOOKUP((CONCATENATE($E$9,$I$17)),'IMESI Vol Físico - Series mensu'!$C$4:$FZ$306,174,0)),"-")</f>
        <v>-</v>
      </c>
      <c r="J203" s="75"/>
      <c r="K203" s="74" t="str">
        <f>IF($E$11="",IF(OR($E$7="seleccione rubro",$E$9="seleccione sub - rubro"),"-",HLOOKUP((CONCATENATE($E$9,$K$17)),'IMESI Vol Físico - Series mensu'!$C$4:$FZ$306,174,0)),"-")</f>
        <v>-</v>
      </c>
    </row>
    <row r="204" spans="4:11" x14ac:dyDescent="0.2">
      <c r="D204" s="72">
        <f t="shared" si="14"/>
        <v>2001</v>
      </c>
      <c r="E204" s="73">
        <f>+'IMESI Vol Físico - Series mensu'!A178</f>
        <v>36982</v>
      </c>
      <c r="F204" s="73"/>
      <c r="G204" s="74" t="str">
        <f>IF($E$11="",IF(OR($E$7="seleccione rubro",$E$9="seleccione sub - rubro"),"-",HLOOKUP((CONCATENATE($E$9,$G$17)),'IMESI Vol Físico - Series mensu'!$C$4:$FZ$306,174,0)),"-")</f>
        <v>-</v>
      </c>
      <c r="H204" s="75"/>
      <c r="I204" s="74" t="str">
        <f>IF($E$11="",IF(OR($E$7="seleccione rubro",$E$9="seleccione sub - rubro"),"-",HLOOKUP((CONCATENATE($E$9,$I$17)),'IMESI Vol Físico - Series mensu'!$C$4:$FZ$306,175,0)),"-")</f>
        <v>-</v>
      </c>
      <c r="J204" s="75"/>
      <c r="K204" s="74" t="str">
        <f>IF($E$11="",IF(OR($E$7="seleccione rubro",$E$9="seleccione sub - rubro"),"-",HLOOKUP((CONCATENATE($E$9,$K$17)),'IMESI Vol Físico - Series mensu'!$C$4:$FZ$306,175,0)),"-")</f>
        <v>-</v>
      </c>
    </row>
    <row r="205" spans="4:11" x14ac:dyDescent="0.2">
      <c r="D205" s="72">
        <f t="shared" si="14"/>
        <v>2001</v>
      </c>
      <c r="E205" s="73">
        <f>+'IMESI Vol Físico - Series mensu'!A179</f>
        <v>37012</v>
      </c>
      <c r="F205" s="73"/>
      <c r="G205" s="74" t="str">
        <f>IF($E$11="",IF(OR($E$7="seleccione rubro",$E$9="seleccione sub - rubro"),"-",HLOOKUP((CONCATENATE($E$9,$G$17)),'IMESI Vol Físico - Series mensu'!$C$4:$FZ$306,175,0)),"-")</f>
        <v>-</v>
      </c>
      <c r="H205" s="75"/>
      <c r="I205" s="74" t="str">
        <f>IF($E$11="",IF(OR($E$7="seleccione rubro",$E$9="seleccione sub - rubro"),"-",HLOOKUP((CONCATENATE($E$9,$I$17)),'IMESI Vol Físico - Series mensu'!$C$4:$FZ$306,176,0)),"-")</f>
        <v>-</v>
      </c>
      <c r="J205" s="75"/>
      <c r="K205" s="74" t="str">
        <f>IF($E$11="",IF(OR($E$7="seleccione rubro",$E$9="seleccione sub - rubro"),"-",HLOOKUP((CONCATENATE($E$9,$K$17)),'IMESI Vol Físico - Series mensu'!$C$4:$FZ$306,176,0)),"-")</f>
        <v>-</v>
      </c>
    </row>
    <row r="206" spans="4:11" x14ac:dyDescent="0.2">
      <c r="D206" s="72">
        <f t="shared" si="14"/>
        <v>2001</v>
      </c>
      <c r="E206" s="73">
        <f>+'IMESI Vol Físico - Series mensu'!A180</f>
        <v>37043</v>
      </c>
      <c r="F206" s="73"/>
      <c r="G206" s="74" t="str">
        <f>IF($E$11="",IF(OR($E$7="seleccione rubro",$E$9="seleccione sub - rubro"),"-",HLOOKUP((CONCATENATE($E$9,$G$17)),'IMESI Vol Físico - Series mensu'!$C$4:$FZ$306,176,0)),"-")</f>
        <v>-</v>
      </c>
      <c r="H206" s="75"/>
      <c r="I206" s="74" t="str">
        <f>IF($E$11="",IF(OR($E$7="seleccione rubro",$E$9="seleccione sub - rubro"),"-",HLOOKUP((CONCATENATE($E$9,$I$17)),'IMESI Vol Físico - Series mensu'!$C$4:$FZ$306,177,0)),"-")</f>
        <v>-</v>
      </c>
      <c r="J206" s="75"/>
      <c r="K206" s="74" t="str">
        <f>IF($E$11="",IF(OR($E$7="seleccione rubro",$E$9="seleccione sub - rubro"),"-",HLOOKUP((CONCATENATE($E$9,$K$17)),'IMESI Vol Físico - Series mensu'!$C$4:$FZ$306,177,0)),"-")</f>
        <v>-</v>
      </c>
    </row>
    <row r="207" spans="4:11" x14ac:dyDescent="0.2">
      <c r="D207" s="72">
        <f t="shared" si="14"/>
        <v>2001</v>
      </c>
      <c r="E207" s="73">
        <f>+'IMESI Vol Físico - Series mensu'!A181</f>
        <v>37073</v>
      </c>
      <c r="F207" s="73"/>
      <c r="G207" s="74" t="str">
        <f>IF($E$11="",IF(OR($E$7="seleccione rubro",$E$9="seleccione sub - rubro"),"-",HLOOKUP((CONCATENATE($E$9,$G$17)),'IMESI Vol Físico - Series mensu'!$C$4:$FZ$306,177,0)),"-")</f>
        <v>-</v>
      </c>
      <c r="H207" s="75"/>
      <c r="I207" s="74" t="str">
        <f>IF($E$11="",IF(OR($E$7="seleccione rubro",$E$9="seleccione sub - rubro"),"-",HLOOKUP((CONCATENATE($E$9,$I$17)),'IMESI Vol Físico - Series mensu'!$C$4:$FZ$306,178,0)),"-")</f>
        <v>-</v>
      </c>
      <c r="J207" s="75"/>
      <c r="K207" s="74" t="str">
        <f>IF($E$11="",IF(OR($E$7="seleccione rubro",$E$9="seleccione sub - rubro"),"-",HLOOKUP((CONCATENATE($E$9,$K$17)),'IMESI Vol Físico - Series mensu'!$C$4:$FZ$306,178,0)),"-")</f>
        <v>-</v>
      </c>
    </row>
    <row r="208" spans="4:11" x14ac:dyDescent="0.2">
      <c r="D208" s="72">
        <f t="shared" si="14"/>
        <v>2001</v>
      </c>
      <c r="E208" s="73">
        <f>+'IMESI Vol Físico - Series mensu'!A182</f>
        <v>37104</v>
      </c>
      <c r="F208" s="73"/>
      <c r="G208" s="74" t="str">
        <f>IF($E$11="",IF(OR($E$7="seleccione rubro",$E$9="seleccione sub - rubro"),"-",HLOOKUP((CONCATENATE($E$9,$G$17)),'IMESI Vol Físico - Series mensu'!$C$4:$FZ$306,178,0)),"-")</f>
        <v>-</v>
      </c>
      <c r="H208" s="75"/>
      <c r="I208" s="74" t="str">
        <f>IF($E$11="",IF(OR($E$7="seleccione rubro",$E$9="seleccione sub - rubro"),"-",HLOOKUP((CONCATENATE($E$9,$I$17)),'IMESI Vol Físico - Series mensu'!$C$4:$FZ$306,179,0)),"-")</f>
        <v>-</v>
      </c>
      <c r="J208" s="75"/>
      <c r="K208" s="74" t="str">
        <f>IF($E$11="",IF(OR($E$7="seleccione rubro",$E$9="seleccione sub - rubro"),"-",HLOOKUP((CONCATENATE($E$9,$K$17)),'IMESI Vol Físico - Series mensu'!$C$4:$FZ$306,179,0)),"-")</f>
        <v>-</v>
      </c>
    </row>
    <row r="209" spans="4:11" x14ac:dyDescent="0.2">
      <c r="D209" s="72">
        <f t="shared" si="14"/>
        <v>2001</v>
      </c>
      <c r="E209" s="73">
        <f>+'IMESI Vol Físico - Series mensu'!A183</f>
        <v>37135</v>
      </c>
      <c r="F209" s="73"/>
      <c r="G209" s="74" t="str">
        <f>IF($E$11="",IF(OR($E$7="seleccione rubro",$E$9="seleccione sub - rubro"),"-",HLOOKUP((CONCATENATE($E$9,$G$17)),'IMESI Vol Físico - Series mensu'!$C$4:$FZ$306,179,0)),"-")</f>
        <v>-</v>
      </c>
      <c r="H209" s="75"/>
      <c r="I209" s="74" t="str">
        <f>IF($E$11="",IF(OR($E$7="seleccione rubro",$E$9="seleccione sub - rubro"),"-",HLOOKUP((CONCATENATE($E$9,$I$17)),'IMESI Vol Físico - Series mensu'!$C$4:$FZ$306,180,0)),"-")</f>
        <v>-</v>
      </c>
      <c r="J209" s="75"/>
      <c r="K209" s="74" t="str">
        <f>IF($E$11="",IF(OR($E$7="seleccione rubro",$E$9="seleccione sub - rubro"),"-",HLOOKUP((CONCATENATE($E$9,$K$17)),'IMESI Vol Físico - Series mensu'!$C$4:$FZ$306,180,0)),"-")</f>
        <v>-</v>
      </c>
    </row>
    <row r="210" spans="4:11" x14ac:dyDescent="0.2">
      <c r="D210" s="72">
        <f t="shared" si="14"/>
        <v>2001</v>
      </c>
      <c r="E210" s="73">
        <f>+'IMESI Vol Físico - Series mensu'!A184</f>
        <v>37165</v>
      </c>
      <c r="F210" s="73"/>
      <c r="G210" s="74" t="str">
        <f>IF($E$11="",IF(OR($E$7="seleccione rubro",$E$9="seleccione sub - rubro"),"-",HLOOKUP((CONCATENATE($E$9,$G$17)),'IMESI Vol Físico - Series mensu'!$C$4:$FZ$306,180,0)),"-")</f>
        <v>-</v>
      </c>
      <c r="H210" s="75"/>
      <c r="I210" s="74" t="str">
        <f>IF($E$11="",IF(OR($E$7="seleccione rubro",$E$9="seleccione sub - rubro"),"-",HLOOKUP((CONCATENATE($E$9,$I$17)),'IMESI Vol Físico - Series mensu'!$C$4:$FZ$306,181,0)),"-")</f>
        <v>-</v>
      </c>
      <c r="J210" s="75"/>
      <c r="K210" s="74" t="str">
        <f>IF($E$11="",IF(OR($E$7="seleccione rubro",$E$9="seleccione sub - rubro"),"-",HLOOKUP((CONCATENATE($E$9,$K$17)),'IMESI Vol Físico - Series mensu'!$C$4:$FZ$306,181,0)),"-")</f>
        <v>-</v>
      </c>
    </row>
    <row r="211" spans="4:11" x14ac:dyDescent="0.2">
      <c r="D211" s="72">
        <f t="shared" si="14"/>
        <v>2001</v>
      </c>
      <c r="E211" s="73">
        <f>+'IMESI Vol Físico - Series mensu'!A185</f>
        <v>37196</v>
      </c>
      <c r="F211" s="73"/>
      <c r="G211" s="74" t="str">
        <f>IF($E$11="",IF(OR($E$7="seleccione rubro",$E$9="seleccione sub - rubro"),"-",HLOOKUP((CONCATENATE($E$9,$G$17)),'IMESI Vol Físico - Series mensu'!$C$4:$FZ$306,181,0)),"-")</f>
        <v>-</v>
      </c>
      <c r="H211" s="75"/>
      <c r="I211" s="74" t="str">
        <f>IF($E$11="",IF(OR($E$7="seleccione rubro",$E$9="seleccione sub - rubro"),"-",HLOOKUP((CONCATENATE($E$9,$I$17)),'IMESI Vol Físico - Series mensu'!$C$4:$FZ$306,182,0)),"-")</f>
        <v>-</v>
      </c>
      <c r="J211" s="75"/>
      <c r="K211" s="74" t="str">
        <f>IF($E$11="",IF(OR($E$7="seleccione rubro",$E$9="seleccione sub - rubro"),"-",HLOOKUP((CONCATENATE($E$9,$K$17)),'IMESI Vol Físico - Series mensu'!$C$4:$FZ$306,182,0)),"-")</f>
        <v>-</v>
      </c>
    </row>
    <row r="212" spans="4:11" x14ac:dyDescent="0.2">
      <c r="D212" s="72">
        <f t="shared" si="14"/>
        <v>2001</v>
      </c>
      <c r="E212" s="73">
        <f>+'IMESI Vol Físico - Series mensu'!A186</f>
        <v>37226</v>
      </c>
      <c r="F212" s="73"/>
      <c r="G212" s="74" t="str">
        <f>IF($E$11="",IF(OR($E$7="seleccione rubro",$E$9="seleccione sub - rubro"),"-",HLOOKUP((CONCATENATE($E$9,$G$17)),'IMESI Vol Físico - Series mensu'!$C$4:$FZ$306,182,0)),"-")</f>
        <v>-</v>
      </c>
      <c r="H212" s="75"/>
      <c r="I212" s="74" t="str">
        <f>IF($E$11="",IF(OR($E$7="seleccione rubro",$E$9="seleccione sub - rubro"),"-",HLOOKUP((CONCATENATE($E$9,$I$17)),'IMESI Vol Físico - Series mensu'!$C$4:$FZ$306,183,0)),"-")</f>
        <v>-</v>
      </c>
      <c r="J212" s="75"/>
      <c r="K212" s="74" t="str">
        <f>IF($E$11="",IF(OR($E$7="seleccione rubro",$E$9="seleccione sub - rubro"),"-",HLOOKUP((CONCATENATE($E$9,$K$17)),'IMESI Vol Físico - Series mensu'!$C$4:$FZ$306,183,0)),"-")</f>
        <v>-</v>
      </c>
    </row>
    <row r="213" spans="4:11" x14ac:dyDescent="0.2">
      <c r="D213" s="69">
        <f>+D214</f>
        <v>2002</v>
      </c>
      <c r="E213" s="70"/>
      <c r="F213" s="70"/>
      <c r="G213" s="74"/>
      <c r="H213" s="75"/>
      <c r="I213" s="74"/>
      <c r="J213" s="75"/>
      <c r="K213" s="74"/>
    </row>
    <row r="214" spans="4:11" x14ac:dyDescent="0.2">
      <c r="D214" s="72">
        <f>YEAR(E214)</f>
        <v>2002</v>
      </c>
      <c r="E214" s="73">
        <f>+'IMESI Vol Físico - Series mensu'!A187</f>
        <v>37257</v>
      </c>
      <c r="F214" s="73"/>
      <c r="G214" s="74" t="str">
        <f>IF($E$11="",IF(OR($E$7="seleccione rubro",$E$9="seleccione sub - rubro"),"-",HLOOKUP((CONCATENATE($E$9,$G$17)),'IMESI Vol Físico - Series mensu'!$C$4:$FZ$306,183,0)),"-")</f>
        <v>-</v>
      </c>
      <c r="H214" s="75"/>
      <c r="I214" s="74" t="str">
        <f>IF($E$11="",IF(OR($E$7="seleccione rubro",$E$9="seleccione sub - rubro"),"-",HLOOKUP((CONCATENATE($E$9,$I$17)),'IMESI Vol Físico - Series mensu'!$C$4:$FZ$306,184,0)),"-")</f>
        <v>-</v>
      </c>
      <c r="J214" s="75"/>
      <c r="K214" s="74" t="str">
        <f>IF($E$11="",IF(OR($E$7="seleccione rubro",$E$9="seleccione sub - rubro"),"-",HLOOKUP((CONCATENATE($E$9,$K$17)),'IMESI Vol Físico - Series mensu'!$C$4:$FZ$306,184,0)),"-")</f>
        <v>-</v>
      </c>
    </row>
    <row r="215" spans="4:11" x14ac:dyDescent="0.2">
      <c r="D215" s="72">
        <f t="shared" ref="D215:D225" si="15">YEAR(E215)</f>
        <v>2002</v>
      </c>
      <c r="E215" s="73">
        <f>+'IMESI Vol Físico - Series mensu'!A188</f>
        <v>37288</v>
      </c>
      <c r="F215" s="73"/>
      <c r="G215" s="74" t="str">
        <f>IF($E$11="",IF(OR($E$7="seleccione rubro",$E$9="seleccione sub - rubro"),"-",HLOOKUP((CONCATENATE($E$9,$G$17)),'IMESI Vol Físico - Series mensu'!$C$4:$FZ$306,184,0)),"-")</f>
        <v>-</v>
      </c>
      <c r="H215" s="75"/>
      <c r="I215" s="74" t="str">
        <f>IF($E$11="",IF(OR($E$7="seleccione rubro",$E$9="seleccione sub - rubro"),"-",HLOOKUP((CONCATENATE($E$9,$I$17)),'IMESI Vol Físico - Series mensu'!$C$4:$FZ$306,185,0)),"-")</f>
        <v>-</v>
      </c>
      <c r="J215" s="75"/>
      <c r="K215" s="74" t="str">
        <f>IF($E$11="",IF(OR($E$7="seleccione rubro",$E$9="seleccione sub - rubro"),"-",HLOOKUP((CONCATENATE($E$9,$K$17)),'IMESI Vol Físico - Series mensu'!$C$4:$FZ$306,185,0)),"-")</f>
        <v>-</v>
      </c>
    </row>
    <row r="216" spans="4:11" x14ac:dyDescent="0.2">
      <c r="D216" s="72">
        <f t="shared" si="15"/>
        <v>2002</v>
      </c>
      <c r="E216" s="73">
        <f>+'IMESI Vol Físico - Series mensu'!A189</f>
        <v>37316</v>
      </c>
      <c r="F216" s="73"/>
      <c r="G216" s="74" t="str">
        <f>IF($E$11="",IF(OR($E$7="seleccione rubro",$E$9="seleccione sub - rubro"),"-",HLOOKUP((CONCATENATE($E$9,$G$17)),'IMESI Vol Físico - Series mensu'!$C$4:$FZ$306,185,0)),"-")</f>
        <v>-</v>
      </c>
      <c r="H216" s="75"/>
      <c r="I216" s="74" t="str">
        <f>IF($E$11="",IF(OR($E$7="seleccione rubro",$E$9="seleccione sub - rubro"),"-",HLOOKUP((CONCATENATE($E$9,$I$17)),'IMESI Vol Físico - Series mensu'!$C$4:$FZ$306,186,0)),"-")</f>
        <v>-</v>
      </c>
      <c r="J216" s="75"/>
      <c r="K216" s="74" t="str">
        <f>IF($E$11="",IF(OR($E$7="seleccione rubro",$E$9="seleccione sub - rubro"),"-",HLOOKUP((CONCATENATE($E$9,$K$17)),'IMESI Vol Físico - Series mensu'!$C$4:$FZ$306,186,0)),"-")</f>
        <v>-</v>
      </c>
    </row>
    <row r="217" spans="4:11" x14ac:dyDescent="0.2">
      <c r="D217" s="72">
        <f t="shared" si="15"/>
        <v>2002</v>
      </c>
      <c r="E217" s="73">
        <f>+'IMESI Vol Físico - Series mensu'!A190</f>
        <v>37347</v>
      </c>
      <c r="F217" s="73"/>
      <c r="G217" s="74" t="str">
        <f>IF($E$11="",IF(OR($E$7="seleccione rubro",$E$9="seleccione sub - rubro"),"-",HLOOKUP((CONCATENATE($E$9,$G$17)),'IMESI Vol Físico - Series mensu'!$C$4:$FZ$306,186,0)),"-")</f>
        <v>-</v>
      </c>
      <c r="H217" s="75"/>
      <c r="I217" s="74" t="str">
        <f>IF($E$11="",IF(OR($E$7="seleccione rubro",$E$9="seleccione sub - rubro"),"-",HLOOKUP((CONCATENATE($E$9,$I$17)),'IMESI Vol Físico - Series mensu'!$C$4:$FZ$306,187,0)),"-")</f>
        <v>-</v>
      </c>
      <c r="J217" s="75"/>
      <c r="K217" s="74" t="str">
        <f>IF($E$11="",IF(OR($E$7="seleccione rubro",$E$9="seleccione sub - rubro"),"-",HLOOKUP((CONCATENATE($E$9,$K$17)),'IMESI Vol Físico - Series mensu'!$C$4:$FZ$306,187,0)),"-")</f>
        <v>-</v>
      </c>
    </row>
    <row r="218" spans="4:11" x14ac:dyDescent="0.2">
      <c r="D218" s="72">
        <f t="shared" si="15"/>
        <v>2002</v>
      </c>
      <c r="E218" s="73">
        <f>+'IMESI Vol Físico - Series mensu'!A191</f>
        <v>37377</v>
      </c>
      <c r="F218" s="73"/>
      <c r="G218" s="74" t="str">
        <f>IF($E$11="",IF(OR($E$7="seleccione rubro",$E$9="seleccione sub - rubro"),"-",HLOOKUP((CONCATENATE($E$9,$G$17)),'IMESI Vol Físico - Series mensu'!$C$4:$FZ$306,187,0)),"-")</f>
        <v>-</v>
      </c>
      <c r="H218" s="75"/>
      <c r="I218" s="74" t="str">
        <f>IF($E$11="",IF(OR($E$7="seleccione rubro",$E$9="seleccione sub - rubro"),"-",HLOOKUP((CONCATENATE($E$9,$I$17)),'IMESI Vol Físico - Series mensu'!$C$4:$FZ$306,188,0)),"-")</f>
        <v>-</v>
      </c>
      <c r="J218" s="75"/>
      <c r="K218" s="74" t="str">
        <f>IF($E$11="",IF(OR($E$7="seleccione rubro",$E$9="seleccione sub - rubro"),"-",HLOOKUP((CONCATENATE($E$9,$K$17)),'IMESI Vol Físico - Series mensu'!$C$4:$FZ$306,188,0)),"-")</f>
        <v>-</v>
      </c>
    </row>
    <row r="219" spans="4:11" x14ac:dyDescent="0.2">
      <c r="D219" s="72">
        <f t="shared" si="15"/>
        <v>2002</v>
      </c>
      <c r="E219" s="73">
        <f>+'IMESI Vol Físico - Series mensu'!A192</f>
        <v>37408</v>
      </c>
      <c r="F219" s="73"/>
      <c r="G219" s="74" t="str">
        <f>IF($E$11="",IF(OR($E$7="seleccione rubro",$E$9="seleccione sub - rubro"),"-",HLOOKUP((CONCATENATE($E$9,$G$17)),'IMESI Vol Físico - Series mensu'!$C$4:$FZ$306,188,0)),"-")</f>
        <v>-</v>
      </c>
      <c r="H219" s="75"/>
      <c r="I219" s="74" t="str">
        <f>IF($E$11="",IF(OR($E$7="seleccione rubro",$E$9="seleccione sub - rubro"),"-",HLOOKUP((CONCATENATE($E$9,$I$17)),'IMESI Vol Físico - Series mensu'!$C$4:$FZ$306,189,0)),"-")</f>
        <v>-</v>
      </c>
      <c r="J219" s="75"/>
      <c r="K219" s="74" t="str">
        <f>IF($E$11="",IF(OR($E$7="seleccione rubro",$E$9="seleccione sub - rubro"),"-",HLOOKUP((CONCATENATE($E$9,$K$17)),'IMESI Vol Físico - Series mensu'!$C$4:$FZ$306,189,0)),"-")</f>
        <v>-</v>
      </c>
    </row>
    <row r="220" spans="4:11" x14ac:dyDescent="0.2">
      <c r="D220" s="72">
        <f t="shared" si="15"/>
        <v>2002</v>
      </c>
      <c r="E220" s="73">
        <f>+'IMESI Vol Físico - Series mensu'!A193</f>
        <v>37438</v>
      </c>
      <c r="F220" s="73"/>
      <c r="G220" s="74" t="str">
        <f>IF($E$11="",IF(OR($E$7="seleccione rubro",$E$9="seleccione sub - rubro"),"-",HLOOKUP((CONCATENATE($E$9,$G$17)),'IMESI Vol Físico - Series mensu'!$C$4:$FZ$306,189,0)),"-")</f>
        <v>-</v>
      </c>
      <c r="H220" s="75"/>
      <c r="I220" s="74" t="str">
        <f>IF($E$11="",IF(OR($E$7="seleccione rubro",$E$9="seleccione sub - rubro"),"-",HLOOKUP((CONCATENATE($E$9,$I$17)),'IMESI Vol Físico - Series mensu'!$C$4:$FZ$306,190,0)),"-")</f>
        <v>-</v>
      </c>
      <c r="J220" s="75"/>
      <c r="K220" s="74" t="str">
        <f>IF($E$11="",IF(OR($E$7="seleccione rubro",$E$9="seleccione sub - rubro"),"-",HLOOKUP((CONCATENATE($E$9,$K$17)),'IMESI Vol Físico - Series mensu'!$C$4:$FZ$306,190,0)),"-")</f>
        <v>-</v>
      </c>
    </row>
    <row r="221" spans="4:11" x14ac:dyDescent="0.2">
      <c r="D221" s="72">
        <f t="shared" si="15"/>
        <v>2002</v>
      </c>
      <c r="E221" s="73">
        <f>+'IMESI Vol Físico - Series mensu'!A194</f>
        <v>37469</v>
      </c>
      <c r="F221" s="73"/>
      <c r="G221" s="74" t="str">
        <f>IF($E$11="",IF(OR($E$7="seleccione rubro",$E$9="seleccione sub - rubro"),"-",HLOOKUP((CONCATENATE($E$9,$G$17)),'IMESI Vol Físico - Series mensu'!$C$4:$FZ$306,190,0)),"-")</f>
        <v>-</v>
      </c>
      <c r="H221" s="75"/>
      <c r="I221" s="74" t="str">
        <f>IF($E$11="",IF(OR($E$7="seleccione rubro",$E$9="seleccione sub - rubro"),"-",HLOOKUP((CONCATENATE($E$9,$I$17)),'IMESI Vol Físico - Series mensu'!$C$4:$FZ$306,191,0)),"-")</f>
        <v>-</v>
      </c>
      <c r="J221" s="75"/>
      <c r="K221" s="74" t="str">
        <f>IF($E$11="",IF(OR($E$7="seleccione rubro",$E$9="seleccione sub - rubro"),"-",HLOOKUP((CONCATENATE($E$9,$K$17)),'IMESI Vol Físico - Series mensu'!$C$4:$FZ$306,191,0)),"-")</f>
        <v>-</v>
      </c>
    </row>
    <row r="222" spans="4:11" x14ac:dyDescent="0.2">
      <c r="D222" s="72">
        <f t="shared" si="15"/>
        <v>2002</v>
      </c>
      <c r="E222" s="73">
        <f>+'IMESI Vol Físico - Series mensu'!A195</f>
        <v>37500</v>
      </c>
      <c r="F222" s="73"/>
      <c r="G222" s="74" t="str">
        <f>IF($E$11="",IF(OR($E$7="seleccione rubro",$E$9="seleccione sub - rubro"),"-",HLOOKUP((CONCATENATE($E$9,$G$17)),'IMESI Vol Físico - Series mensu'!$C$4:$FZ$306,191,0)),"-")</f>
        <v>-</v>
      </c>
      <c r="H222" s="75"/>
      <c r="I222" s="74" t="str">
        <f>IF($E$11="",IF(OR($E$7="seleccione rubro",$E$9="seleccione sub - rubro"),"-",HLOOKUP((CONCATENATE($E$9,$I$17)),'IMESI Vol Físico - Series mensu'!$C$4:$FZ$306,192,0)),"-")</f>
        <v>-</v>
      </c>
      <c r="J222" s="75"/>
      <c r="K222" s="74" t="str">
        <f>IF($E$11="",IF(OR($E$7="seleccione rubro",$E$9="seleccione sub - rubro"),"-",HLOOKUP((CONCATENATE($E$9,$K$17)),'IMESI Vol Físico - Series mensu'!$C$4:$FZ$306,192,0)),"-")</f>
        <v>-</v>
      </c>
    </row>
    <row r="223" spans="4:11" x14ac:dyDescent="0.2">
      <c r="D223" s="72">
        <f t="shared" si="15"/>
        <v>2002</v>
      </c>
      <c r="E223" s="73">
        <f>+'IMESI Vol Físico - Series mensu'!A196</f>
        <v>37530</v>
      </c>
      <c r="F223" s="73"/>
      <c r="G223" s="74" t="str">
        <f>IF($E$11="",IF(OR($E$7="seleccione rubro",$E$9="seleccione sub - rubro"),"-",HLOOKUP((CONCATENATE($E$9,$G$17)),'IMESI Vol Físico - Series mensu'!$C$4:$FZ$306,192,0)),"-")</f>
        <v>-</v>
      </c>
      <c r="H223" s="75"/>
      <c r="I223" s="74" t="str">
        <f>IF($E$11="",IF(OR($E$7="seleccione rubro",$E$9="seleccione sub - rubro"),"-",HLOOKUP((CONCATENATE($E$9,$I$17)),'IMESI Vol Físico - Series mensu'!$C$4:$FZ$306,193,0)),"-")</f>
        <v>-</v>
      </c>
      <c r="J223" s="75"/>
      <c r="K223" s="74" t="str">
        <f>IF($E$11="",IF(OR($E$7="seleccione rubro",$E$9="seleccione sub - rubro"),"-",HLOOKUP((CONCATENATE($E$9,$K$17)),'IMESI Vol Físico - Series mensu'!$C$4:$FZ$306,193,0)),"-")</f>
        <v>-</v>
      </c>
    </row>
    <row r="224" spans="4:11" x14ac:dyDescent="0.2">
      <c r="D224" s="72">
        <f t="shared" si="15"/>
        <v>2002</v>
      </c>
      <c r="E224" s="73">
        <f>+'IMESI Vol Físico - Series mensu'!A197</f>
        <v>37561</v>
      </c>
      <c r="F224" s="73"/>
      <c r="G224" s="74" t="str">
        <f>IF($E$11="",IF(OR($E$7="seleccione rubro",$E$9="seleccione sub - rubro"),"-",HLOOKUP((CONCATENATE($E$9,$G$17)),'IMESI Vol Físico - Series mensu'!$C$4:$FZ$306,193,0)),"-")</f>
        <v>-</v>
      </c>
      <c r="H224" s="75"/>
      <c r="I224" s="74" t="str">
        <f>IF($E$11="",IF(OR($E$7="seleccione rubro",$E$9="seleccione sub - rubro"),"-",HLOOKUP((CONCATENATE($E$9,$I$17)),'IMESI Vol Físico - Series mensu'!$C$4:$FZ$306,194,0)),"-")</f>
        <v>-</v>
      </c>
      <c r="J224" s="75"/>
      <c r="K224" s="74" t="str">
        <f>IF($E$11="",IF(OR($E$7="seleccione rubro",$E$9="seleccione sub - rubro"),"-",HLOOKUP((CONCATENATE($E$9,$K$17)),'IMESI Vol Físico - Series mensu'!$C$4:$FZ$306,194,0)),"-")</f>
        <v>-</v>
      </c>
    </row>
    <row r="225" spans="4:11" x14ac:dyDescent="0.2">
      <c r="D225" s="72">
        <f t="shared" si="15"/>
        <v>2002</v>
      </c>
      <c r="E225" s="73">
        <f>+'IMESI Vol Físico - Series mensu'!A198</f>
        <v>37591</v>
      </c>
      <c r="F225" s="73"/>
      <c r="G225" s="74" t="str">
        <f>IF($E$11="",IF(OR($E$7="seleccione rubro",$E$9="seleccione sub - rubro"),"-",HLOOKUP((CONCATENATE($E$9,$G$17)),'IMESI Vol Físico - Series mensu'!$C$4:$FZ$306,194,0)),"-")</f>
        <v>-</v>
      </c>
      <c r="H225" s="75"/>
      <c r="I225" s="74" t="str">
        <f>IF($E$11="",IF(OR($E$7="seleccione rubro",$E$9="seleccione sub - rubro"),"-",HLOOKUP((CONCATENATE($E$9,$I$17)),'IMESI Vol Físico - Series mensu'!$C$4:$FZ$306,195,0)),"-")</f>
        <v>-</v>
      </c>
      <c r="J225" s="75"/>
      <c r="K225" s="74" t="str">
        <f>IF($E$11="",IF(OR($E$7="seleccione rubro",$E$9="seleccione sub - rubro"),"-",HLOOKUP((CONCATENATE($E$9,$K$17)),'IMESI Vol Físico - Series mensu'!$C$4:$FZ$306,195,0)),"-")</f>
        <v>-</v>
      </c>
    </row>
    <row r="226" spans="4:11" x14ac:dyDescent="0.2">
      <c r="D226" s="69">
        <f>+D227</f>
        <v>2003</v>
      </c>
      <c r="E226" s="70"/>
      <c r="F226" s="70"/>
      <c r="G226" s="74"/>
      <c r="H226" s="75"/>
      <c r="I226" s="74"/>
      <c r="J226" s="75"/>
      <c r="K226" s="74"/>
    </row>
    <row r="227" spans="4:11" x14ac:dyDescent="0.2">
      <c r="D227" s="72">
        <f>YEAR(E227)</f>
        <v>2003</v>
      </c>
      <c r="E227" s="73">
        <f>+'IMESI Vol Físico - Series mensu'!A199</f>
        <v>37622</v>
      </c>
      <c r="F227" s="73"/>
      <c r="G227" s="74" t="str">
        <f>IF($E$11="",IF(OR($E$7="seleccione rubro",$E$9="seleccione sub - rubro"),"-",HLOOKUP((CONCATENATE($E$9,$G$17)),'IMESI Vol Físico - Series mensu'!$C$4:$FZ$306,195,0)),"-")</f>
        <v>-</v>
      </c>
      <c r="H227" s="75"/>
      <c r="I227" s="74" t="str">
        <f>IF($E$11="",IF(OR($E$7="seleccione rubro",$E$9="seleccione sub - rubro"),"-",HLOOKUP((CONCATENATE($E$9,$I$17)),'IMESI Vol Físico - Series mensu'!$C$4:$FZ$306,196,0)),"-")</f>
        <v>-</v>
      </c>
      <c r="J227" s="75"/>
      <c r="K227" s="74" t="str">
        <f>IF($E$11="",IF(OR($E$7="seleccione rubro",$E$9="seleccione sub - rubro"),"-",HLOOKUP((CONCATENATE($E$9,$K$17)),'IMESI Vol Físico - Series mensu'!$C$4:$FZ$306,196,0)),"-")</f>
        <v>-</v>
      </c>
    </row>
    <row r="228" spans="4:11" x14ac:dyDescent="0.2">
      <c r="D228" s="72">
        <f t="shared" ref="D228:D238" si="16">YEAR(E228)</f>
        <v>2003</v>
      </c>
      <c r="E228" s="73">
        <f>+'IMESI Vol Físico - Series mensu'!A200</f>
        <v>37653</v>
      </c>
      <c r="F228" s="73"/>
      <c r="G228" s="74" t="str">
        <f>IF($E$11="",IF(OR($E$7="seleccione rubro",$E$9="seleccione sub - rubro"),"-",HLOOKUP((CONCATENATE($E$9,$G$17)),'IMESI Vol Físico - Series mensu'!$C$4:$FZ$306,196,0)),"-")</f>
        <v>-</v>
      </c>
      <c r="H228" s="75"/>
      <c r="I228" s="74" t="str">
        <f>IF($E$11="",IF(OR($E$7="seleccione rubro",$E$9="seleccione sub - rubro"),"-",HLOOKUP((CONCATENATE($E$9,$I$17)),'IMESI Vol Físico - Series mensu'!$C$4:$FZ$306,197,0)),"-")</f>
        <v>-</v>
      </c>
      <c r="J228" s="75"/>
      <c r="K228" s="74" t="str">
        <f>IF($E$11="",IF(OR($E$7="seleccione rubro",$E$9="seleccione sub - rubro"),"-",HLOOKUP((CONCATENATE($E$9,$K$17)),'IMESI Vol Físico - Series mensu'!$C$4:$FZ$306,197,0)),"-")</f>
        <v>-</v>
      </c>
    </row>
    <row r="229" spans="4:11" x14ac:dyDescent="0.2">
      <c r="D229" s="72">
        <f t="shared" si="16"/>
        <v>2003</v>
      </c>
      <c r="E229" s="73">
        <f>+'IMESI Vol Físico - Series mensu'!A201</f>
        <v>37681</v>
      </c>
      <c r="F229" s="73"/>
      <c r="G229" s="74" t="str">
        <f>IF($E$11="",IF(OR($E$7="seleccione rubro",$E$9="seleccione sub - rubro"),"-",HLOOKUP((CONCATENATE($E$9,$G$17)),'IMESI Vol Físico - Series mensu'!$C$4:$FZ$306,197,0)),"-")</f>
        <v>-</v>
      </c>
      <c r="H229" s="75"/>
      <c r="I229" s="74" t="str">
        <f>IF($E$11="",IF(OR($E$7="seleccione rubro",$E$9="seleccione sub - rubro"),"-",HLOOKUP((CONCATENATE($E$9,$I$17)),'IMESI Vol Físico - Series mensu'!$C$4:$FZ$306,198,0)),"-")</f>
        <v>-</v>
      </c>
      <c r="J229" s="75"/>
      <c r="K229" s="74" t="str">
        <f>IF($E$11="",IF(OR($E$7="seleccione rubro",$E$9="seleccione sub - rubro"),"-",HLOOKUP((CONCATENATE($E$9,$K$17)),'IMESI Vol Físico - Series mensu'!$C$4:$FZ$306,198,0)),"-")</f>
        <v>-</v>
      </c>
    </row>
    <row r="230" spans="4:11" x14ac:dyDescent="0.2">
      <c r="D230" s="72">
        <f t="shared" si="16"/>
        <v>2003</v>
      </c>
      <c r="E230" s="73">
        <f>+'IMESI Vol Físico - Series mensu'!A202</f>
        <v>37712</v>
      </c>
      <c r="F230" s="73"/>
      <c r="G230" s="74" t="str">
        <f>IF($E$11="",IF(OR($E$7="seleccione rubro",$E$9="seleccione sub - rubro"),"-",HLOOKUP((CONCATENATE($E$9,$G$17)),'IMESI Vol Físico - Series mensu'!$C$4:$FZ$306,198,0)),"-")</f>
        <v>-</v>
      </c>
      <c r="H230" s="75"/>
      <c r="I230" s="74" t="str">
        <f>IF($E$11="",IF(OR($E$7="seleccione rubro",$E$9="seleccione sub - rubro"),"-",HLOOKUP((CONCATENATE($E$9,$I$17)),'IMESI Vol Físico - Series mensu'!$C$4:$FZ$306,199,0)),"-")</f>
        <v>-</v>
      </c>
      <c r="J230" s="75"/>
      <c r="K230" s="74" t="str">
        <f>IF($E$11="",IF(OR($E$7="seleccione rubro",$E$9="seleccione sub - rubro"),"-",HLOOKUP((CONCATENATE($E$9,$K$17)),'IMESI Vol Físico - Series mensu'!$C$4:$FZ$306,199,0)),"-")</f>
        <v>-</v>
      </c>
    </row>
    <row r="231" spans="4:11" x14ac:dyDescent="0.2">
      <c r="D231" s="72">
        <f t="shared" si="16"/>
        <v>2003</v>
      </c>
      <c r="E231" s="73">
        <f>+'IMESI Vol Físico - Series mensu'!A203</f>
        <v>37742</v>
      </c>
      <c r="F231" s="73"/>
      <c r="G231" s="74" t="str">
        <f>IF($E$11="",IF(OR($E$7="seleccione rubro",$E$9="seleccione sub - rubro"),"-",HLOOKUP((CONCATENATE($E$9,$G$17)),'IMESI Vol Físico - Series mensu'!$C$4:$FZ$306,199,0)),"-")</f>
        <v>-</v>
      </c>
      <c r="H231" s="75"/>
      <c r="I231" s="74" t="str">
        <f>IF($E$11="",IF(OR($E$7="seleccione rubro",$E$9="seleccione sub - rubro"),"-",HLOOKUP((CONCATENATE($E$9,$I$17)),'IMESI Vol Físico - Series mensu'!$C$4:$FZ$306,200,0)),"-")</f>
        <v>-</v>
      </c>
      <c r="J231" s="75"/>
      <c r="K231" s="74" t="str">
        <f>IF($E$11="",IF(OR($E$7="seleccione rubro",$E$9="seleccione sub - rubro"),"-",HLOOKUP((CONCATENATE($E$9,$K$17)),'IMESI Vol Físico - Series mensu'!$C$4:$FZ$306,200,0)),"-")</f>
        <v>-</v>
      </c>
    </row>
    <row r="232" spans="4:11" x14ac:dyDescent="0.2">
      <c r="D232" s="72">
        <f t="shared" si="16"/>
        <v>2003</v>
      </c>
      <c r="E232" s="73">
        <f>+'IMESI Vol Físico - Series mensu'!A204</f>
        <v>37773</v>
      </c>
      <c r="F232" s="73"/>
      <c r="G232" s="74" t="str">
        <f>IF($E$11="",IF(OR($E$7="seleccione rubro",$E$9="seleccione sub - rubro"),"-",HLOOKUP((CONCATENATE($E$9,$G$17)),'IMESI Vol Físico - Series mensu'!$C$4:$FZ$306,200,0)),"-")</f>
        <v>-</v>
      </c>
      <c r="H232" s="75"/>
      <c r="I232" s="74" t="str">
        <f>IF($E$11="",IF(OR($E$7="seleccione rubro",$E$9="seleccione sub - rubro"),"-",HLOOKUP((CONCATENATE($E$9,$I$17)),'IMESI Vol Físico - Series mensu'!$C$4:$FZ$306,201,0)),"-")</f>
        <v>-</v>
      </c>
      <c r="J232" s="75"/>
      <c r="K232" s="74" t="str">
        <f>IF($E$11="",IF(OR($E$7="seleccione rubro",$E$9="seleccione sub - rubro"),"-",HLOOKUP((CONCATENATE($E$9,$K$17)),'IMESI Vol Físico - Series mensu'!$C$4:$FZ$306,201,0)),"-")</f>
        <v>-</v>
      </c>
    </row>
    <row r="233" spans="4:11" x14ac:dyDescent="0.2">
      <c r="D233" s="72">
        <f t="shared" si="16"/>
        <v>2003</v>
      </c>
      <c r="E233" s="73">
        <f>+'IMESI Vol Físico - Series mensu'!A205</f>
        <v>37803</v>
      </c>
      <c r="F233" s="73"/>
      <c r="G233" s="74" t="str">
        <f>IF($E$11="",IF(OR($E$7="seleccione rubro",$E$9="seleccione sub - rubro"),"-",HLOOKUP((CONCATENATE($E$9,$G$17)),'IMESI Vol Físico - Series mensu'!$C$4:$FZ$306,201,0)),"-")</f>
        <v>-</v>
      </c>
      <c r="H233" s="75"/>
      <c r="I233" s="74" t="str">
        <f>IF($E$11="",IF(OR($E$7="seleccione rubro",$E$9="seleccione sub - rubro"),"-",HLOOKUP((CONCATENATE($E$9,$I$17)),'IMESI Vol Físico - Series mensu'!$C$4:$FZ$306,202,0)),"-")</f>
        <v>-</v>
      </c>
      <c r="J233" s="75"/>
      <c r="K233" s="74" t="str">
        <f>IF($E$11="",IF(OR($E$7="seleccione rubro",$E$9="seleccione sub - rubro"),"-",HLOOKUP((CONCATENATE($E$9,$K$17)),'IMESI Vol Físico - Series mensu'!$C$4:$FZ$306,202,0)),"-")</f>
        <v>-</v>
      </c>
    </row>
    <row r="234" spans="4:11" x14ac:dyDescent="0.2">
      <c r="D234" s="72">
        <f t="shared" si="16"/>
        <v>2003</v>
      </c>
      <c r="E234" s="73">
        <f>+'IMESI Vol Físico - Series mensu'!A206</f>
        <v>37834</v>
      </c>
      <c r="F234" s="73"/>
      <c r="G234" s="74" t="str">
        <f>IF($E$11="",IF(OR($E$7="seleccione rubro",$E$9="seleccione sub - rubro"),"-",HLOOKUP((CONCATENATE($E$9,$G$17)),'IMESI Vol Físico - Series mensu'!$C$4:$FZ$306,202,0)),"-")</f>
        <v>-</v>
      </c>
      <c r="H234" s="75"/>
      <c r="I234" s="74" t="str">
        <f>IF($E$11="",IF(OR($E$7="seleccione rubro",$E$9="seleccione sub - rubro"),"-",HLOOKUP((CONCATENATE($E$9,$I$17)),'IMESI Vol Físico - Series mensu'!$C$4:$FZ$306,203,0)),"-")</f>
        <v>-</v>
      </c>
      <c r="J234" s="75"/>
      <c r="K234" s="74" t="str">
        <f>IF($E$11="",IF(OR($E$7="seleccione rubro",$E$9="seleccione sub - rubro"),"-",HLOOKUP((CONCATENATE($E$9,$K$17)),'IMESI Vol Físico - Series mensu'!$C$4:$FZ$306,203,0)),"-")</f>
        <v>-</v>
      </c>
    </row>
    <row r="235" spans="4:11" x14ac:dyDescent="0.2">
      <c r="D235" s="72">
        <f t="shared" si="16"/>
        <v>2003</v>
      </c>
      <c r="E235" s="73">
        <f>+'IMESI Vol Físico - Series mensu'!A207</f>
        <v>37865</v>
      </c>
      <c r="F235" s="73"/>
      <c r="G235" s="74" t="str">
        <f>IF($E$11="",IF(OR($E$7="seleccione rubro",$E$9="seleccione sub - rubro"),"-",HLOOKUP((CONCATENATE($E$9,$G$17)),'IMESI Vol Físico - Series mensu'!$C$4:$FZ$306,203,0)),"-")</f>
        <v>-</v>
      </c>
      <c r="H235" s="75"/>
      <c r="I235" s="74" t="str">
        <f>IF($E$11="",IF(OR($E$7="seleccione rubro",$E$9="seleccione sub - rubro"),"-",HLOOKUP((CONCATENATE($E$9,$I$17)),'IMESI Vol Físico - Series mensu'!$C$4:$FZ$306,204,0)),"-")</f>
        <v>-</v>
      </c>
      <c r="J235" s="75"/>
      <c r="K235" s="74" t="str">
        <f>IF($E$11="",IF(OR($E$7="seleccione rubro",$E$9="seleccione sub - rubro"),"-",HLOOKUP((CONCATENATE($E$9,$K$17)),'IMESI Vol Físico - Series mensu'!$C$4:$FZ$306,204,0)),"-")</f>
        <v>-</v>
      </c>
    </row>
    <row r="236" spans="4:11" x14ac:dyDescent="0.2">
      <c r="D236" s="72">
        <f t="shared" si="16"/>
        <v>2003</v>
      </c>
      <c r="E236" s="73">
        <f>+'IMESI Vol Físico - Series mensu'!A208</f>
        <v>37895</v>
      </c>
      <c r="F236" s="73"/>
      <c r="G236" s="74" t="str">
        <f>IF($E$11="",IF(OR($E$7="seleccione rubro",$E$9="seleccione sub - rubro"),"-",HLOOKUP((CONCATENATE($E$9,$G$17)),'IMESI Vol Físico - Series mensu'!$C$4:$FZ$306,204,0)),"-")</f>
        <v>-</v>
      </c>
      <c r="H236" s="75"/>
      <c r="I236" s="74" t="str">
        <f>IF($E$11="",IF(OR($E$7="seleccione rubro",$E$9="seleccione sub - rubro"),"-",HLOOKUP((CONCATENATE($E$9,$I$17)),'IMESI Vol Físico - Series mensu'!$C$4:$FZ$306,205,0)),"-")</f>
        <v>-</v>
      </c>
      <c r="J236" s="75"/>
      <c r="K236" s="74" t="str">
        <f>IF($E$11="",IF(OR($E$7="seleccione rubro",$E$9="seleccione sub - rubro"),"-",HLOOKUP((CONCATENATE($E$9,$K$17)),'IMESI Vol Físico - Series mensu'!$C$4:$FZ$306,205,0)),"-")</f>
        <v>-</v>
      </c>
    </row>
    <row r="237" spans="4:11" x14ac:dyDescent="0.2">
      <c r="D237" s="72">
        <f t="shared" si="16"/>
        <v>2003</v>
      </c>
      <c r="E237" s="73">
        <f>+'IMESI Vol Físico - Series mensu'!A209</f>
        <v>37926</v>
      </c>
      <c r="F237" s="73"/>
      <c r="G237" s="74" t="str">
        <f>IF($E$11="",IF(OR($E$7="seleccione rubro",$E$9="seleccione sub - rubro"),"-",HLOOKUP((CONCATENATE($E$9,$G$17)),'IMESI Vol Físico - Series mensu'!$C$4:$FZ$306,205,0)),"-")</f>
        <v>-</v>
      </c>
      <c r="H237" s="75"/>
      <c r="I237" s="74" t="str">
        <f>IF($E$11="",IF(OR($E$7="seleccione rubro",$E$9="seleccione sub - rubro"),"-",HLOOKUP((CONCATENATE($E$9,$I$17)),'IMESI Vol Físico - Series mensu'!$C$4:$FZ$306,206,0)),"-")</f>
        <v>-</v>
      </c>
      <c r="J237" s="75"/>
      <c r="K237" s="74" t="str">
        <f>IF($E$11="",IF(OR($E$7="seleccione rubro",$E$9="seleccione sub - rubro"),"-",HLOOKUP((CONCATENATE($E$9,$K$17)),'IMESI Vol Físico - Series mensu'!$C$4:$FZ$306,206,0)),"-")</f>
        <v>-</v>
      </c>
    </row>
    <row r="238" spans="4:11" x14ac:dyDescent="0.2">
      <c r="D238" s="72">
        <f t="shared" si="16"/>
        <v>2003</v>
      </c>
      <c r="E238" s="73">
        <f>+'IMESI Vol Físico - Series mensu'!A210</f>
        <v>37956</v>
      </c>
      <c r="F238" s="73"/>
      <c r="G238" s="74" t="str">
        <f>IF($E$11="",IF(OR($E$7="seleccione rubro",$E$9="seleccione sub - rubro"),"-",HLOOKUP((CONCATENATE($E$9,$G$17)),'IMESI Vol Físico - Series mensu'!$C$4:$FZ$306,206,0)),"-")</f>
        <v>-</v>
      </c>
      <c r="H238" s="75"/>
      <c r="I238" s="74" t="str">
        <f>IF($E$11="",IF(OR($E$7="seleccione rubro",$E$9="seleccione sub - rubro"),"-",HLOOKUP((CONCATENATE($E$9,$I$17)),'IMESI Vol Físico - Series mensu'!$C$4:$FZ$306,207,0)),"-")</f>
        <v>-</v>
      </c>
      <c r="J238" s="75"/>
      <c r="K238" s="74" t="str">
        <f>IF($E$11="",IF(OR($E$7="seleccione rubro",$E$9="seleccione sub - rubro"),"-",HLOOKUP((CONCATENATE($E$9,$K$17)),'IMESI Vol Físico - Series mensu'!$C$4:$FZ$306,207,0)),"-")</f>
        <v>-</v>
      </c>
    </row>
    <row r="239" spans="4:11" x14ac:dyDescent="0.2">
      <c r="D239" s="69">
        <f>+D240</f>
        <v>2004</v>
      </c>
      <c r="E239" s="70"/>
      <c r="F239" s="70"/>
      <c r="G239" s="74"/>
      <c r="H239" s="75"/>
      <c r="I239" s="74"/>
      <c r="J239" s="75"/>
      <c r="K239" s="74"/>
    </row>
    <row r="240" spans="4:11" x14ac:dyDescent="0.2">
      <c r="D240" s="72">
        <f>YEAR(E240)</f>
        <v>2004</v>
      </c>
      <c r="E240" s="73">
        <f>+'IMESI Vol Físico - Series mensu'!A211</f>
        <v>37987</v>
      </c>
      <c r="F240" s="73"/>
      <c r="G240" s="74" t="str">
        <f>IF($E$11="",IF(OR($E$7="seleccione rubro",$E$9="seleccione sub - rubro"),"-",HLOOKUP((CONCATENATE($E$9,$G$17)),'IMESI Vol Físico - Series mensu'!$C$4:$FZ$306,207,0)),"-")</f>
        <v>-</v>
      </c>
      <c r="H240" s="75"/>
      <c r="I240" s="74" t="str">
        <f>IF($E$11="",IF(OR($E$7="seleccione rubro",$E$9="seleccione sub - rubro"),"-",HLOOKUP((CONCATENATE($E$9,$I$17)),'IMESI Vol Físico - Series mensu'!$C$4:$FZ$306,208,0)),"-")</f>
        <v>-</v>
      </c>
      <c r="J240" s="75"/>
      <c r="K240" s="74" t="str">
        <f>IF($E$11="",IF(OR($E$7="seleccione rubro",$E$9="seleccione sub - rubro"),"-",HLOOKUP((CONCATENATE($E$9,$K$17)),'IMESI Vol Físico - Series mensu'!$C$4:$FZ$306,208,0)),"-")</f>
        <v>-</v>
      </c>
    </row>
    <row r="241" spans="4:11" x14ac:dyDescent="0.2">
      <c r="D241" s="72">
        <f t="shared" ref="D241:D251" si="17">YEAR(E241)</f>
        <v>2004</v>
      </c>
      <c r="E241" s="73">
        <f>+'IMESI Vol Físico - Series mensu'!A212</f>
        <v>38018</v>
      </c>
      <c r="F241" s="73"/>
      <c r="G241" s="74" t="str">
        <f>IF($E$11="",IF(OR($E$7="seleccione rubro",$E$9="seleccione sub - rubro"),"-",HLOOKUP((CONCATENATE($E$9,$G$17)),'IMESI Vol Físico - Series mensu'!$C$4:$FZ$306,208,0)),"-")</f>
        <v>-</v>
      </c>
      <c r="H241" s="75"/>
      <c r="I241" s="74" t="str">
        <f>IF($E$11="",IF(OR($E$7="seleccione rubro",$E$9="seleccione sub - rubro"),"-",HLOOKUP((CONCATENATE($E$9,$I$17)),'IMESI Vol Físico - Series mensu'!$C$4:$FZ$306,209,0)),"-")</f>
        <v>-</v>
      </c>
      <c r="J241" s="75"/>
      <c r="K241" s="74" t="str">
        <f>IF($E$11="",IF(OR($E$7="seleccione rubro",$E$9="seleccione sub - rubro"),"-",HLOOKUP((CONCATENATE($E$9,$K$17)),'IMESI Vol Físico - Series mensu'!$C$4:$FZ$306,209,0)),"-")</f>
        <v>-</v>
      </c>
    </row>
    <row r="242" spans="4:11" x14ac:dyDescent="0.2">
      <c r="D242" s="72">
        <f t="shared" si="17"/>
        <v>2004</v>
      </c>
      <c r="E242" s="73">
        <f>+'IMESI Vol Físico - Series mensu'!A213</f>
        <v>38047</v>
      </c>
      <c r="F242" s="73"/>
      <c r="G242" s="74" t="str">
        <f>IF($E$11="",IF(OR($E$7="seleccione rubro",$E$9="seleccione sub - rubro"),"-",HLOOKUP((CONCATENATE($E$9,$G$17)),'IMESI Vol Físico - Series mensu'!$C$4:$FZ$306,209,0)),"-")</f>
        <v>-</v>
      </c>
      <c r="H242" s="75"/>
      <c r="I242" s="74" t="str">
        <f>IF($E$11="",IF(OR($E$7="seleccione rubro",$E$9="seleccione sub - rubro"),"-",HLOOKUP((CONCATENATE($E$9,$I$17)),'IMESI Vol Físico - Series mensu'!$C$4:$FZ$306,210,0)),"-")</f>
        <v>-</v>
      </c>
      <c r="J242" s="75"/>
      <c r="K242" s="74" t="str">
        <f>IF($E$11="",IF(OR($E$7="seleccione rubro",$E$9="seleccione sub - rubro"),"-",HLOOKUP((CONCATENATE($E$9,$K$17)),'IMESI Vol Físico - Series mensu'!$C$4:$FZ$306,210,0)),"-")</f>
        <v>-</v>
      </c>
    </row>
    <row r="243" spans="4:11" x14ac:dyDescent="0.2">
      <c r="D243" s="72">
        <f t="shared" si="17"/>
        <v>2004</v>
      </c>
      <c r="E243" s="73">
        <f>+'IMESI Vol Físico - Series mensu'!A214</f>
        <v>38078</v>
      </c>
      <c r="F243" s="73"/>
      <c r="G243" s="74" t="str">
        <f>IF($E$11="",IF(OR($E$7="seleccione rubro",$E$9="seleccione sub - rubro"),"-",HLOOKUP((CONCATENATE($E$9,$G$17)),'IMESI Vol Físico - Series mensu'!$C$4:$FZ$306,210,0)),"-")</f>
        <v>-</v>
      </c>
      <c r="H243" s="75"/>
      <c r="I243" s="74" t="str">
        <f>IF($E$11="",IF(OR($E$7="seleccione rubro",$E$9="seleccione sub - rubro"),"-",HLOOKUP((CONCATENATE($E$9,$I$17)),'IMESI Vol Físico - Series mensu'!$C$4:$FZ$306,211,0)),"-")</f>
        <v>-</v>
      </c>
      <c r="J243" s="75"/>
      <c r="K243" s="74" t="str">
        <f>IF($E$11="",IF(OR($E$7="seleccione rubro",$E$9="seleccione sub - rubro"),"-",HLOOKUP((CONCATENATE($E$9,$K$17)),'IMESI Vol Físico - Series mensu'!$C$4:$FZ$306,211,0)),"-")</f>
        <v>-</v>
      </c>
    </row>
    <row r="244" spans="4:11" x14ac:dyDescent="0.2">
      <c r="D244" s="72">
        <f t="shared" si="17"/>
        <v>2004</v>
      </c>
      <c r="E244" s="73">
        <f>+'IMESI Vol Físico - Series mensu'!A215</f>
        <v>38108</v>
      </c>
      <c r="F244" s="73"/>
      <c r="G244" s="74" t="str">
        <f>IF($E$11="",IF(OR($E$7="seleccione rubro",$E$9="seleccione sub - rubro"),"-",HLOOKUP((CONCATENATE($E$9,$G$17)),'IMESI Vol Físico - Series mensu'!$C$4:$FZ$306,211,0)),"-")</f>
        <v>-</v>
      </c>
      <c r="H244" s="75"/>
      <c r="I244" s="74" t="str">
        <f>IF($E$11="",IF(OR($E$7="seleccione rubro",$E$9="seleccione sub - rubro"),"-",HLOOKUP((CONCATENATE($E$9,$I$17)),'IMESI Vol Físico - Series mensu'!$C$4:$FZ$306,212,0)),"-")</f>
        <v>-</v>
      </c>
      <c r="J244" s="75"/>
      <c r="K244" s="74" t="str">
        <f>IF($E$11="",IF(OR($E$7="seleccione rubro",$E$9="seleccione sub - rubro"),"-",HLOOKUP((CONCATENATE($E$9,$K$17)),'IMESI Vol Físico - Series mensu'!$C$4:$FZ$306,212,0)),"-")</f>
        <v>-</v>
      </c>
    </row>
    <row r="245" spans="4:11" x14ac:dyDescent="0.2">
      <c r="D245" s="72">
        <f t="shared" si="17"/>
        <v>2004</v>
      </c>
      <c r="E245" s="73">
        <f>+'IMESI Vol Físico - Series mensu'!A216</f>
        <v>38139</v>
      </c>
      <c r="F245" s="73"/>
      <c r="G245" s="74" t="str">
        <f>IF($E$11="",IF(OR($E$7="seleccione rubro",$E$9="seleccione sub - rubro"),"-",HLOOKUP((CONCATENATE($E$9,$G$17)),'IMESI Vol Físico - Series mensu'!$C$4:$FZ$306,212,0)),"-")</f>
        <v>-</v>
      </c>
      <c r="H245" s="75"/>
      <c r="I245" s="74" t="str">
        <f>IF($E$11="",IF(OR($E$7="seleccione rubro",$E$9="seleccione sub - rubro"),"-",HLOOKUP((CONCATENATE($E$9,$I$17)),'IMESI Vol Físico - Series mensu'!$C$4:$FZ$306,213,0)),"-")</f>
        <v>-</v>
      </c>
      <c r="J245" s="75"/>
      <c r="K245" s="74" t="str">
        <f>IF($E$11="",IF(OR($E$7="seleccione rubro",$E$9="seleccione sub - rubro"),"-",HLOOKUP((CONCATENATE($E$9,$K$17)),'IMESI Vol Físico - Series mensu'!$C$4:$FZ$306,213,0)),"-")</f>
        <v>-</v>
      </c>
    </row>
    <row r="246" spans="4:11" x14ac:dyDescent="0.2">
      <c r="D246" s="72">
        <f t="shared" si="17"/>
        <v>2004</v>
      </c>
      <c r="E246" s="73">
        <f>+'IMESI Vol Físico - Series mensu'!A217</f>
        <v>38169</v>
      </c>
      <c r="F246" s="73"/>
      <c r="G246" s="74" t="str">
        <f>IF($E$11="",IF(OR($E$7="seleccione rubro",$E$9="seleccione sub - rubro"),"-",HLOOKUP((CONCATENATE($E$9,$G$17)),'IMESI Vol Físico - Series mensu'!$C$4:$FZ$306,213,0)),"-")</f>
        <v>-</v>
      </c>
      <c r="H246" s="75"/>
      <c r="I246" s="74" t="str">
        <f>IF($E$11="",IF(OR($E$7="seleccione rubro",$E$9="seleccione sub - rubro"),"-",HLOOKUP((CONCATENATE($E$9,$I$17)),'IMESI Vol Físico - Series mensu'!$C$4:$FZ$306,214,0)),"-")</f>
        <v>-</v>
      </c>
      <c r="J246" s="75"/>
      <c r="K246" s="74" t="str">
        <f>IF($E$11="",IF(OR($E$7="seleccione rubro",$E$9="seleccione sub - rubro"),"-",HLOOKUP((CONCATENATE($E$9,$K$17)),'IMESI Vol Físico - Series mensu'!$C$4:$FZ$306,214,0)),"-")</f>
        <v>-</v>
      </c>
    </row>
    <row r="247" spans="4:11" x14ac:dyDescent="0.2">
      <c r="D247" s="72">
        <f t="shared" si="17"/>
        <v>2004</v>
      </c>
      <c r="E247" s="73">
        <f>+'IMESI Vol Físico - Series mensu'!A218</f>
        <v>38200</v>
      </c>
      <c r="F247" s="73"/>
      <c r="G247" s="74" t="str">
        <f>IF($E$11="",IF(OR($E$7="seleccione rubro",$E$9="seleccione sub - rubro"),"-",HLOOKUP((CONCATENATE($E$9,$G$17)),'IMESI Vol Físico - Series mensu'!$C$4:$FZ$306,214,0)),"-")</f>
        <v>-</v>
      </c>
      <c r="H247" s="75"/>
      <c r="I247" s="74" t="str">
        <f>IF($E$11="",IF(OR($E$7="seleccione rubro",$E$9="seleccione sub - rubro"),"-",HLOOKUP((CONCATENATE($E$9,$I$17)),'IMESI Vol Físico - Series mensu'!$C$4:$FZ$306,215,0)),"-")</f>
        <v>-</v>
      </c>
      <c r="J247" s="75"/>
      <c r="K247" s="74" t="str">
        <f>IF($E$11="",IF(OR($E$7="seleccione rubro",$E$9="seleccione sub - rubro"),"-",HLOOKUP((CONCATENATE($E$9,$K$17)),'IMESI Vol Físico - Series mensu'!$C$4:$FZ$306,215,0)),"-")</f>
        <v>-</v>
      </c>
    </row>
    <row r="248" spans="4:11" x14ac:dyDescent="0.2">
      <c r="D248" s="72">
        <f t="shared" si="17"/>
        <v>2004</v>
      </c>
      <c r="E248" s="73">
        <f>+'IMESI Vol Físico - Series mensu'!A219</f>
        <v>38231</v>
      </c>
      <c r="F248" s="73"/>
      <c r="G248" s="74" t="str">
        <f>IF($E$11="",IF(OR($E$7="seleccione rubro",$E$9="seleccione sub - rubro"),"-",HLOOKUP((CONCATENATE($E$9,$G$17)),'IMESI Vol Físico - Series mensu'!$C$4:$FZ$306,215,0)),"-")</f>
        <v>-</v>
      </c>
      <c r="H248" s="75"/>
      <c r="I248" s="74" t="str">
        <f>IF($E$11="",IF(OR($E$7="seleccione rubro",$E$9="seleccione sub - rubro"),"-",HLOOKUP((CONCATENATE($E$9,$I$17)),'IMESI Vol Físico - Series mensu'!$C$4:$FZ$306,216,0)),"-")</f>
        <v>-</v>
      </c>
      <c r="J248" s="75"/>
      <c r="K248" s="74" t="str">
        <f>IF($E$11="",IF(OR($E$7="seleccione rubro",$E$9="seleccione sub - rubro"),"-",HLOOKUP((CONCATENATE($E$9,$K$17)),'IMESI Vol Físico - Series mensu'!$C$4:$FZ$306,216,0)),"-")</f>
        <v>-</v>
      </c>
    </row>
    <row r="249" spans="4:11" x14ac:dyDescent="0.2">
      <c r="D249" s="72">
        <f t="shared" si="17"/>
        <v>2004</v>
      </c>
      <c r="E249" s="73">
        <f>+'IMESI Vol Físico - Series mensu'!A220</f>
        <v>38261</v>
      </c>
      <c r="F249" s="73"/>
      <c r="G249" s="74" t="str">
        <f>IF($E$11="",IF(OR($E$7="seleccione rubro",$E$9="seleccione sub - rubro"),"-",HLOOKUP((CONCATENATE($E$9,$G$17)),'IMESI Vol Físico - Series mensu'!$C$4:$FZ$306,216,0)),"-")</f>
        <v>-</v>
      </c>
      <c r="H249" s="75"/>
      <c r="I249" s="74" t="str">
        <f>IF($E$11="",IF(OR($E$7="seleccione rubro",$E$9="seleccione sub - rubro"),"-",HLOOKUP((CONCATENATE($E$9,$I$17)),'IMESI Vol Físico - Series mensu'!$C$4:$FZ$306,217,0)),"-")</f>
        <v>-</v>
      </c>
      <c r="J249" s="75"/>
      <c r="K249" s="74" t="str">
        <f>IF($E$11="",IF(OR($E$7="seleccione rubro",$E$9="seleccione sub - rubro"),"-",HLOOKUP((CONCATENATE($E$9,$K$17)),'IMESI Vol Físico - Series mensu'!$C$4:$FZ$306,217,0)),"-")</f>
        <v>-</v>
      </c>
    </row>
    <row r="250" spans="4:11" x14ac:dyDescent="0.2">
      <c r="D250" s="72">
        <f t="shared" si="17"/>
        <v>2004</v>
      </c>
      <c r="E250" s="73">
        <f>+'IMESI Vol Físico - Series mensu'!A221</f>
        <v>38292</v>
      </c>
      <c r="F250" s="73"/>
      <c r="G250" s="74" t="str">
        <f>IF($E$11="",IF(OR($E$7="seleccione rubro",$E$9="seleccione sub - rubro"),"-",HLOOKUP((CONCATENATE($E$9,$G$17)),'IMESI Vol Físico - Series mensu'!$C$4:$FZ$306,217,0)),"-")</f>
        <v>-</v>
      </c>
      <c r="H250" s="75"/>
      <c r="I250" s="74" t="str">
        <f>IF($E$11="",IF(OR($E$7="seleccione rubro",$E$9="seleccione sub - rubro"),"-",HLOOKUP((CONCATENATE($E$9,$I$17)),'IMESI Vol Físico - Series mensu'!$C$4:$FZ$306,218,0)),"-")</f>
        <v>-</v>
      </c>
      <c r="J250" s="75"/>
      <c r="K250" s="74" t="str">
        <f>IF($E$11="",IF(OR($E$7="seleccione rubro",$E$9="seleccione sub - rubro"),"-",HLOOKUP((CONCATENATE($E$9,$K$17)),'IMESI Vol Físico - Series mensu'!$C$4:$FZ$306,218,0)),"-")</f>
        <v>-</v>
      </c>
    </row>
    <row r="251" spans="4:11" x14ac:dyDescent="0.2">
      <c r="D251" s="72">
        <f t="shared" si="17"/>
        <v>2004</v>
      </c>
      <c r="E251" s="73">
        <f>+'IMESI Vol Físico - Series mensu'!A222</f>
        <v>38322</v>
      </c>
      <c r="F251" s="73"/>
      <c r="G251" s="74" t="str">
        <f>IF($E$11="",IF(OR($E$7="seleccione rubro",$E$9="seleccione sub - rubro"),"-",HLOOKUP((CONCATENATE($E$9,$G$17)),'IMESI Vol Físico - Series mensu'!$C$4:$FZ$306,218,0)),"-")</f>
        <v>-</v>
      </c>
      <c r="H251" s="75"/>
      <c r="I251" s="74" t="str">
        <f>IF($E$11="",IF(OR($E$7="seleccione rubro",$E$9="seleccione sub - rubro"),"-",HLOOKUP((CONCATENATE($E$9,$I$17)),'IMESI Vol Físico - Series mensu'!$C$4:$FZ$306,219,0)),"-")</f>
        <v>-</v>
      </c>
      <c r="J251" s="75"/>
      <c r="K251" s="74" t="str">
        <f>IF($E$11="",IF(OR($E$7="seleccione rubro",$E$9="seleccione sub - rubro"),"-",HLOOKUP((CONCATENATE($E$9,$K$17)),'IMESI Vol Físico - Series mensu'!$C$4:$FZ$306,219,0)),"-")</f>
        <v>-</v>
      </c>
    </row>
    <row r="252" spans="4:11" x14ac:dyDescent="0.2">
      <c r="D252" s="69">
        <f>+D253</f>
        <v>2005</v>
      </c>
      <c r="E252" s="70"/>
      <c r="F252" s="70"/>
      <c r="G252" s="74"/>
      <c r="H252" s="75"/>
      <c r="I252" s="74"/>
      <c r="J252" s="75"/>
      <c r="K252" s="74"/>
    </row>
    <row r="253" spans="4:11" x14ac:dyDescent="0.2">
      <c r="D253" s="72">
        <f>YEAR(E253)</f>
        <v>2005</v>
      </c>
      <c r="E253" s="73">
        <f>+'IMESI Vol Físico - Series mensu'!A223</f>
        <v>38353</v>
      </c>
      <c r="F253" s="73"/>
      <c r="G253" s="74" t="str">
        <f>IF($E$11="",IF(OR($E$7="seleccione rubro",$E$9="seleccione sub - rubro"),"-",HLOOKUP((CONCATENATE($E$9,$G$17)),'IMESI Vol Físico - Series mensu'!$C$4:$FZ$306,219,0)),"-")</f>
        <v>-</v>
      </c>
      <c r="H253" s="75"/>
      <c r="I253" s="74" t="str">
        <f>IF($E$11="",IF(OR($E$7="seleccione rubro",$E$9="seleccione sub - rubro"),"-",HLOOKUP((CONCATENATE($E$9,$I$17)),'IMESI Vol Físico - Series mensu'!$C$4:$FZ$306,220,0)),"-")</f>
        <v>-</v>
      </c>
      <c r="J253" s="75"/>
      <c r="K253" s="74" t="str">
        <f>IF($E$11="",IF(OR($E$7="seleccione rubro",$E$9="seleccione sub - rubro"),"-",HLOOKUP((CONCATENATE($E$9,$K$17)),'IMESI Vol Físico - Series mensu'!$C$4:$FZ$306,220,0)),"-")</f>
        <v>-</v>
      </c>
    </row>
    <row r="254" spans="4:11" x14ac:dyDescent="0.2">
      <c r="D254" s="72">
        <f t="shared" ref="D254:D264" si="18">YEAR(E254)</f>
        <v>2005</v>
      </c>
      <c r="E254" s="73">
        <f>+'IMESI Vol Físico - Series mensu'!A224</f>
        <v>38384</v>
      </c>
      <c r="F254" s="73"/>
      <c r="G254" s="74" t="str">
        <f>IF($E$11="",IF(OR($E$7="seleccione rubro",$E$9="seleccione sub - rubro"),"-",HLOOKUP((CONCATENATE($E$9,$G$17)),'IMESI Vol Físico - Series mensu'!$C$4:$FZ$306,220,0)),"-")</f>
        <v>-</v>
      </c>
      <c r="H254" s="75"/>
      <c r="I254" s="74" t="str">
        <f>IF($E$11="",IF(OR($E$7="seleccione rubro",$E$9="seleccione sub - rubro"),"-",HLOOKUP((CONCATENATE($E$9,$I$17)),'IMESI Vol Físico - Series mensu'!$C$4:$FZ$306,221,0)),"-")</f>
        <v>-</v>
      </c>
      <c r="J254" s="75"/>
      <c r="K254" s="74" t="str">
        <f>IF($E$11="",IF(OR($E$7="seleccione rubro",$E$9="seleccione sub - rubro"),"-",HLOOKUP((CONCATENATE($E$9,$K$17)),'IMESI Vol Físico - Series mensu'!$C$4:$FZ$306,221,0)),"-")</f>
        <v>-</v>
      </c>
    </row>
    <row r="255" spans="4:11" x14ac:dyDescent="0.2">
      <c r="D255" s="72">
        <f t="shared" si="18"/>
        <v>2005</v>
      </c>
      <c r="E255" s="73">
        <f>+'IMESI Vol Físico - Series mensu'!A225</f>
        <v>38412</v>
      </c>
      <c r="F255" s="73"/>
      <c r="G255" s="74" t="str">
        <f>IF($E$11="",IF(OR($E$7="seleccione rubro",$E$9="seleccione sub - rubro"),"-",HLOOKUP((CONCATENATE($E$9,$G$17)),'IMESI Vol Físico - Series mensu'!$C$4:$FZ$306,221,0)),"-")</f>
        <v>-</v>
      </c>
      <c r="H255" s="75"/>
      <c r="I255" s="74" t="str">
        <f>IF($E$11="",IF(OR($E$7="seleccione rubro",$E$9="seleccione sub - rubro"),"-",HLOOKUP((CONCATENATE($E$9,$I$17)),'IMESI Vol Físico - Series mensu'!$C$4:$FZ$306,222,0)),"-")</f>
        <v>-</v>
      </c>
      <c r="J255" s="75"/>
      <c r="K255" s="74" t="str">
        <f>IF($E$11="",IF(OR($E$7="seleccione rubro",$E$9="seleccione sub - rubro"),"-",HLOOKUP((CONCATENATE($E$9,$K$17)),'IMESI Vol Físico - Series mensu'!$C$4:$FZ$306,222,0)),"-")</f>
        <v>-</v>
      </c>
    </row>
    <row r="256" spans="4:11" x14ac:dyDescent="0.2">
      <c r="D256" s="72">
        <f t="shared" si="18"/>
        <v>2005</v>
      </c>
      <c r="E256" s="73">
        <f>+'IMESI Vol Físico - Series mensu'!A226</f>
        <v>38443</v>
      </c>
      <c r="F256" s="73"/>
      <c r="G256" s="74" t="str">
        <f>IF($E$11="",IF(OR($E$7="seleccione rubro",$E$9="seleccione sub - rubro"),"-",HLOOKUP((CONCATENATE($E$9,$G$17)),'IMESI Vol Físico - Series mensu'!$C$4:$FZ$306,222,0)),"-")</f>
        <v>-</v>
      </c>
      <c r="H256" s="75"/>
      <c r="I256" s="74" t="str">
        <f>IF($E$11="",IF(OR($E$7="seleccione rubro",$E$9="seleccione sub - rubro"),"-",HLOOKUP((CONCATENATE($E$9,$I$17)),'IMESI Vol Físico - Series mensu'!$C$4:$FZ$306,223,0)),"-")</f>
        <v>-</v>
      </c>
      <c r="J256" s="75"/>
      <c r="K256" s="74" t="str">
        <f>IF($E$11="",IF(OR($E$7="seleccione rubro",$E$9="seleccione sub - rubro"),"-",HLOOKUP((CONCATENATE($E$9,$K$17)),'IMESI Vol Físico - Series mensu'!$C$4:$FZ$306,223,0)),"-")</f>
        <v>-</v>
      </c>
    </row>
    <row r="257" spans="4:11" x14ac:dyDescent="0.2">
      <c r="D257" s="72">
        <f t="shared" si="18"/>
        <v>2005</v>
      </c>
      <c r="E257" s="73">
        <f>+'IMESI Vol Físico - Series mensu'!A227</f>
        <v>38473</v>
      </c>
      <c r="F257" s="73"/>
      <c r="G257" s="74" t="str">
        <f>IF($E$11="",IF(OR($E$7="seleccione rubro",$E$9="seleccione sub - rubro"),"-",HLOOKUP((CONCATENATE($E$9,$G$17)),'IMESI Vol Físico - Series mensu'!$C$4:$FZ$306,223,0)),"-")</f>
        <v>-</v>
      </c>
      <c r="H257" s="75"/>
      <c r="I257" s="74" t="str">
        <f>IF($E$11="",IF(OR($E$7="seleccione rubro",$E$9="seleccione sub - rubro"),"-",HLOOKUP((CONCATENATE($E$9,$I$17)),'IMESI Vol Físico - Series mensu'!$C$4:$FZ$306,224,0)),"-")</f>
        <v>-</v>
      </c>
      <c r="J257" s="75"/>
      <c r="K257" s="74" t="str">
        <f>IF($E$11="",IF(OR($E$7="seleccione rubro",$E$9="seleccione sub - rubro"),"-",HLOOKUP((CONCATENATE($E$9,$K$17)),'IMESI Vol Físico - Series mensu'!$C$4:$FZ$306,224,0)),"-")</f>
        <v>-</v>
      </c>
    </row>
    <row r="258" spans="4:11" x14ac:dyDescent="0.2">
      <c r="D258" s="72">
        <f t="shared" si="18"/>
        <v>2005</v>
      </c>
      <c r="E258" s="73">
        <f>+'IMESI Vol Físico - Series mensu'!A228</f>
        <v>38504</v>
      </c>
      <c r="F258" s="73"/>
      <c r="G258" s="74" t="str">
        <f>IF($E$11="",IF(OR($E$7="seleccione rubro",$E$9="seleccione sub - rubro"),"-",HLOOKUP((CONCATENATE($E$9,$G$17)),'IMESI Vol Físico - Series mensu'!$C$4:$FZ$306,224,0)),"-")</f>
        <v>-</v>
      </c>
      <c r="H258" s="75"/>
      <c r="I258" s="74" t="str">
        <f>IF($E$11="",IF(OR($E$7="seleccione rubro",$E$9="seleccione sub - rubro"),"-",HLOOKUP((CONCATENATE($E$9,$I$17)),'IMESI Vol Físico - Series mensu'!$C$4:$FZ$306,225,0)),"-")</f>
        <v>-</v>
      </c>
      <c r="J258" s="75"/>
      <c r="K258" s="74" t="str">
        <f>IF($E$11="",IF(OR($E$7="seleccione rubro",$E$9="seleccione sub - rubro"),"-",HLOOKUP((CONCATENATE($E$9,$K$17)),'IMESI Vol Físico - Series mensu'!$C$4:$FZ$306,225,0)),"-")</f>
        <v>-</v>
      </c>
    </row>
    <row r="259" spans="4:11" x14ac:dyDescent="0.2">
      <c r="D259" s="72">
        <f t="shared" si="18"/>
        <v>2005</v>
      </c>
      <c r="E259" s="73">
        <f>+'IMESI Vol Físico - Series mensu'!A229</f>
        <v>38534</v>
      </c>
      <c r="F259" s="73"/>
      <c r="G259" s="74" t="str">
        <f>IF($E$11="",IF(OR($E$7="seleccione rubro",$E$9="seleccione sub - rubro"),"-",HLOOKUP((CONCATENATE($E$9,$G$17)),'IMESI Vol Físico - Series mensu'!$C$4:$FZ$306,225,0)),"-")</f>
        <v>-</v>
      </c>
      <c r="H259" s="75"/>
      <c r="I259" s="74" t="str">
        <f>IF($E$11="",IF(OR($E$7="seleccione rubro",$E$9="seleccione sub - rubro"),"-",HLOOKUP((CONCATENATE($E$9,$I$17)),'IMESI Vol Físico - Series mensu'!$C$4:$FZ$306,226,0)),"-")</f>
        <v>-</v>
      </c>
      <c r="J259" s="75"/>
      <c r="K259" s="74" t="str">
        <f>IF($E$11="",IF(OR($E$7="seleccione rubro",$E$9="seleccione sub - rubro"),"-",HLOOKUP((CONCATENATE($E$9,$K$17)),'IMESI Vol Físico - Series mensu'!$C$4:$FZ$306,226,0)),"-")</f>
        <v>-</v>
      </c>
    </row>
    <row r="260" spans="4:11" x14ac:dyDescent="0.2">
      <c r="D260" s="72">
        <f t="shared" si="18"/>
        <v>2005</v>
      </c>
      <c r="E260" s="73">
        <f>+'IMESI Vol Físico - Series mensu'!A230</f>
        <v>38565</v>
      </c>
      <c r="F260" s="73"/>
      <c r="G260" s="74" t="str">
        <f>IF($E$11="",IF(OR($E$7="seleccione rubro",$E$9="seleccione sub - rubro"),"-",HLOOKUP((CONCATENATE($E$9,$G$17)),'IMESI Vol Físico - Series mensu'!$C$4:$FZ$306,226,0)),"-")</f>
        <v>-</v>
      </c>
      <c r="H260" s="75"/>
      <c r="I260" s="74" t="str">
        <f>IF($E$11="",IF(OR($E$7="seleccione rubro",$E$9="seleccione sub - rubro"),"-",HLOOKUP((CONCATENATE($E$9,$I$17)),'IMESI Vol Físico - Series mensu'!$C$4:$FZ$306,227,0)),"-")</f>
        <v>-</v>
      </c>
      <c r="J260" s="75"/>
      <c r="K260" s="74" t="str">
        <f>IF($E$11="",IF(OR($E$7="seleccione rubro",$E$9="seleccione sub - rubro"),"-",HLOOKUP((CONCATENATE($E$9,$K$17)),'IMESI Vol Físico - Series mensu'!$C$4:$FZ$306,227,0)),"-")</f>
        <v>-</v>
      </c>
    </row>
    <row r="261" spans="4:11" x14ac:dyDescent="0.2">
      <c r="D261" s="72">
        <f t="shared" si="18"/>
        <v>2005</v>
      </c>
      <c r="E261" s="73">
        <f>+'IMESI Vol Físico - Series mensu'!A231</f>
        <v>38596</v>
      </c>
      <c r="F261" s="73"/>
      <c r="G261" s="74" t="str">
        <f>IF($E$11="",IF(OR($E$7="seleccione rubro",$E$9="seleccione sub - rubro"),"-",HLOOKUP((CONCATENATE($E$9,$G$17)),'IMESI Vol Físico - Series mensu'!$C$4:$FZ$306,227,0)),"-")</f>
        <v>-</v>
      </c>
      <c r="H261" s="75"/>
      <c r="I261" s="74" t="str">
        <f>IF($E$11="",IF(OR($E$7="seleccione rubro",$E$9="seleccione sub - rubro"),"-",HLOOKUP((CONCATENATE($E$9,$I$17)),'IMESI Vol Físico - Series mensu'!$C$4:$FZ$306,228,0)),"-")</f>
        <v>-</v>
      </c>
      <c r="J261" s="75"/>
      <c r="K261" s="74" t="str">
        <f>IF($E$11="",IF(OR($E$7="seleccione rubro",$E$9="seleccione sub - rubro"),"-",HLOOKUP((CONCATENATE($E$9,$K$17)),'IMESI Vol Físico - Series mensu'!$C$4:$FZ$306,228,0)),"-")</f>
        <v>-</v>
      </c>
    </row>
    <row r="262" spans="4:11" x14ac:dyDescent="0.2">
      <c r="D262" s="72">
        <f t="shared" si="18"/>
        <v>2005</v>
      </c>
      <c r="E262" s="73">
        <f>+'IMESI Vol Físico - Series mensu'!A232</f>
        <v>38626</v>
      </c>
      <c r="F262" s="73"/>
      <c r="G262" s="74" t="str">
        <f>IF($E$11="",IF(OR($E$7="seleccione rubro",$E$9="seleccione sub - rubro"),"-",HLOOKUP((CONCATENATE($E$9,$G$17)),'IMESI Vol Físico - Series mensu'!$C$4:$FZ$306,228,0)),"-")</f>
        <v>-</v>
      </c>
      <c r="H262" s="75"/>
      <c r="I262" s="74" t="str">
        <f>IF($E$11="",IF(OR($E$7="seleccione rubro",$E$9="seleccione sub - rubro"),"-",HLOOKUP((CONCATENATE($E$9,$I$17)),'IMESI Vol Físico - Series mensu'!$C$4:$FZ$306,229,0)),"-")</f>
        <v>-</v>
      </c>
      <c r="J262" s="75"/>
      <c r="K262" s="74" t="str">
        <f>IF($E$11="",IF(OR($E$7="seleccione rubro",$E$9="seleccione sub - rubro"),"-",HLOOKUP((CONCATENATE($E$9,$K$17)),'IMESI Vol Físico - Series mensu'!$C$4:$FZ$306,229,0)),"-")</f>
        <v>-</v>
      </c>
    </row>
    <row r="263" spans="4:11" x14ac:dyDescent="0.2">
      <c r="D263" s="72">
        <f t="shared" si="18"/>
        <v>2005</v>
      </c>
      <c r="E263" s="73">
        <f>+'IMESI Vol Físico - Series mensu'!A233</f>
        <v>38657</v>
      </c>
      <c r="F263" s="73"/>
      <c r="G263" s="74" t="str">
        <f>IF($E$11="",IF(OR($E$7="seleccione rubro",$E$9="seleccione sub - rubro"),"-",HLOOKUP((CONCATENATE($E$9,$G$17)),'IMESI Vol Físico - Series mensu'!$C$4:$FZ$306,229,0)),"-")</f>
        <v>-</v>
      </c>
      <c r="H263" s="75"/>
      <c r="I263" s="74" t="str">
        <f>IF($E$11="",IF(OR($E$7="seleccione rubro",$E$9="seleccione sub - rubro"),"-",HLOOKUP((CONCATENATE($E$9,$I$17)),'IMESI Vol Físico - Series mensu'!$C$4:$FZ$306,230,0)),"-")</f>
        <v>-</v>
      </c>
      <c r="J263" s="75"/>
      <c r="K263" s="74" t="str">
        <f>IF($E$11="",IF(OR($E$7="seleccione rubro",$E$9="seleccione sub - rubro"),"-",HLOOKUP((CONCATENATE($E$9,$K$17)),'IMESI Vol Físico - Series mensu'!$C$4:$FZ$306,230,0)),"-")</f>
        <v>-</v>
      </c>
    </row>
    <row r="264" spans="4:11" x14ac:dyDescent="0.2">
      <c r="D264" s="72">
        <f t="shared" si="18"/>
        <v>2005</v>
      </c>
      <c r="E264" s="73">
        <f>+'IMESI Vol Físico - Series mensu'!A234</f>
        <v>38687</v>
      </c>
      <c r="F264" s="73"/>
      <c r="G264" s="74" t="str">
        <f>IF($E$11="",IF(OR($E$7="seleccione rubro",$E$9="seleccione sub - rubro"),"-",HLOOKUP((CONCATENATE($E$9,$G$17)),'IMESI Vol Físico - Series mensu'!$C$4:$FZ$306,230,0)),"-")</f>
        <v>-</v>
      </c>
      <c r="H264" s="75"/>
      <c r="I264" s="74" t="str">
        <f>IF($E$11="",IF(OR($E$7="seleccione rubro",$E$9="seleccione sub - rubro"),"-",HLOOKUP((CONCATENATE($E$9,$I$17)),'IMESI Vol Físico - Series mensu'!$C$4:$FZ$306,231,0)),"-")</f>
        <v>-</v>
      </c>
      <c r="J264" s="75"/>
      <c r="K264" s="74" t="str">
        <f>IF($E$11="",IF(OR($E$7="seleccione rubro",$E$9="seleccione sub - rubro"),"-",HLOOKUP((CONCATENATE($E$9,$K$17)),'IMESI Vol Físico - Series mensu'!$C$4:$FZ$306,231,0)),"-")</f>
        <v>-</v>
      </c>
    </row>
    <row r="265" spans="4:11" x14ac:dyDescent="0.2">
      <c r="D265" s="69">
        <f>+D266</f>
        <v>2006</v>
      </c>
      <c r="E265" s="70"/>
      <c r="F265" s="70"/>
      <c r="G265" s="74"/>
      <c r="H265" s="75"/>
      <c r="I265" s="74"/>
      <c r="J265" s="75"/>
      <c r="K265" s="74"/>
    </row>
    <row r="266" spans="4:11" x14ac:dyDescent="0.2">
      <c r="D266" s="72">
        <f>YEAR(E266)</f>
        <v>2006</v>
      </c>
      <c r="E266" s="73">
        <f>+'IMESI Vol Físico - Series mensu'!A235</f>
        <v>38718</v>
      </c>
      <c r="F266" s="73"/>
      <c r="G266" s="74" t="str">
        <f>IF($E$11="",IF(OR($E$7="seleccione rubro",$E$9="seleccione sub - rubro"),"-",HLOOKUP((CONCATENATE($E$9,$G$17)),'IMESI Vol Físico - Series mensu'!$C$4:$FZ$306,231,0)),"-")</f>
        <v>-</v>
      </c>
      <c r="H266" s="75"/>
      <c r="I266" s="74" t="str">
        <f>IF($E$11="",IF(OR($E$7="seleccione rubro",$E$9="seleccione sub - rubro"),"-",HLOOKUP((CONCATENATE($E$9,$I$17)),'IMESI Vol Físico - Series mensu'!$C$4:$FZ$306,232,0)),"-")</f>
        <v>-</v>
      </c>
      <c r="J266" s="75"/>
      <c r="K266" s="74" t="str">
        <f>IF($E$11="",IF(OR($E$7="seleccione rubro",$E$9="seleccione sub - rubro"),"-",HLOOKUP((CONCATENATE($E$9,$K$17)),'IMESI Vol Físico - Series mensu'!$C$4:$FZ$306,232,0)),"-")</f>
        <v>-</v>
      </c>
    </row>
    <row r="267" spans="4:11" x14ac:dyDescent="0.2">
      <c r="D267" s="72">
        <f t="shared" ref="D267:D277" si="19">YEAR(E267)</f>
        <v>2006</v>
      </c>
      <c r="E267" s="73">
        <f>+'IMESI Vol Físico - Series mensu'!A236</f>
        <v>38749</v>
      </c>
      <c r="F267" s="73"/>
      <c r="G267" s="74" t="str">
        <f>IF($E$11="",IF(OR($E$7="seleccione rubro",$E$9="seleccione sub - rubro"),"-",HLOOKUP((CONCATENATE($E$9,$G$17)),'IMESI Vol Físico - Series mensu'!$C$4:$FZ$306,232,0)),"-")</f>
        <v>-</v>
      </c>
      <c r="H267" s="75"/>
      <c r="I267" s="74" t="str">
        <f>IF($E$11="",IF(OR($E$7="seleccione rubro",$E$9="seleccione sub - rubro"),"-",HLOOKUP((CONCATENATE($E$9,$I$17)),'IMESI Vol Físico - Series mensu'!$C$4:$FZ$306,233,0)),"-")</f>
        <v>-</v>
      </c>
      <c r="J267" s="75"/>
      <c r="K267" s="74" t="str">
        <f>IF($E$11="",IF(OR($E$7="seleccione rubro",$E$9="seleccione sub - rubro"),"-",HLOOKUP((CONCATENATE($E$9,$K$17)),'IMESI Vol Físico - Series mensu'!$C$4:$FZ$306,233,0)),"-")</f>
        <v>-</v>
      </c>
    </row>
    <row r="268" spans="4:11" x14ac:dyDescent="0.2">
      <c r="D268" s="72">
        <f t="shared" si="19"/>
        <v>2006</v>
      </c>
      <c r="E268" s="73">
        <f>+'IMESI Vol Físico - Series mensu'!A237</f>
        <v>38777</v>
      </c>
      <c r="F268" s="73"/>
      <c r="G268" s="74" t="str">
        <f>IF($E$11="",IF(OR($E$7="seleccione rubro",$E$9="seleccione sub - rubro"),"-",HLOOKUP((CONCATENATE($E$9,$G$17)),'IMESI Vol Físico - Series mensu'!$C$4:$FZ$306,233,0)),"-")</f>
        <v>-</v>
      </c>
      <c r="H268" s="75"/>
      <c r="I268" s="74" t="str">
        <f>IF($E$11="",IF(OR($E$7="seleccione rubro",$E$9="seleccione sub - rubro"),"-",HLOOKUP((CONCATENATE($E$9,$I$17)),'IMESI Vol Físico - Series mensu'!$C$4:$FZ$306,234,0)),"-")</f>
        <v>-</v>
      </c>
      <c r="J268" s="75"/>
      <c r="K268" s="74" t="str">
        <f>IF($E$11="",IF(OR($E$7="seleccione rubro",$E$9="seleccione sub - rubro"),"-",HLOOKUP((CONCATENATE($E$9,$K$17)),'IMESI Vol Físico - Series mensu'!$C$4:$FZ$306,234,0)),"-")</f>
        <v>-</v>
      </c>
    </row>
    <row r="269" spans="4:11" x14ac:dyDescent="0.2">
      <c r="D269" s="72">
        <f t="shared" si="19"/>
        <v>2006</v>
      </c>
      <c r="E269" s="73">
        <f>+'IMESI Vol Físico - Series mensu'!A238</f>
        <v>38808</v>
      </c>
      <c r="F269" s="73"/>
      <c r="G269" s="74" t="str">
        <f>IF($E$11="",IF(OR($E$7="seleccione rubro",$E$9="seleccione sub - rubro"),"-",HLOOKUP((CONCATENATE($E$9,$G$17)),'IMESI Vol Físico - Series mensu'!$C$4:$FZ$306,234,0)),"-")</f>
        <v>-</v>
      </c>
      <c r="H269" s="75"/>
      <c r="I269" s="74" t="str">
        <f>IF($E$11="",IF(OR($E$7="seleccione rubro",$E$9="seleccione sub - rubro"),"-",HLOOKUP((CONCATENATE($E$9,$I$17)),'IMESI Vol Físico - Series mensu'!$C$4:$FZ$306,235,0)),"-")</f>
        <v>-</v>
      </c>
      <c r="J269" s="75"/>
      <c r="K269" s="74" t="str">
        <f>IF($E$11="",IF(OR($E$7="seleccione rubro",$E$9="seleccione sub - rubro"),"-",HLOOKUP((CONCATENATE($E$9,$K$17)),'IMESI Vol Físico - Series mensu'!$C$4:$FZ$306,235,0)),"-")</f>
        <v>-</v>
      </c>
    </row>
    <row r="270" spans="4:11" x14ac:dyDescent="0.2">
      <c r="D270" s="72">
        <f t="shared" si="19"/>
        <v>2006</v>
      </c>
      <c r="E270" s="73">
        <f>+'IMESI Vol Físico - Series mensu'!A239</f>
        <v>38838</v>
      </c>
      <c r="F270" s="73"/>
      <c r="G270" s="74" t="str">
        <f>IF($E$11="",IF(OR($E$7="seleccione rubro",$E$9="seleccione sub - rubro"),"-",HLOOKUP((CONCATENATE($E$9,$G$17)),'IMESI Vol Físico - Series mensu'!$C$4:$FZ$306,235,0)),"-")</f>
        <v>-</v>
      </c>
      <c r="H270" s="75"/>
      <c r="I270" s="74" t="str">
        <f>IF($E$11="",IF(OR($E$7="seleccione rubro",$E$9="seleccione sub - rubro"),"-",HLOOKUP((CONCATENATE($E$9,$I$17)),'IMESI Vol Físico - Series mensu'!$C$4:$FZ$306,236,0)),"-")</f>
        <v>-</v>
      </c>
      <c r="J270" s="75"/>
      <c r="K270" s="74" t="str">
        <f>IF($E$11="",IF(OR($E$7="seleccione rubro",$E$9="seleccione sub - rubro"),"-",HLOOKUP((CONCATENATE($E$9,$K$17)),'IMESI Vol Físico - Series mensu'!$C$4:$FZ$306,236,0)),"-")</f>
        <v>-</v>
      </c>
    </row>
    <row r="271" spans="4:11" x14ac:dyDescent="0.2">
      <c r="D271" s="72">
        <f t="shared" si="19"/>
        <v>2006</v>
      </c>
      <c r="E271" s="73">
        <f>+'IMESI Vol Físico - Series mensu'!A240</f>
        <v>38869</v>
      </c>
      <c r="F271" s="73"/>
      <c r="G271" s="74" t="str">
        <f>IF($E$11="",IF(OR($E$7="seleccione rubro",$E$9="seleccione sub - rubro"),"-",HLOOKUP((CONCATENATE($E$9,$G$17)),'IMESI Vol Físico - Series mensu'!$C$4:$FZ$306,236,0)),"-")</f>
        <v>-</v>
      </c>
      <c r="H271" s="75"/>
      <c r="I271" s="74" t="str">
        <f>IF($E$11="",IF(OR($E$7="seleccione rubro",$E$9="seleccione sub - rubro"),"-",HLOOKUP((CONCATENATE($E$9,$I$17)),'IMESI Vol Físico - Series mensu'!$C$4:$FZ$306,237,0)),"-")</f>
        <v>-</v>
      </c>
      <c r="J271" s="75"/>
      <c r="K271" s="74" t="str">
        <f>IF($E$11="",IF(OR($E$7="seleccione rubro",$E$9="seleccione sub - rubro"),"-",HLOOKUP((CONCATENATE($E$9,$K$17)),'IMESI Vol Físico - Series mensu'!$C$4:$FZ$306,237,0)),"-")</f>
        <v>-</v>
      </c>
    </row>
    <row r="272" spans="4:11" x14ac:dyDescent="0.2">
      <c r="D272" s="72">
        <f t="shared" si="19"/>
        <v>2006</v>
      </c>
      <c r="E272" s="73">
        <f>+'IMESI Vol Físico - Series mensu'!A241</f>
        <v>38899</v>
      </c>
      <c r="F272" s="73"/>
      <c r="G272" s="74" t="str">
        <f>IF($E$11="",IF(OR($E$7="seleccione rubro",$E$9="seleccione sub - rubro"),"-",HLOOKUP((CONCATENATE($E$9,$G$17)),'IMESI Vol Físico - Series mensu'!$C$4:$FZ$306,237,0)),"-")</f>
        <v>-</v>
      </c>
      <c r="H272" s="75"/>
      <c r="I272" s="74" t="str">
        <f>IF($E$11="",IF(OR($E$7="seleccione rubro",$E$9="seleccione sub - rubro"),"-",HLOOKUP((CONCATENATE($E$9,$I$17)),'IMESI Vol Físico - Series mensu'!$C$4:$FZ$306,238,0)),"-")</f>
        <v>-</v>
      </c>
      <c r="J272" s="75"/>
      <c r="K272" s="74" t="str">
        <f>IF($E$11="",IF(OR($E$7="seleccione rubro",$E$9="seleccione sub - rubro"),"-",HLOOKUP((CONCATENATE($E$9,$K$17)),'IMESI Vol Físico - Series mensu'!$C$4:$FZ$306,238,0)),"-")</f>
        <v>-</v>
      </c>
    </row>
    <row r="273" spans="4:11" x14ac:dyDescent="0.2">
      <c r="D273" s="72">
        <f t="shared" si="19"/>
        <v>2006</v>
      </c>
      <c r="E273" s="73">
        <f>+'IMESI Vol Físico - Series mensu'!A242</f>
        <v>38930</v>
      </c>
      <c r="F273" s="73"/>
      <c r="G273" s="74" t="str">
        <f>IF($E$11="",IF(OR($E$7="seleccione rubro",$E$9="seleccione sub - rubro"),"-",HLOOKUP((CONCATENATE($E$9,$G$17)),'IMESI Vol Físico - Series mensu'!$C$4:$FZ$306,238,0)),"-")</f>
        <v>-</v>
      </c>
      <c r="H273" s="75"/>
      <c r="I273" s="74" t="str">
        <f>IF($E$11="",IF(OR($E$7="seleccione rubro",$E$9="seleccione sub - rubro"),"-",HLOOKUP((CONCATENATE($E$9,$I$17)),'IMESI Vol Físico - Series mensu'!$C$4:$FZ$306,239,0)),"-")</f>
        <v>-</v>
      </c>
      <c r="J273" s="75"/>
      <c r="K273" s="74" t="str">
        <f>IF($E$11="",IF(OR($E$7="seleccione rubro",$E$9="seleccione sub - rubro"),"-",HLOOKUP((CONCATENATE($E$9,$K$17)),'IMESI Vol Físico - Series mensu'!$C$4:$FZ$306,239,0)),"-")</f>
        <v>-</v>
      </c>
    </row>
    <row r="274" spans="4:11" x14ac:dyDescent="0.2">
      <c r="D274" s="72">
        <f t="shared" si="19"/>
        <v>2006</v>
      </c>
      <c r="E274" s="73">
        <f>+'IMESI Vol Físico - Series mensu'!A243</f>
        <v>38961</v>
      </c>
      <c r="F274" s="73"/>
      <c r="G274" s="74" t="str">
        <f>IF($E$11="",IF(OR($E$7="seleccione rubro",$E$9="seleccione sub - rubro"),"-",HLOOKUP((CONCATENATE($E$9,$G$17)),'IMESI Vol Físico - Series mensu'!$C$4:$FZ$306,239,0)),"-")</f>
        <v>-</v>
      </c>
      <c r="H274" s="75"/>
      <c r="I274" s="74" t="str">
        <f>IF($E$11="",IF(OR($E$7="seleccione rubro",$E$9="seleccione sub - rubro"),"-",HLOOKUP((CONCATENATE($E$9,$I$17)),'IMESI Vol Físico - Series mensu'!$C$4:$FZ$306,240,0)),"-")</f>
        <v>-</v>
      </c>
      <c r="J274" s="75"/>
      <c r="K274" s="74" t="str">
        <f>IF($E$11="",IF(OR($E$7="seleccione rubro",$E$9="seleccione sub - rubro"),"-",HLOOKUP((CONCATENATE($E$9,$K$17)),'IMESI Vol Físico - Series mensu'!$C$4:$FZ$306,240,0)),"-")</f>
        <v>-</v>
      </c>
    </row>
    <row r="275" spans="4:11" x14ac:dyDescent="0.2">
      <c r="D275" s="72">
        <f t="shared" si="19"/>
        <v>2006</v>
      </c>
      <c r="E275" s="73">
        <f>+'IMESI Vol Físico - Series mensu'!A244</f>
        <v>38991</v>
      </c>
      <c r="F275" s="73"/>
      <c r="G275" s="74" t="str">
        <f>IF($E$11="",IF(OR($E$7="seleccione rubro",$E$9="seleccione sub - rubro"),"-",HLOOKUP((CONCATENATE($E$9,$G$17)),'IMESI Vol Físico - Series mensu'!$C$4:$FZ$306,240,0)),"-")</f>
        <v>-</v>
      </c>
      <c r="H275" s="75"/>
      <c r="I275" s="74" t="str">
        <f>IF($E$11="",IF(OR($E$7="seleccione rubro",$E$9="seleccione sub - rubro"),"-",HLOOKUP((CONCATENATE($E$9,$I$17)),'IMESI Vol Físico - Series mensu'!$C$4:$FZ$306,241,0)),"-")</f>
        <v>-</v>
      </c>
      <c r="J275" s="75"/>
      <c r="K275" s="74" t="str">
        <f>IF($E$11="",IF(OR($E$7="seleccione rubro",$E$9="seleccione sub - rubro"),"-",HLOOKUP((CONCATENATE($E$9,$K$17)),'IMESI Vol Físico - Series mensu'!$C$4:$FZ$306,241,0)),"-")</f>
        <v>-</v>
      </c>
    </row>
    <row r="276" spans="4:11" x14ac:dyDescent="0.2">
      <c r="D276" s="72">
        <f t="shared" si="19"/>
        <v>2006</v>
      </c>
      <c r="E276" s="73">
        <f>+'IMESI Vol Físico - Series mensu'!A245</f>
        <v>39022</v>
      </c>
      <c r="F276" s="73"/>
      <c r="G276" s="74" t="str">
        <f>IF($E$11="",IF(OR($E$7="seleccione rubro",$E$9="seleccione sub - rubro"),"-",HLOOKUP((CONCATENATE($E$9,$G$17)),'IMESI Vol Físico - Series mensu'!$C$4:$FZ$306,241,0)),"-")</f>
        <v>-</v>
      </c>
      <c r="H276" s="75"/>
      <c r="I276" s="74" t="str">
        <f>IF($E$11="",IF(OR($E$7="seleccione rubro",$E$9="seleccione sub - rubro"),"-",HLOOKUP((CONCATENATE($E$9,$I$17)),'IMESI Vol Físico - Series mensu'!$C$4:$FZ$306,242,0)),"-")</f>
        <v>-</v>
      </c>
      <c r="J276" s="75"/>
      <c r="K276" s="74" t="str">
        <f>IF($E$11="",IF(OR($E$7="seleccione rubro",$E$9="seleccione sub - rubro"),"-",HLOOKUP((CONCATENATE($E$9,$K$17)),'IMESI Vol Físico - Series mensu'!$C$4:$FZ$306,242,0)),"-")</f>
        <v>-</v>
      </c>
    </row>
    <row r="277" spans="4:11" x14ac:dyDescent="0.2">
      <c r="D277" s="72">
        <f t="shared" si="19"/>
        <v>2006</v>
      </c>
      <c r="E277" s="73">
        <f>+'IMESI Vol Físico - Series mensu'!A246</f>
        <v>39052</v>
      </c>
      <c r="F277" s="73"/>
      <c r="G277" s="74" t="str">
        <f>IF($E$11="",IF(OR($E$7="seleccione rubro",$E$9="seleccione sub - rubro"),"-",HLOOKUP((CONCATENATE($E$9,$G$17)),'IMESI Vol Físico - Series mensu'!$C$4:$FZ$306,242,0)),"-")</f>
        <v>-</v>
      </c>
      <c r="H277" s="75"/>
      <c r="I277" s="74" t="str">
        <f>IF($E$11="",IF(OR($E$7="seleccione rubro",$E$9="seleccione sub - rubro"),"-",HLOOKUP((CONCATENATE($E$9,$I$17)),'IMESI Vol Físico - Series mensu'!$C$4:$FZ$306,243,0)),"-")</f>
        <v>-</v>
      </c>
      <c r="J277" s="75"/>
      <c r="K277" s="74" t="str">
        <f>IF($E$11="",IF(OR($E$7="seleccione rubro",$E$9="seleccione sub - rubro"),"-",HLOOKUP((CONCATENATE($E$9,$K$17)),'IMESI Vol Físico - Series mensu'!$C$4:$FZ$306,243,0)),"-")</f>
        <v>-</v>
      </c>
    </row>
    <row r="278" spans="4:11" x14ac:dyDescent="0.2">
      <c r="D278" s="69">
        <f>+D279</f>
        <v>2007</v>
      </c>
      <c r="E278" s="70"/>
      <c r="F278" s="70"/>
      <c r="G278" s="74"/>
      <c r="H278" s="75"/>
      <c r="I278" s="74"/>
      <c r="J278" s="75"/>
      <c r="K278" s="74"/>
    </row>
    <row r="279" spans="4:11" x14ac:dyDescent="0.2">
      <c r="D279" s="72">
        <f>YEAR(E279)</f>
        <v>2007</v>
      </c>
      <c r="E279" s="73">
        <f>+'IMESI Vol Físico - Series mensu'!A247</f>
        <v>39083</v>
      </c>
      <c r="F279" s="73"/>
      <c r="G279" s="74" t="str">
        <f>IF($E$11="",IF(OR($E$7="seleccione rubro",$E$9="seleccione sub - rubro"),"-",HLOOKUP((CONCATENATE($E$9,$G$17)),'IMESI Vol Físico - Series mensu'!$C$4:$FZ$306,243,0)),"-")</f>
        <v>-</v>
      </c>
      <c r="H279" s="75"/>
      <c r="I279" s="74" t="str">
        <f>IF($E$11="",IF(OR($E$7="seleccione rubro",$E$9="seleccione sub - rubro"),"-",HLOOKUP((CONCATENATE($E$9,$I$17)),'IMESI Vol Físico - Series mensu'!$C$4:$FZ$306,244,0)),"-")</f>
        <v>-</v>
      </c>
      <c r="J279" s="75"/>
      <c r="K279" s="74" t="str">
        <f>IF($E$11="",IF(OR($E$7="seleccione rubro",$E$9="seleccione sub - rubro"),"-",HLOOKUP((CONCATENATE($E$9,$K$17)),'IMESI Vol Físico - Series mensu'!$C$4:$FZ$306,244,0)),"-")</f>
        <v>-</v>
      </c>
    </row>
    <row r="280" spans="4:11" x14ac:dyDescent="0.2">
      <c r="D280" s="72">
        <f t="shared" ref="D280:D290" si="20">YEAR(E280)</f>
        <v>2007</v>
      </c>
      <c r="E280" s="73">
        <f>+'IMESI Vol Físico - Series mensu'!A248</f>
        <v>39114</v>
      </c>
      <c r="F280" s="73"/>
      <c r="G280" s="74" t="str">
        <f>IF($E$11="",IF(OR($E$7="seleccione rubro",$E$9="seleccione sub - rubro"),"-",HLOOKUP((CONCATENATE($E$9,$G$17)),'IMESI Vol Físico - Series mensu'!$C$4:$FZ$306,244,0)),"-")</f>
        <v>-</v>
      </c>
      <c r="H280" s="75"/>
      <c r="I280" s="74" t="str">
        <f>IF($E$11="",IF(OR($E$7="seleccione rubro",$E$9="seleccione sub - rubro"),"-",HLOOKUP((CONCATENATE($E$9,$I$17)),'IMESI Vol Físico - Series mensu'!$C$4:$FZ$306,245,0)),"-")</f>
        <v>-</v>
      </c>
      <c r="J280" s="75"/>
      <c r="K280" s="74" t="str">
        <f>IF($E$11="",IF(OR($E$7="seleccione rubro",$E$9="seleccione sub - rubro"),"-",HLOOKUP((CONCATENATE($E$9,$K$17)),'IMESI Vol Físico - Series mensu'!$C$4:$FZ$306,245,0)),"-")</f>
        <v>-</v>
      </c>
    </row>
    <row r="281" spans="4:11" x14ac:dyDescent="0.2">
      <c r="D281" s="72">
        <f t="shared" si="20"/>
        <v>2007</v>
      </c>
      <c r="E281" s="73">
        <f>+'IMESI Vol Físico - Series mensu'!A249</f>
        <v>39142</v>
      </c>
      <c r="F281" s="73"/>
      <c r="G281" s="74" t="str">
        <f>IF($E$11="",IF(OR($E$7="seleccione rubro",$E$9="seleccione sub - rubro"),"-",HLOOKUP((CONCATENATE($E$9,$G$17)),'IMESI Vol Físico - Series mensu'!$C$4:$FZ$306,245,0)),"-")</f>
        <v>-</v>
      </c>
      <c r="H281" s="75"/>
      <c r="I281" s="74" t="str">
        <f>IF($E$11="",IF(OR($E$7="seleccione rubro",$E$9="seleccione sub - rubro"),"-",HLOOKUP((CONCATENATE($E$9,$I$17)),'IMESI Vol Físico - Series mensu'!$C$4:$FZ$306,246,0)),"-")</f>
        <v>-</v>
      </c>
      <c r="J281" s="75"/>
      <c r="K281" s="74" t="str">
        <f>IF($E$11="",IF(OR($E$7="seleccione rubro",$E$9="seleccione sub - rubro"),"-",HLOOKUP((CONCATENATE($E$9,$K$17)),'IMESI Vol Físico - Series mensu'!$C$4:$FZ$306,246,0)),"-")</f>
        <v>-</v>
      </c>
    </row>
    <row r="282" spans="4:11" x14ac:dyDescent="0.2">
      <c r="D282" s="72">
        <f t="shared" si="20"/>
        <v>2007</v>
      </c>
      <c r="E282" s="73">
        <f>+'IMESI Vol Físico - Series mensu'!A250</f>
        <v>39173</v>
      </c>
      <c r="F282" s="73"/>
      <c r="G282" s="74" t="str">
        <f>IF($E$11="",IF(OR($E$7="seleccione rubro",$E$9="seleccione sub - rubro"),"-",HLOOKUP((CONCATENATE($E$9,$G$17)),'IMESI Vol Físico - Series mensu'!$C$4:$FZ$306,246,0)),"-")</f>
        <v>-</v>
      </c>
      <c r="H282" s="75"/>
      <c r="I282" s="74" t="str">
        <f>IF($E$11="",IF(OR($E$7="seleccione rubro",$E$9="seleccione sub - rubro"),"-",HLOOKUP((CONCATENATE($E$9,$I$17)),'IMESI Vol Físico - Series mensu'!$C$4:$FZ$306,247,0)),"-")</f>
        <v>-</v>
      </c>
      <c r="J282" s="75"/>
      <c r="K282" s="74" t="str">
        <f>IF($E$11="",IF(OR($E$7="seleccione rubro",$E$9="seleccione sub - rubro"),"-",HLOOKUP((CONCATENATE($E$9,$K$17)),'IMESI Vol Físico - Series mensu'!$C$4:$FZ$306,247,0)),"-")</f>
        <v>-</v>
      </c>
    </row>
    <row r="283" spans="4:11" x14ac:dyDescent="0.2">
      <c r="D283" s="72">
        <f t="shared" si="20"/>
        <v>2007</v>
      </c>
      <c r="E283" s="73">
        <f>+'IMESI Vol Físico - Series mensu'!A251</f>
        <v>39203</v>
      </c>
      <c r="F283" s="73"/>
      <c r="G283" s="74" t="str">
        <f>IF($E$11="",IF(OR($E$7="seleccione rubro",$E$9="seleccione sub - rubro"),"-",HLOOKUP((CONCATENATE($E$9,$G$17)),'IMESI Vol Físico - Series mensu'!$C$4:$FZ$306,247,0)),"-")</f>
        <v>-</v>
      </c>
      <c r="H283" s="75"/>
      <c r="I283" s="74" t="str">
        <f>IF($E$11="",IF(OR($E$7="seleccione rubro",$E$9="seleccione sub - rubro"),"-",HLOOKUP((CONCATENATE($E$9,$I$17)),'IMESI Vol Físico - Series mensu'!$C$4:$FZ$306,248,0)),"-")</f>
        <v>-</v>
      </c>
      <c r="J283" s="75"/>
      <c r="K283" s="74" t="str">
        <f>IF($E$11="",IF(OR($E$7="seleccione rubro",$E$9="seleccione sub - rubro"),"-",HLOOKUP((CONCATENATE($E$9,$K$17)),'IMESI Vol Físico - Series mensu'!$C$4:$FZ$306,248,0)),"-")</f>
        <v>-</v>
      </c>
    </row>
    <row r="284" spans="4:11" x14ac:dyDescent="0.2">
      <c r="D284" s="72">
        <f t="shared" si="20"/>
        <v>2007</v>
      </c>
      <c r="E284" s="73">
        <f>+'IMESI Vol Físico - Series mensu'!A252</f>
        <v>39234</v>
      </c>
      <c r="F284" s="73"/>
      <c r="G284" s="74" t="str">
        <f>IF($E$11="",IF(OR($E$7="seleccione rubro",$E$9="seleccione sub - rubro"),"-",HLOOKUP((CONCATENATE($E$9,$G$17)),'IMESI Vol Físico - Series mensu'!$C$4:$FZ$306,248,0)),"-")</f>
        <v>-</v>
      </c>
      <c r="H284" s="75"/>
      <c r="I284" s="74" t="str">
        <f>IF($E$11="",IF(OR($E$7="seleccione rubro",$E$9="seleccione sub - rubro"),"-",HLOOKUP((CONCATENATE($E$9,$I$17)),'IMESI Vol Físico - Series mensu'!$C$4:$FZ$306,249,0)),"-")</f>
        <v>-</v>
      </c>
      <c r="J284" s="75"/>
      <c r="K284" s="74" t="str">
        <f>IF($E$11="",IF(OR($E$7="seleccione rubro",$E$9="seleccione sub - rubro"),"-",HLOOKUP((CONCATENATE($E$9,$K$17)),'IMESI Vol Físico - Series mensu'!$C$4:$FZ$306,249,0)),"-")</f>
        <v>-</v>
      </c>
    </row>
    <row r="285" spans="4:11" x14ac:dyDescent="0.2">
      <c r="D285" s="72">
        <f t="shared" si="20"/>
        <v>2007</v>
      </c>
      <c r="E285" s="73">
        <f>+'IMESI Vol Físico - Series mensu'!A253</f>
        <v>39264</v>
      </c>
      <c r="F285" s="73"/>
      <c r="G285" s="74" t="str">
        <f>IF($E$11="",IF(OR($E$7="seleccione rubro",$E$9="seleccione sub - rubro"),"-",HLOOKUP((CONCATENATE($E$9,$G$17)),'IMESI Vol Físico - Series mensu'!$C$4:$FZ$306,249,0)),"-")</f>
        <v>-</v>
      </c>
      <c r="H285" s="75"/>
      <c r="I285" s="74" t="str">
        <f>IF($E$11="",IF(OR($E$7="seleccione rubro",$E$9="seleccione sub - rubro"),"-",HLOOKUP((CONCATENATE($E$9,$I$17)),'IMESI Vol Físico - Series mensu'!$C$4:$FZ$306,250,0)),"-")</f>
        <v>-</v>
      </c>
      <c r="J285" s="75"/>
      <c r="K285" s="74" t="str">
        <f>IF($E$11="",IF(OR($E$7="seleccione rubro",$E$9="seleccione sub - rubro"),"-",HLOOKUP((CONCATENATE($E$9,$K$17)),'IMESI Vol Físico - Series mensu'!$C$4:$FZ$306,250,0)),"-")</f>
        <v>-</v>
      </c>
    </row>
    <row r="286" spans="4:11" x14ac:dyDescent="0.2">
      <c r="D286" s="72">
        <f t="shared" si="20"/>
        <v>2007</v>
      </c>
      <c r="E286" s="73">
        <f>+'IMESI Vol Físico - Series mensu'!A254</f>
        <v>39295</v>
      </c>
      <c r="F286" s="73"/>
      <c r="G286" s="74" t="str">
        <f>IF($E$11="",IF(OR($E$7="seleccione rubro",$E$9="seleccione sub - rubro"),"-",HLOOKUP((CONCATENATE($E$9,$G$17)),'IMESI Vol Físico - Series mensu'!$C$4:$FZ$306,250,0)),"-")</f>
        <v>-</v>
      </c>
      <c r="H286" s="75"/>
      <c r="I286" s="74" t="str">
        <f>IF($E$11="",IF(OR($E$7="seleccione rubro",$E$9="seleccione sub - rubro"),"-",HLOOKUP((CONCATENATE($E$9,$I$17)),'IMESI Vol Físico - Series mensu'!$C$4:$FZ$306,251,0)),"-")</f>
        <v>-</v>
      </c>
      <c r="J286" s="75"/>
      <c r="K286" s="74" t="str">
        <f>IF($E$11="",IF(OR($E$7="seleccione rubro",$E$9="seleccione sub - rubro"),"-",HLOOKUP((CONCATENATE($E$9,$K$17)),'IMESI Vol Físico - Series mensu'!$C$4:$FZ$306,251,0)),"-")</f>
        <v>-</v>
      </c>
    </row>
    <row r="287" spans="4:11" x14ac:dyDescent="0.2">
      <c r="D287" s="72">
        <f t="shared" si="20"/>
        <v>2007</v>
      </c>
      <c r="E287" s="73">
        <f>+'IMESI Vol Físico - Series mensu'!A255</f>
        <v>39326</v>
      </c>
      <c r="F287" s="73"/>
      <c r="G287" s="74" t="str">
        <f>IF($E$11="",IF(OR($E$7="seleccione rubro",$E$9="seleccione sub - rubro"),"-",HLOOKUP((CONCATENATE($E$9,$G$17)),'IMESI Vol Físico - Series mensu'!$C$4:$FZ$306,251,0)),"-")</f>
        <v>-</v>
      </c>
      <c r="H287" s="75"/>
      <c r="I287" s="74" t="str">
        <f>IF($E$11="",IF(OR($E$7="seleccione rubro",$E$9="seleccione sub - rubro"),"-",HLOOKUP((CONCATENATE($E$9,$I$17)),'IMESI Vol Físico - Series mensu'!$C$4:$FZ$306,252,0)),"-")</f>
        <v>-</v>
      </c>
      <c r="J287" s="75"/>
      <c r="K287" s="74" t="str">
        <f>IF($E$11="",IF(OR($E$7="seleccione rubro",$E$9="seleccione sub - rubro"),"-",HLOOKUP((CONCATENATE($E$9,$K$17)),'IMESI Vol Físico - Series mensu'!$C$4:$FZ$306,252,0)),"-")</f>
        <v>-</v>
      </c>
    </row>
    <row r="288" spans="4:11" x14ac:dyDescent="0.2">
      <c r="D288" s="72">
        <f t="shared" si="20"/>
        <v>2007</v>
      </c>
      <c r="E288" s="73">
        <f>+'IMESI Vol Físico - Series mensu'!A256</f>
        <v>39356</v>
      </c>
      <c r="F288" s="73"/>
      <c r="G288" s="74" t="str">
        <f>IF($E$11="",IF(OR($E$7="seleccione rubro",$E$9="seleccione sub - rubro"),"-",HLOOKUP((CONCATENATE($E$9,$G$17)),'IMESI Vol Físico - Series mensu'!$C$4:$FZ$306,252,0)),"-")</f>
        <v>-</v>
      </c>
      <c r="H288" s="75"/>
      <c r="I288" s="74" t="str">
        <f>IF($E$11="",IF(OR($E$7="seleccione rubro",$E$9="seleccione sub - rubro"),"-",HLOOKUP((CONCATENATE($E$9,$I$17)),'IMESI Vol Físico - Series mensu'!$C$4:$FZ$306,253,0)),"-")</f>
        <v>-</v>
      </c>
      <c r="J288" s="75"/>
      <c r="K288" s="74" t="str">
        <f>IF($E$11="",IF(OR($E$7="seleccione rubro",$E$9="seleccione sub - rubro"),"-",HLOOKUP((CONCATENATE($E$9,$K$17)),'IMESI Vol Físico - Series mensu'!$C$4:$FZ$306,253,0)),"-")</f>
        <v>-</v>
      </c>
    </row>
    <row r="289" spans="4:11" x14ac:dyDescent="0.2">
      <c r="D289" s="72">
        <f t="shared" si="20"/>
        <v>2007</v>
      </c>
      <c r="E289" s="73">
        <f>+'IMESI Vol Físico - Series mensu'!A257</f>
        <v>39387</v>
      </c>
      <c r="F289" s="73"/>
      <c r="G289" s="74" t="str">
        <f>IF($E$11="",IF(OR($E$7="seleccione rubro",$E$9="seleccione sub - rubro"),"-",HLOOKUP((CONCATENATE($E$9,$G$17)),'IMESI Vol Físico - Series mensu'!$C$4:$FZ$306,253,0)),"-")</f>
        <v>-</v>
      </c>
      <c r="H289" s="75"/>
      <c r="I289" s="74" t="str">
        <f>IF($E$11="",IF(OR($E$7="seleccione rubro",$E$9="seleccione sub - rubro"),"-",HLOOKUP((CONCATENATE($E$9,$I$17)),'IMESI Vol Físico - Series mensu'!$C$4:$FZ$306,254,0)),"-")</f>
        <v>-</v>
      </c>
      <c r="J289" s="75"/>
      <c r="K289" s="74" t="str">
        <f>IF($E$11="",IF(OR($E$7="seleccione rubro",$E$9="seleccione sub - rubro"),"-",HLOOKUP((CONCATENATE($E$9,$K$17)),'IMESI Vol Físico - Series mensu'!$C$4:$FZ$306,254,0)),"-")</f>
        <v>-</v>
      </c>
    </row>
    <row r="290" spans="4:11" x14ac:dyDescent="0.2">
      <c r="D290" s="72">
        <f t="shared" si="20"/>
        <v>2007</v>
      </c>
      <c r="E290" s="73">
        <f>+'IMESI Vol Físico - Series mensu'!A258</f>
        <v>39417</v>
      </c>
      <c r="F290" s="73"/>
      <c r="G290" s="74" t="str">
        <f>IF($E$11="",IF(OR($E$7="seleccione rubro",$E$9="seleccione sub - rubro"),"-",HLOOKUP((CONCATENATE($E$9,$G$17)),'IMESI Vol Físico - Series mensu'!$C$4:$FZ$306,254,0)),"-")</f>
        <v>-</v>
      </c>
      <c r="H290" s="75"/>
      <c r="I290" s="74" t="str">
        <f>IF($E$11="",IF(OR($E$7="seleccione rubro",$E$9="seleccione sub - rubro"),"-",HLOOKUP((CONCATENATE($E$9,$I$17)),'IMESI Vol Físico - Series mensu'!$C$4:$FZ$306,255,0)),"-")</f>
        <v>-</v>
      </c>
      <c r="J290" s="75"/>
      <c r="K290" s="74" t="str">
        <f>IF($E$11="",IF(OR($E$7="seleccione rubro",$E$9="seleccione sub - rubro"),"-",HLOOKUP((CONCATENATE($E$9,$K$17)),'IMESI Vol Físico - Series mensu'!$C$4:$FZ$306,255,0)),"-")</f>
        <v>-</v>
      </c>
    </row>
    <row r="291" spans="4:11" x14ac:dyDescent="0.2">
      <c r="D291" s="69">
        <f>+D292</f>
        <v>2008</v>
      </c>
      <c r="E291" s="70"/>
      <c r="F291" s="70"/>
      <c r="G291" s="74"/>
      <c r="H291" s="75"/>
      <c r="I291" s="74"/>
      <c r="J291" s="75"/>
      <c r="K291" s="74"/>
    </row>
    <row r="292" spans="4:11" x14ac:dyDescent="0.2">
      <c r="D292" s="72">
        <f>YEAR(E292)</f>
        <v>2008</v>
      </c>
      <c r="E292" s="73">
        <f>+'IMESI Vol Físico - Series mensu'!A259</f>
        <v>39448</v>
      </c>
      <c r="F292" s="73"/>
      <c r="G292" s="74" t="str">
        <f>IF($E$11="",IF(OR($E$7="seleccione rubro",$E$9="seleccione sub - rubro"),"-",HLOOKUP((CONCATENATE($E$9,$G$17)),'IMESI Vol Físico - Series mensu'!$C$4:$FZ$306,255,0)),"-")</f>
        <v>-</v>
      </c>
      <c r="H292" s="75"/>
      <c r="I292" s="74" t="str">
        <f>IF($E$11="",IF(OR($E$7="seleccione rubro",$E$9="seleccione sub - rubro"),"-",HLOOKUP((CONCATENATE($E$9,$I$17)),'IMESI Vol Físico - Series mensu'!$C$4:$FZ$306,256,0)),"-")</f>
        <v>-</v>
      </c>
      <c r="J292" s="75"/>
      <c r="K292" s="74" t="str">
        <f>IF($E$11="",IF(OR($E$7="seleccione rubro",$E$9="seleccione sub - rubro"),"-",HLOOKUP((CONCATENATE($E$9,$K$17)),'IMESI Vol Físico - Series mensu'!$C$4:$FZ$306,256,0)),"-")</f>
        <v>-</v>
      </c>
    </row>
    <row r="293" spans="4:11" x14ac:dyDescent="0.2">
      <c r="D293" s="72">
        <f t="shared" ref="D293:D303" si="21">YEAR(E293)</f>
        <v>2008</v>
      </c>
      <c r="E293" s="73">
        <f>+'IMESI Vol Físico - Series mensu'!A260</f>
        <v>39479</v>
      </c>
      <c r="F293" s="73"/>
      <c r="G293" s="74" t="str">
        <f>IF($E$11="",IF(OR($E$7="seleccione rubro",$E$9="seleccione sub - rubro"),"-",HLOOKUP((CONCATENATE($E$9,$G$17)),'IMESI Vol Físico - Series mensu'!$C$4:$FZ$306,256,0)),"-")</f>
        <v>-</v>
      </c>
      <c r="H293" s="75"/>
      <c r="I293" s="74" t="str">
        <f>IF($E$11="",IF(OR($E$7="seleccione rubro",$E$9="seleccione sub - rubro"),"-",HLOOKUP((CONCATENATE($E$9,$I$17)),'IMESI Vol Físico - Series mensu'!$C$4:$FZ$306,257,0)),"-")</f>
        <v>-</v>
      </c>
      <c r="J293" s="75"/>
      <c r="K293" s="74" t="str">
        <f>IF($E$11="",IF(OR($E$7="seleccione rubro",$E$9="seleccione sub - rubro"),"-",HLOOKUP((CONCATENATE($E$9,$K$17)),'IMESI Vol Físico - Series mensu'!$C$4:$FZ$306,257,0)),"-")</f>
        <v>-</v>
      </c>
    </row>
    <row r="294" spans="4:11" x14ac:dyDescent="0.2">
      <c r="D294" s="72">
        <f t="shared" si="21"/>
        <v>2008</v>
      </c>
      <c r="E294" s="73">
        <f>+'IMESI Vol Físico - Series mensu'!A261</f>
        <v>39508</v>
      </c>
      <c r="F294" s="73"/>
      <c r="G294" s="74" t="str">
        <f>IF($E$11="",IF(OR($E$7="seleccione rubro",$E$9="seleccione sub - rubro"),"-",HLOOKUP((CONCATENATE($E$9,$G$17)),'IMESI Vol Físico - Series mensu'!$C$4:$FZ$306,257,0)),"-")</f>
        <v>-</v>
      </c>
      <c r="H294" s="75"/>
      <c r="I294" s="74" t="str">
        <f>IF($E$11="",IF(OR($E$7="seleccione rubro",$E$9="seleccione sub - rubro"),"-",HLOOKUP((CONCATENATE($E$9,$I$17)),'IMESI Vol Físico - Series mensu'!$C$4:$FZ$306,258,0)),"-")</f>
        <v>-</v>
      </c>
      <c r="J294" s="75"/>
      <c r="K294" s="74" t="str">
        <f>IF($E$11="",IF(OR($E$7="seleccione rubro",$E$9="seleccione sub - rubro"),"-",HLOOKUP((CONCATENATE($E$9,$K$17)),'IMESI Vol Físico - Series mensu'!$C$4:$FZ$306,258,0)),"-")</f>
        <v>-</v>
      </c>
    </row>
    <row r="295" spans="4:11" x14ac:dyDescent="0.2">
      <c r="D295" s="72">
        <f t="shared" si="21"/>
        <v>2008</v>
      </c>
      <c r="E295" s="73">
        <f>+'IMESI Vol Físico - Series mensu'!A262</f>
        <v>39539</v>
      </c>
      <c r="F295" s="73"/>
      <c r="G295" s="74" t="str">
        <f>IF($E$11="",IF(OR($E$7="seleccione rubro",$E$9="seleccione sub - rubro"),"-",HLOOKUP((CONCATENATE($E$9,$G$17)),'IMESI Vol Físico - Series mensu'!$C$4:$FZ$306,258,0)),"-")</f>
        <v>-</v>
      </c>
      <c r="H295" s="75"/>
      <c r="I295" s="74" t="str">
        <f>IF($E$11="",IF(OR($E$7="seleccione rubro",$E$9="seleccione sub - rubro"),"-",HLOOKUP((CONCATENATE($E$9,$I$17)),'IMESI Vol Físico - Series mensu'!$C$4:$FZ$306,259,0)),"-")</f>
        <v>-</v>
      </c>
      <c r="J295" s="75"/>
      <c r="K295" s="74" t="str">
        <f>IF($E$11="",IF(OR($E$7="seleccione rubro",$E$9="seleccione sub - rubro"),"-",HLOOKUP((CONCATENATE($E$9,$K$17)),'IMESI Vol Físico - Series mensu'!$C$4:$FZ$306,259,0)),"-")</f>
        <v>-</v>
      </c>
    </row>
    <row r="296" spans="4:11" x14ac:dyDescent="0.2">
      <c r="D296" s="72">
        <f t="shared" si="21"/>
        <v>2008</v>
      </c>
      <c r="E296" s="73">
        <f>+'IMESI Vol Físico - Series mensu'!A263</f>
        <v>39569</v>
      </c>
      <c r="F296" s="73"/>
      <c r="G296" s="74" t="str">
        <f>IF($E$11="",IF(OR($E$7="seleccione rubro",$E$9="seleccione sub - rubro"),"-",HLOOKUP((CONCATENATE($E$9,$G$17)),'IMESI Vol Físico - Series mensu'!$C$4:$FZ$306,259,0)),"-")</f>
        <v>-</v>
      </c>
      <c r="H296" s="75"/>
      <c r="I296" s="74" t="str">
        <f>IF($E$11="",IF(OR($E$7="seleccione rubro",$E$9="seleccione sub - rubro"),"-",HLOOKUP((CONCATENATE($E$9,$I$17)),'IMESI Vol Físico - Series mensu'!$C$4:$FZ$306,260,0)),"-")</f>
        <v>-</v>
      </c>
      <c r="J296" s="75"/>
      <c r="K296" s="74" t="str">
        <f>IF($E$11="",IF(OR($E$7="seleccione rubro",$E$9="seleccione sub - rubro"),"-",HLOOKUP((CONCATENATE($E$9,$K$17)),'IMESI Vol Físico - Series mensu'!$C$4:$FZ$306,260,0)),"-")</f>
        <v>-</v>
      </c>
    </row>
    <row r="297" spans="4:11" x14ac:dyDescent="0.2">
      <c r="D297" s="72">
        <f t="shared" si="21"/>
        <v>2008</v>
      </c>
      <c r="E297" s="73">
        <f>+'IMESI Vol Físico - Series mensu'!A264</f>
        <v>39600</v>
      </c>
      <c r="F297" s="73"/>
      <c r="G297" s="74" t="str">
        <f>IF($E$11="",IF(OR($E$7="seleccione rubro",$E$9="seleccione sub - rubro"),"-",HLOOKUP((CONCATENATE($E$9,$G$17)),'IMESI Vol Físico - Series mensu'!$C$4:$FZ$306,260,0)),"-")</f>
        <v>-</v>
      </c>
      <c r="H297" s="75"/>
      <c r="I297" s="74" t="str">
        <f>IF($E$11="",IF(OR($E$7="seleccione rubro",$E$9="seleccione sub - rubro"),"-",HLOOKUP((CONCATENATE($E$9,$I$17)),'IMESI Vol Físico - Series mensu'!$C$4:$FZ$306,261,0)),"-")</f>
        <v>-</v>
      </c>
      <c r="J297" s="75"/>
      <c r="K297" s="74" t="str">
        <f>IF($E$11="",IF(OR($E$7="seleccione rubro",$E$9="seleccione sub - rubro"),"-",HLOOKUP((CONCATENATE($E$9,$K$17)),'IMESI Vol Físico - Series mensu'!$C$4:$FZ$306,261,0)),"-")</f>
        <v>-</v>
      </c>
    </row>
    <row r="298" spans="4:11" x14ac:dyDescent="0.2">
      <c r="D298" s="72">
        <f t="shared" si="21"/>
        <v>2008</v>
      </c>
      <c r="E298" s="73">
        <f>+'IMESI Vol Físico - Series mensu'!A265</f>
        <v>39630</v>
      </c>
      <c r="F298" s="73"/>
      <c r="G298" s="74" t="str">
        <f>IF($E$11="",IF(OR($E$7="seleccione rubro",$E$9="seleccione sub - rubro"),"-",HLOOKUP((CONCATENATE($E$9,$G$17)),'IMESI Vol Físico - Series mensu'!$C$4:$FZ$306,261,0)),"-")</f>
        <v>-</v>
      </c>
      <c r="H298" s="75"/>
      <c r="I298" s="74" t="str">
        <f>IF($E$11="",IF(OR($E$7="seleccione rubro",$E$9="seleccione sub - rubro"),"-",HLOOKUP((CONCATENATE($E$9,$I$17)),'IMESI Vol Físico - Series mensu'!$C$4:$FZ$306,262,0)),"-")</f>
        <v>-</v>
      </c>
      <c r="J298" s="75"/>
      <c r="K298" s="74" t="str">
        <f>IF($E$11="",IF(OR($E$7="seleccione rubro",$E$9="seleccione sub - rubro"),"-",HLOOKUP((CONCATENATE($E$9,$K$17)),'IMESI Vol Físico - Series mensu'!$C$4:$FZ$306,262,0)),"-")</f>
        <v>-</v>
      </c>
    </row>
    <row r="299" spans="4:11" x14ac:dyDescent="0.2">
      <c r="D299" s="72">
        <f t="shared" si="21"/>
        <v>2008</v>
      </c>
      <c r="E299" s="73">
        <f>+'IMESI Vol Físico - Series mensu'!A266</f>
        <v>39661</v>
      </c>
      <c r="F299" s="73"/>
      <c r="G299" s="74" t="str">
        <f>IF($E$11="",IF(OR($E$7="seleccione rubro",$E$9="seleccione sub - rubro"),"-",HLOOKUP((CONCATENATE($E$9,$G$17)),'IMESI Vol Físico - Series mensu'!$C$4:$FZ$306,262,0)),"-")</f>
        <v>-</v>
      </c>
      <c r="H299" s="75"/>
      <c r="I299" s="74" t="str">
        <f>IF($E$11="",IF(OR($E$7="seleccione rubro",$E$9="seleccione sub - rubro"),"-",HLOOKUP((CONCATENATE($E$9,$I$17)),'IMESI Vol Físico - Series mensu'!$C$4:$FZ$306,263,0)),"-")</f>
        <v>-</v>
      </c>
      <c r="J299" s="75"/>
      <c r="K299" s="74" t="str">
        <f>IF($E$11="",IF(OR($E$7="seleccione rubro",$E$9="seleccione sub - rubro"),"-",HLOOKUP((CONCATENATE($E$9,$K$17)),'IMESI Vol Físico - Series mensu'!$C$4:$FZ$306,263,0)),"-")</f>
        <v>-</v>
      </c>
    </row>
    <row r="300" spans="4:11" x14ac:dyDescent="0.2">
      <c r="D300" s="72">
        <f t="shared" si="21"/>
        <v>2008</v>
      </c>
      <c r="E300" s="73">
        <f>+'IMESI Vol Físico - Series mensu'!A267</f>
        <v>39692</v>
      </c>
      <c r="F300" s="73"/>
      <c r="G300" s="74" t="str">
        <f>IF($E$11="",IF(OR($E$7="seleccione rubro",$E$9="seleccione sub - rubro"),"-",HLOOKUP((CONCATENATE($E$9,$G$17)),'IMESI Vol Físico - Series mensu'!$C$4:$FZ$306,263,0)),"-")</f>
        <v>-</v>
      </c>
      <c r="H300" s="75"/>
      <c r="I300" s="74" t="str">
        <f>IF($E$11="",IF(OR($E$7="seleccione rubro",$E$9="seleccione sub - rubro"),"-",HLOOKUP((CONCATENATE($E$9,$I$17)),'IMESI Vol Físico - Series mensu'!$C$4:$FZ$306,264,0)),"-")</f>
        <v>-</v>
      </c>
      <c r="J300" s="75"/>
      <c r="K300" s="74" t="str">
        <f>IF($E$11="",IF(OR($E$7="seleccione rubro",$E$9="seleccione sub - rubro"),"-",HLOOKUP((CONCATENATE($E$9,$K$17)),'IMESI Vol Físico - Series mensu'!$C$4:$FZ$306,264,0)),"-")</f>
        <v>-</v>
      </c>
    </row>
    <row r="301" spans="4:11" x14ac:dyDescent="0.2">
      <c r="D301" s="72">
        <f t="shared" si="21"/>
        <v>2008</v>
      </c>
      <c r="E301" s="73">
        <f>+'IMESI Vol Físico - Series mensu'!A268</f>
        <v>39722</v>
      </c>
      <c r="F301" s="73"/>
      <c r="G301" s="74" t="str">
        <f>IF($E$11="",IF(OR($E$7="seleccione rubro",$E$9="seleccione sub - rubro"),"-",HLOOKUP((CONCATENATE($E$9,$G$17)),'IMESI Vol Físico - Series mensu'!$C$4:$FZ$306,264,0)),"-")</f>
        <v>-</v>
      </c>
      <c r="H301" s="75"/>
      <c r="I301" s="74" t="str">
        <f>IF($E$11="",IF(OR($E$7="seleccione rubro",$E$9="seleccione sub - rubro"),"-",HLOOKUP((CONCATENATE($E$9,$I$17)),'IMESI Vol Físico - Series mensu'!$C$4:$FZ$306,265,0)),"-")</f>
        <v>-</v>
      </c>
      <c r="J301" s="75"/>
      <c r="K301" s="74" t="str">
        <f>IF($E$11="",IF(OR($E$7="seleccione rubro",$E$9="seleccione sub - rubro"),"-",HLOOKUP((CONCATENATE($E$9,$K$17)),'IMESI Vol Físico - Series mensu'!$C$4:$FZ$306,265,0)),"-")</f>
        <v>-</v>
      </c>
    </row>
    <row r="302" spans="4:11" x14ac:dyDescent="0.2">
      <c r="D302" s="72">
        <f t="shared" si="21"/>
        <v>2008</v>
      </c>
      <c r="E302" s="73">
        <f>+'IMESI Vol Físico - Series mensu'!A269</f>
        <v>39753</v>
      </c>
      <c r="F302" s="73"/>
      <c r="G302" s="74" t="str">
        <f>IF($E$11="",IF(OR($E$7="seleccione rubro",$E$9="seleccione sub - rubro"),"-",HLOOKUP((CONCATENATE($E$9,$G$17)),'IMESI Vol Físico - Series mensu'!$C$4:$FZ$306,265,0)),"-")</f>
        <v>-</v>
      </c>
      <c r="H302" s="75"/>
      <c r="I302" s="74" t="str">
        <f>IF($E$11="",IF(OR($E$7="seleccione rubro",$E$9="seleccione sub - rubro"),"-",HLOOKUP((CONCATENATE($E$9,$I$17)),'IMESI Vol Físico - Series mensu'!$C$4:$FZ$306,266,0)),"-")</f>
        <v>-</v>
      </c>
      <c r="J302" s="75"/>
      <c r="K302" s="74" t="str">
        <f>IF($E$11="",IF(OR($E$7="seleccione rubro",$E$9="seleccione sub - rubro"),"-",HLOOKUP((CONCATENATE($E$9,$K$17)),'IMESI Vol Físico - Series mensu'!$C$4:$FZ$306,266,0)),"-")</f>
        <v>-</v>
      </c>
    </row>
    <row r="303" spans="4:11" x14ac:dyDescent="0.2">
      <c r="D303" s="72">
        <f t="shared" si="21"/>
        <v>2008</v>
      </c>
      <c r="E303" s="73">
        <f>+'IMESI Vol Físico - Series mensu'!A270</f>
        <v>39783</v>
      </c>
      <c r="F303" s="73"/>
      <c r="G303" s="74" t="str">
        <f>IF($E$11="",IF(OR($E$7="seleccione rubro",$E$9="seleccione sub - rubro"),"-",HLOOKUP((CONCATENATE($E$9,$G$17)),'IMESI Vol Físico - Series mensu'!$C$4:$FZ$306,266,0)),"-")</f>
        <v>-</v>
      </c>
      <c r="H303" s="75"/>
      <c r="I303" s="74" t="str">
        <f>IF($E$11="",IF(OR($E$7="seleccione rubro",$E$9="seleccione sub - rubro"),"-",HLOOKUP((CONCATENATE($E$9,$I$17)),'IMESI Vol Físico - Series mensu'!$C$4:$FZ$306,267,0)),"-")</f>
        <v>-</v>
      </c>
      <c r="J303" s="75"/>
      <c r="K303" s="74" t="str">
        <f>IF($E$11="",IF(OR($E$7="seleccione rubro",$E$9="seleccione sub - rubro"),"-",HLOOKUP((CONCATENATE($E$9,$K$17)),'IMESI Vol Físico - Series mensu'!$C$4:$FZ$306,267,0)),"-")</f>
        <v>-</v>
      </c>
    </row>
    <row r="304" spans="4:11" x14ac:dyDescent="0.2">
      <c r="D304" s="69">
        <f>+D305</f>
        <v>2009</v>
      </c>
      <c r="E304" s="70"/>
      <c r="F304" s="70"/>
      <c r="G304" s="74"/>
      <c r="H304" s="75"/>
      <c r="I304" s="74"/>
      <c r="J304" s="75"/>
      <c r="K304" s="74"/>
    </row>
    <row r="305" spans="4:11" x14ac:dyDescent="0.2">
      <c r="D305" s="72">
        <f>YEAR(E305)</f>
        <v>2009</v>
      </c>
      <c r="E305" s="73">
        <f>+'IMESI Vol Físico - Series mensu'!A271</f>
        <v>39814</v>
      </c>
      <c r="F305" s="73"/>
      <c r="G305" s="74" t="str">
        <f>IF($E$11="",IF(OR($E$7="seleccione rubro",$E$9="seleccione sub - rubro"),"-",HLOOKUP((CONCATENATE($E$9,$G$17)),'IMESI Vol Físico - Series mensu'!$C$4:$FZ$306,267,0)),"-")</f>
        <v>-</v>
      </c>
      <c r="H305" s="75"/>
      <c r="I305" s="74" t="str">
        <f>IF($E$11="",IF(OR($E$7="seleccione rubro",$E$9="seleccione sub - rubro"),"-",HLOOKUP((CONCATENATE($E$9,$I$17)),'IMESI Vol Físico - Series mensu'!$C$4:$FZ$306,268,0)),"-")</f>
        <v>-</v>
      </c>
      <c r="J305" s="75"/>
      <c r="K305" s="74" t="str">
        <f>IF($E$11="",IF(OR($E$7="seleccione rubro",$E$9="seleccione sub - rubro"),"-",HLOOKUP((CONCATENATE($E$9,$K$17)),'IMESI Vol Físico - Series mensu'!$C$4:$FZ$306,268,0)),"-")</f>
        <v>-</v>
      </c>
    </row>
    <row r="306" spans="4:11" x14ac:dyDescent="0.2">
      <c r="D306" s="72">
        <f t="shared" ref="D306:D316" si="22">YEAR(E306)</f>
        <v>2009</v>
      </c>
      <c r="E306" s="73">
        <f>+'IMESI Vol Físico - Series mensu'!A272</f>
        <v>39845</v>
      </c>
      <c r="F306" s="73"/>
      <c r="G306" s="74" t="str">
        <f>IF($E$11="",IF(OR($E$7="seleccione rubro",$E$9="seleccione sub - rubro"),"-",HLOOKUP((CONCATENATE($E$9,$G$17)),'IMESI Vol Físico - Series mensu'!$C$4:$FZ$306,268,0)),"-")</f>
        <v>-</v>
      </c>
      <c r="H306" s="75"/>
      <c r="I306" s="74" t="str">
        <f>IF($E$11="",IF(OR($E$7="seleccione rubro",$E$9="seleccione sub - rubro"),"-",HLOOKUP((CONCATENATE($E$9,$I$17)),'IMESI Vol Físico - Series mensu'!$C$4:$FZ$306,269,0)),"-")</f>
        <v>-</v>
      </c>
      <c r="J306" s="75"/>
      <c r="K306" s="74" t="str">
        <f>IF($E$11="",IF(OR($E$7="seleccione rubro",$E$9="seleccione sub - rubro"),"-",HLOOKUP((CONCATENATE($E$9,$K$17)),'IMESI Vol Físico - Series mensu'!$C$4:$FZ$306,269,0)),"-")</f>
        <v>-</v>
      </c>
    </row>
    <row r="307" spans="4:11" x14ac:dyDescent="0.2">
      <c r="D307" s="72">
        <f t="shared" si="22"/>
        <v>2009</v>
      </c>
      <c r="E307" s="73">
        <f>+'IMESI Vol Físico - Series mensu'!A273</f>
        <v>39873</v>
      </c>
      <c r="F307" s="73"/>
      <c r="G307" s="74" t="str">
        <f>IF($E$11="",IF(OR($E$7="seleccione rubro",$E$9="seleccione sub - rubro"),"-",HLOOKUP((CONCATENATE($E$9,$G$17)),'IMESI Vol Físico - Series mensu'!$C$4:$FZ$306,269,0)),"-")</f>
        <v>-</v>
      </c>
      <c r="H307" s="75"/>
      <c r="I307" s="74" t="str">
        <f>IF($E$11="",IF(OR($E$7="seleccione rubro",$E$9="seleccione sub - rubro"),"-",HLOOKUP((CONCATENATE($E$9,$I$17)),'IMESI Vol Físico - Series mensu'!$C$4:$FZ$306,270,0)),"-")</f>
        <v>-</v>
      </c>
      <c r="J307" s="75"/>
      <c r="K307" s="74" t="str">
        <f>IF($E$11="",IF(OR($E$7="seleccione rubro",$E$9="seleccione sub - rubro"),"-",HLOOKUP((CONCATENATE($E$9,$K$17)),'IMESI Vol Físico - Series mensu'!$C$4:$FZ$306,270,0)),"-")</f>
        <v>-</v>
      </c>
    </row>
    <row r="308" spans="4:11" x14ac:dyDescent="0.2">
      <c r="D308" s="72">
        <f t="shared" si="22"/>
        <v>2009</v>
      </c>
      <c r="E308" s="73">
        <f>+'IMESI Vol Físico - Series mensu'!A274</f>
        <v>39904</v>
      </c>
      <c r="F308" s="73"/>
      <c r="G308" s="74" t="str">
        <f>IF($E$11="",IF(OR($E$7="seleccione rubro",$E$9="seleccione sub - rubro"),"-",HLOOKUP((CONCATENATE($E$9,$G$17)),'IMESI Vol Físico - Series mensu'!$C$4:$FZ$306,270,0)),"-")</f>
        <v>-</v>
      </c>
      <c r="H308" s="75"/>
      <c r="I308" s="74" t="str">
        <f>IF($E$11="",IF(OR($E$7="seleccione rubro",$E$9="seleccione sub - rubro"),"-",HLOOKUP((CONCATENATE($E$9,$I$17)),'IMESI Vol Físico - Series mensu'!$C$4:$FZ$306,271,0)),"-")</f>
        <v>-</v>
      </c>
      <c r="J308" s="75"/>
      <c r="K308" s="74" t="str">
        <f>IF($E$11="",IF(OR($E$7="seleccione rubro",$E$9="seleccione sub - rubro"),"-",HLOOKUP((CONCATENATE($E$9,$K$17)),'IMESI Vol Físico - Series mensu'!$C$4:$FZ$306,271,0)),"-")</f>
        <v>-</v>
      </c>
    </row>
    <row r="309" spans="4:11" x14ac:dyDescent="0.2">
      <c r="D309" s="72">
        <f t="shared" si="22"/>
        <v>2009</v>
      </c>
      <c r="E309" s="73">
        <f>+'IMESI Vol Físico - Series mensu'!A275</f>
        <v>39934</v>
      </c>
      <c r="F309" s="73"/>
      <c r="G309" s="74" t="str">
        <f>IF($E$11="",IF(OR($E$7="seleccione rubro",$E$9="seleccione sub - rubro"),"-",HLOOKUP((CONCATENATE($E$9,$G$17)),'IMESI Vol Físico - Series mensu'!$C$4:$FZ$306,271,0)),"-")</f>
        <v>-</v>
      </c>
      <c r="H309" s="75"/>
      <c r="I309" s="74" t="str">
        <f>IF($E$11="",IF(OR($E$7="seleccione rubro",$E$9="seleccione sub - rubro"),"-",HLOOKUP((CONCATENATE($E$9,$I$17)),'IMESI Vol Físico - Series mensu'!$C$4:$FZ$306,272,0)),"-")</f>
        <v>-</v>
      </c>
      <c r="J309" s="75"/>
      <c r="K309" s="74" t="str">
        <f>IF($E$11="",IF(OR($E$7="seleccione rubro",$E$9="seleccione sub - rubro"),"-",HLOOKUP((CONCATENATE($E$9,$K$17)),'IMESI Vol Físico - Series mensu'!$C$4:$FZ$306,272,0)),"-")</f>
        <v>-</v>
      </c>
    </row>
    <row r="310" spans="4:11" x14ac:dyDescent="0.2">
      <c r="D310" s="72">
        <f t="shared" si="22"/>
        <v>2009</v>
      </c>
      <c r="E310" s="73">
        <f>+'IMESI Vol Físico - Series mensu'!A276</f>
        <v>39965</v>
      </c>
      <c r="F310" s="73"/>
      <c r="G310" s="74" t="str">
        <f>IF($E$11="",IF(OR($E$7="seleccione rubro",$E$9="seleccione sub - rubro"),"-",HLOOKUP((CONCATENATE($E$9,$G$17)),'IMESI Vol Físico - Series mensu'!$C$4:$FZ$306,272,0)),"-")</f>
        <v>-</v>
      </c>
      <c r="H310" s="75"/>
      <c r="I310" s="74" t="str">
        <f>IF($E$11="",IF(OR($E$7="seleccione rubro",$E$9="seleccione sub - rubro"),"-",HLOOKUP((CONCATENATE($E$9,$I$17)),'IMESI Vol Físico - Series mensu'!$C$4:$FZ$306,273,0)),"-")</f>
        <v>-</v>
      </c>
      <c r="J310" s="75"/>
      <c r="K310" s="74" t="str">
        <f>IF($E$11="",IF(OR($E$7="seleccione rubro",$E$9="seleccione sub - rubro"),"-",HLOOKUP((CONCATENATE($E$9,$K$17)),'IMESI Vol Físico - Series mensu'!$C$4:$FZ$306,273,0)),"-")</f>
        <v>-</v>
      </c>
    </row>
    <row r="311" spans="4:11" x14ac:dyDescent="0.2">
      <c r="D311" s="72">
        <f t="shared" si="22"/>
        <v>2009</v>
      </c>
      <c r="E311" s="73">
        <f>+'IMESI Vol Físico - Series mensu'!A277</f>
        <v>39995</v>
      </c>
      <c r="F311" s="73"/>
      <c r="G311" s="74" t="str">
        <f>IF($E$11="",IF(OR($E$7="seleccione rubro",$E$9="seleccione sub - rubro"),"-",HLOOKUP((CONCATENATE($E$9,$G$17)),'IMESI Vol Físico - Series mensu'!$C$4:$FZ$306,273,0)),"-")</f>
        <v>-</v>
      </c>
      <c r="H311" s="75"/>
      <c r="I311" s="74" t="str">
        <f>IF($E$11="",IF(OR($E$7="seleccione rubro",$E$9="seleccione sub - rubro"),"-",HLOOKUP((CONCATENATE($E$9,$I$17)),'IMESI Vol Físico - Series mensu'!$C$4:$FZ$306,274,0)),"-")</f>
        <v>-</v>
      </c>
      <c r="J311" s="75"/>
      <c r="K311" s="74" t="str">
        <f>IF($E$11="",IF(OR($E$7="seleccione rubro",$E$9="seleccione sub - rubro"),"-",HLOOKUP((CONCATENATE($E$9,$K$17)),'IMESI Vol Físico - Series mensu'!$C$4:$FZ$306,274,0)),"-")</f>
        <v>-</v>
      </c>
    </row>
    <row r="312" spans="4:11" x14ac:dyDescent="0.2">
      <c r="D312" s="72">
        <f t="shared" si="22"/>
        <v>2009</v>
      </c>
      <c r="E312" s="73">
        <f>+'IMESI Vol Físico - Series mensu'!A278</f>
        <v>40026</v>
      </c>
      <c r="F312" s="73"/>
      <c r="G312" s="74" t="str">
        <f>IF($E$11="",IF(OR($E$7="seleccione rubro",$E$9="seleccione sub - rubro"),"-",HLOOKUP((CONCATENATE($E$9,$G$17)),'IMESI Vol Físico - Series mensu'!$C$4:$FZ$306,274,0)),"-")</f>
        <v>-</v>
      </c>
      <c r="H312" s="75"/>
      <c r="I312" s="74" t="str">
        <f>IF($E$11="",IF(OR($E$7="seleccione rubro",$E$9="seleccione sub - rubro"),"-",HLOOKUP((CONCATENATE($E$9,$I$17)),'IMESI Vol Físico - Series mensu'!$C$4:$FZ$306,275,0)),"-")</f>
        <v>-</v>
      </c>
      <c r="J312" s="75"/>
      <c r="K312" s="74" t="str">
        <f>IF($E$11="",IF(OR($E$7="seleccione rubro",$E$9="seleccione sub - rubro"),"-",HLOOKUP((CONCATENATE($E$9,$K$17)),'IMESI Vol Físico - Series mensu'!$C$4:$FZ$306,275,0)),"-")</f>
        <v>-</v>
      </c>
    </row>
    <row r="313" spans="4:11" x14ac:dyDescent="0.2">
      <c r="D313" s="72">
        <f t="shared" si="22"/>
        <v>2009</v>
      </c>
      <c r="E313" s="73">
        <f>+'IMESI Vol Físico - Series mensu'!A279</f>
        <v>40057</v>
      </c>
      <c r="F313" s="73"/>
      <c r="G313" s="74" t="str">
        <f>IF($E$11="",IF(OR($E$7="seleccione rubro",$E$9="seleccione sub - rubro"),"-",HLOOKUP((CONCATENATE($E$9,$G$17)),'IMESI Vol Físico - Series mensu'!$C$4:$FZ$306,275,0)),"-")</f>
        <v>-</v>
      </c>
      <c r="H313" s="75"/>
      <c r="I313" s="74" t="str">
        <f>IF($E$11="",IF(OR($E$7="seleccione rubro",$E$9="seleccione sub - rubro"),"-",HLOOKUP((CONCATENATE($E$9,$I$17)),'IMESI Vol Físico - Series mensu'!$C$4:$FZ$306,276,0)),"-")</f>
        <v>-</v>
      </c>
      <c r="J313" s="75"/>
      <c r="K313" s="74" t="str">
        <f>IF($E$11="",IF(OR($E$7="seleccione rubro",$E$9="seleccione sub - rubro"),"-",HLOOKUP((CONCATENATE($E$9,$K$17)),'IMESI Vol Físico - Series mensu'!$C$4:$FZ$306,276,0)),"-")</f>
        <v>-</v>
      </c>
    </row>
    <row r="314" spans="4:11" x14ac:dyDescent="0.2">
      <c r="D314" s="72">
        <f t="shared" si="22"/>
        <v>2009</v>
      </c>
      <c r="E314" s="73">
        <f>+'IMESI Vol Físico - Series mensu'!A280</f>
        <v>40087</v>
      </c>
      <c r="F314" s="73"/>
      <c r="G314" s="74" t="str">
        <f>IF($E$11="",IF(OR($E$7="seleccione rubro",$E$9="seleccione sub - rubro"),"-",HLOOKUP((CONCATENATE($E$9,$G$17)),'IMESI Vol Físico - Series mensu'!$C$4:$FZ$306,276,0)),"-")</f>
        <v>-</v>
      </c>
      <c r="H314" s="75"/>
      <c r="I314" s="74" t="str">
        <f>IF($E$11="",IF(OR($E$7="seleccione rubro",$E$9="seleccione sub - rubro"),"-",HLOOKUP((CONCATENATE($E$9,$I$17)),'IMESI Vol Físico - Series mensu'!$C$4:$FZ$306,277,0)),"-")</f>
        <v>-</v>
      </c>
      <c r="J314" s="75"/>
      <c r="K314" s="74" t="str">
        <f>IF($E$11="",IF(OR($E$7="seleccione rubro",$E$9="seleccione sub - rubro"),"-",HLOOKUP((CONCATENATE($E$9,$K$17)),'IMESI Vol Físico - Series mensu'!$C$4:$FZ$306,277,0)),"-")</f>
        <v>-</v>
      </c>
    </row>
    <row r="315" spans="4:11" x14ac:dyDescent="0.2">
      <c r="D315" s="72">
        <f t="shared" si="22"/>
        <v>2009</v>
      </c>
      <c r="E315" s="73">
        <f>+'IMESI Vol Físico - Series mensu'!A281</f>
        <v>40118</v>
      </c>
      <c r="F315" s="73"/>
      <c r="G315" s="74" t="str">
        <f>IF($E$11="",IF(OR($E$7="seleccione rubro",$E$9="seleccione sub - rubro"),"-",HLOOKUP((CONCATENATE($E$9,$G$17)),'IMESI Vol Físico - Series mensu'!$C$4:$FZ$306,277,0)),"-")</f>
        <v>-</v>
      </c>
      <c r="H315" s="75"/>
      <c r="I315" s="74" t="str">
        <f>IF($E$11="",IF(OR($E$7="seleccione rubro",$E$9="seleccione sub - rubro"),"-",HLOOKUP((CONCATENATE($E$9,$I$17)),'IMESI Vol Físico - Series mensu'!$C$4:$FZ$306,278,0)),"-")</f>
        <v>-</v>
      </c>
      <c r="J315" s="75"/>
      <c r="K315" s="74" t="str">
        <f>IF($E$11="",IF(OR($E$7="seleccione rubro",$E$9="seleccione sub - rubro"),"-",HLOOKUP((CONCATENATE($E$9,$K$17)),'IMESI Vol Físico - Series mensu'!$C$4:$FZ$306,278,0)),"-")</f>
        <v>-</v>
      </c>
    </row>
    <row r="316" spans="4:11" x14ac:dyDescent="0.2">
      <c r="D316" s="72">
        <f t="shared" si="22"/>
        <v>2009</v>
      </c>
      <c r="E316" s="73">
        <f>+'IMESI Vol Físico - Series mensu'!A282</f>
        <v>40148</v>
      </c>
      <c r="F316" s="73"/>
      <c r="G316" s="74" t="str">
        <f>IF($E$11="",IF(OR($E$7="seleccione rubro",$E$9="seleccione sub - rubro"),"-",HLOOKUP((CONCATENATE($E$9,$G$17)),'IMESI Vol Físico - Series mensu'!$C$4:$FZ$306,278,0)),"-")</f>
        <v>-</v>
      </c>
      <c r="H316" s="75"/>
      <c r="I316" s="74" t="str">
        <f>IF($E$11="",IF(OR($E$7="seleccione rubro",$E$9="seleccione sub - rubro"),"-",HLOOKUP((CONCATENATE($E$9,$I$17)),'IMESI Vol Físico - Series mensu'!$C$4:$FZ$306,279,0)),"-")</f>
        <v>-</v>
      </c>
      <c r="J316" s="75"/>
      <c r="K316" s="74" t="str">
        <f>IF($E$11="",IF(OR($E$7="seleccione rubro",$E$9="seleccione sub - rubro"),"-",HLOOKUP((CONCATENATE($E$9,$K$17)),'IMESI Vol Físico - Series mensu'!$C$4:$FZ$306,279,0)),"-")</f>
        <v>-</v>
      </c>
    </row>
    <row r="317" spans="4:11" x14ac:dyDescent="0.2">
      <c r="D317" s="69">
        <f>+D318</f>
        <v>2010</v>
      </c>
      <c r="E317" s="70"/>
      <c r="F317" s="70"/>
      <c r="G317" s="74"/>
      <c r="H317" s="75"/>
      <c r="I317" s="74"/>
      <c r="J317" s="75"/>
      <c r="K317" s="74"/>
    </row>
    <row r="318" spans="4:11" x14ac:dyDescent="0.2">
      <c r="D318" s="72">
        <f>YEAR(E318)</f>
        <v>2010</v>
      </c>
      <c r="E318" s="73">
        <f>+'IMESI Vol Físico - Series mensu'!A283</f>
        <v>40179</v>
      </c>
      <c r="F318" s="73"/>
      <c r="G318" s="74" t="str">
        <f>IF($E$11="",IF(OR($E$7="seleccione rubro",$E$9="seleccione sub - rubro"),"-",HLOOKUP((CONCATENATE($E$9,$G$17)),'IMESI Vol Físico - Series mensu'!$C$4:$FZ$306,279,0)),"-")</f>
        <v>-</v>
      </c>
      <c r="H318" s="75"/>
      <c r="I318" s="74" t="str">
        <f>IF($E$11="",IF(OR($E$7="seleccione rubro",$E$9="seleccione sub - rubro"),"-",HLOOKUP((CONCATENATE($E$9,$I$17)),'IMESI Vol Físico - Series mensu'!$C$4:$FZ$306,280,0)),"-")</f>
        <v>-</v>
      </c>
      <c r="J318" s="75"/>
      <c r="K318" s="74" t="str">
        <f>IF($E$11="",IF(OR($E$7="seleccione rubro",$E$9="seleccione sub - rubro"),"-",HLOOKUP((CONCATENATE($E$9,$K$17)),'IMESI Vol Físico - Series mensu'!$C$4:$FZ$306,280,0)),"-")</f>
        <v>-</v>
      </c>
    </row>
    <row r="319" spans="4:11" x14ac:dyDescent="0.2">
      <c r="D319" s="72">
        <f t="shared" ref="D319:D329" si="23">YEAR(E319)</f>
        <v>2010</v>
      </c>
      <c r="E319" s="73">
        <f>+'IMESI Vol Físico - Series mensu'!A284</f>
        <v>40210</v>
      </c>
      <c r="F319" s="73"/>
      <c r="G319" s="74" t="str">
        <f>IF($E$11="",IF(OR($E$7="seleccione rubro",$E$9="seleccione sub - rubro"),"-",HLOOKUP((CONCATENATE($E$9,$G$17)),'IMESI Vol Físico - Series mensu'!$C$4:$FZ$306,280,0)),"-")</f>
        <v>-</v>
      </c>
      <c r="H319" s="75"/>
      <c r="I319" s="74" t="str">
        <f>IF($E$11="",IF(OR($E$7="seleccione rubro",$E$9="seleccione sub - rubro"),"-",HLOOKUP((CONCATENATE($E$9,$I$17)),'IMESI Vol Físico - Series mensu'!$C$4:$FZ$306,281,0)),"-")</f>
        <v>-</v>
      </c>
      <c r="J319" s="75"/>
      <c r="K319" s="74" t="str">
        <f>IF($E$11="",IF(OR($E$7="seleccione rubro",$E$9="seleccione sub - rubro"),"-",HLOOKUP((CONCATENATE($E$9,$K$17)),'IMESI Vol Físico - Series mensu'!$C$4:$FZ$306,281,0)),"-")</f>
        <v>-</v>
      </c>
    </row>
    <row r="320" spans="4:11" x14ac:dyDescent="0.2">
      <c r="D320" s="72">
        <f t="shared" si="23"/>
        <v>2010</v>
      </c>
      <c r="E320" s="73">
        <f>+'IMESI Vol Físico - Series mensu'!A285</f>
        <v>40238</v>
      </c>
      <c r="F320" s="73"/>
      <c r="G320" s="74" t="str">
        <f>IF($E$11="",IF(OR($E$7="seleccione rubro",$E$9="seleccione sub - rubro"),"-",HLOOKUP((CONCATENATE($E$9,$G$17)),'IMESI Vol Físico - Series mensu'!$C$4:$FZ$306,281,0)),"-")</f>
        <v>-</v>
      </c>
      <c r="H320" s="75"/>
      <c r="I320" s="74" t="str">
        <f>IF($E$11="",IF(OR($E$7="seleccione rubro",$E$9="seleccione sub - rubro"),"-",HLOOKUP((CONCATENATE($E$9,$I$17)),'IMESI Vol Físico - Series mensu'!$C$4:$FZ$306,282,0)),"-")</f>
        <v>-</v>
      </c>
      <c r="J320" s="75"/>
      <c r="K320" s="74" t="str">
        <f>IF($E$11="",IF(OR($E$7="seleccione rubro",$E$9="seleccione sub - rubro"),"-",HLOOKUP((CONCATENATE($E$9,$K$17)),'IMESI Vol Físico - Series mensu'!$C$4:$FZ$306,282,0)),"-")</f>
        <v>-</v>
      </c>
    </row>
    <row r="321" spans="4:11" x14ac:dyDescent="0.2">
      <c r="D321" s="72">
        <f t="shared" si="23"/>
        <v>2010</v>
      </c>
      <c r="E321" s="73">
        <f>+'IMESI Vol Físico - Series mensu'!A286</f>
        <v>40269</v>
      </c>
      <c r="F321" s="73"/>
      <c r="G321" s="74" t="str">
        <f>IF($E$11="",IF(OR($E$7="seleccione rubro",$E$9="seleccione sub - rubro"),"-",HLOOKUP((CONCATENATE($E$9,$G$17)),'IMESI Vol Físico - Series mensu'!$C$4:$FZ$306,282,0)),"-")</f>
        <v>-</v>
      </c>
      <c r="H321" s="75"/>
      <c r="I321" s="74" t="str">
        <f>IF($E$11="",IF(OR($E$7="seleccione rubro",$E$9="seleccione sub - rubro"),"-",HLOOKUP((CONCATENATE($E$9,$I$17)),'IMESI Vol Físico - Series mensu'!$C$4:$FZ$306,283,0)),"-")</f>
        <v>-</v>
      </c>
      <c r="J321" s="75"/>
      <c r="K321" s="74" t="str">
        <f>IF($E$11="",IF(OR($E$7="seleccione rubro",$E$9="seleccione sub - rubro"),"-",HLOOKUP((CONCATENATE($E$9,$K$17)),'IMESI Vol Físico - Series mensu'!$C$4:$FZ$306,283,0)),"-")</f>
        <v>-</v>
      </c>
    </row>
    <row r="322" spans="4:11" x14ac:dyDescent="0.2">
      <c r="D322" s="72">
        <f t="shared" si="23"/>
        <v>2010</v>
      </c>
      <c r="E322" s="73">
        <f>+'IMESI Vol Físico - Series mensu'!A287</f>
        <v>40299</v>
      </c>
      <c r="F322" s="73"/>
      <c r="G322" s="74" t="str">
        <f>IF($E$11="",IF(OR($E$7="seleccione rubro",$E$9="seleccione sub - rubro"),"-",HLOOKUP((CONCATENATE($E$9,$G$17)),'IMESI Vol Físico - Series mensu'!$C$4:$FZ$306,283,0)),"-")</f>
        <v>-</v>
      </c>
      <c r="H322" s="75"/>
      <c r="I322" s="74" t="str">
        <f>IF($E$11="",IF(OR($E$7="seleccione rubro",$E$9="seleccione sub - rubro"),"-",HLOOKUP((CONCATENATE($E$9,$I$17)),'IMESI Vol Físico - Series mensu'!$C$4:$FZ$306,284,0)),"-")</f>
        <v>-</v>
      </c>
      <c r="J322" s="75"/>
      <c r="K322" s="74" t="str">
        <f>IF($E$11="",IF(OR($E$7="seleccione rubro",$E$9="seleccione sub - rubro"),"-",HLOOKUP((CONCATENATE($E$9,$K$17)),'IMESI Vol Físico - Series mensu'!$C$4:$FZ$306,284,0)),"-")</f>
        <v>-</v>
      </c>
    </row>
    <row r="323" spans="4:11" x14ac:dyDescent="0.2">
      <c r="D323" s="72">
        <f t="shared" si="23"/>
        <v>2010</v>
      </c>
      <c r="E323" s="73">
        <f>+'IMESI Vol Físico - Series mensu'!A288</f>
        <v>40330</v>
      </c>
      <c r="F323" s="73"/>
      <c r="G323" s="74" t="str">
        <f>IF($E$11="",IF(OR($E$7="seleccione rubro",$E$9="seleccione sub - rubro"),"-",HLOOKUP((CONCATENATE($E$9,$G$17)),'IMESI Vol Físico - Series mensu'!$C$4:$FZ$306,284,0)),"-")</f>
        <v>-</v>
      </c>
      <c r="H323" s="75"/>
      <c r="I323" s="74" t="str">
        <f>IF($E$11="",IF(OR($E$7="seleccione rubro",$E$9="seleccione sub - rubro"),"-",HLOOKUP((CONCATENATE($E$9,$I$17)),'IMESI Vol Físico - Series mensu'!$C$4:$FZ$306,285,0)),"-")</f>
        <v>-</v>
      </c>
      <c r="J323" s="75"/>
      <c r="K323" s="74" t="str">
        <f>IF($E$11="",IF(OR($E$7="seleccione rubro",$E$9="seleccione sub - rubro"),"-",HLOOKUP((CONCATENATE($E$9,$K$17)),'IMESI Vol Físico - Series mensu'!$C$4:$FZ$306,285,0)),"-")</f>
        <v>-</v>
      </c>
    </row>
    <row r="324" spans="4:11" x14ac:dyDescent="0.2">
      <c r="D324" s="72">
        <f t="shared" si="23"/>
        <v>2010</v>
      </c>
      <c r="E324" s="73">
        <f>+'IMESI Vol Físico - Series mensu'!A289</f>
        <v>40360</v>
      </c>
      <c r="F324" s="73"/>
      <c r="G324" s="74" t="str">
        <f>IF($E$11="",IF(OR($E$7="seleccione rubro",$E$9="seleccione sub - rubro"),"-",HLOOKUP((CONCATENATE($E$9,$G$17)),'IMESI Vol Físico - Series mensu'!$C$4:$FZ$306,285,0)),"-")</f>
        <v>-</v>
      </c>
      <c r="H324" s="75"/>
      <c r="I324" s="74" t="str">
        <f>IF($E$11="",IF(OR($E$7="seleccione rubro",$E$9="seleccione sub - rubro"),"-",HLOOKUP((CONCATENATE($E$9,$I$17)),'IMESI Vol Físico - Series mensu'!$C$4:$FZ$306,286,0)),"-")</f>
        <v>-</v>
      </c>
      <c r="J324" s="75"/>
      <c r="K324" s="74" t="str">
        <f>IF($E$11="",IF(OR($E$7="seleccione rubro",$E$9="seleccione sub - rubro"),"-",HLOOKUP((CONCATENATE($E$9,$K$17)),'IMESI Vol Físico - Series mensu'!$C$4:$FZ$306,286,0)),"-")</f>
        <v>-</v>
      </c>
    </row>
    <row r="325" spans="4:11" x14ac:dyDescent="0.2">
      <c r="D325" s="72">
        <f t="shared" si="23"/>
        <v>2010</v>
      </c>
      <c r="E325" s="73">
        <f>+'IMESI Vol Físico - Series mensu'!A290</f>
        <v>40391</v>
      </c>
      <c r="F325" s="73"/>
      <c r="G325" s="74" t="str">
        <f>IF($E$11="",IF(OR($E$7="seleccione rubro",$E$9="seleccione sub - rubro"),"-",HLOOKUP((CONCATENATE($E$9,$G$17)),'IMESI Vol Físico - Series mensu'!$C$4:$FZ$306,286,0)),"-")</f>
        <v>-</v>
      </c>
      <c r="H325" s="75"/>
      <c r="I325" s="74" t="str">
        <f>IF($E$11="",IF(OR($E$7="seleccione rubro",$E$9="seleccione sub - rubro"),"-",HLOOKUP((CONCATENATE($E$9,$I$17)),'IMESI Vol Físico - Series mensu'!$C$4:$FZ$306,287,0)),"-")</f>
        <v>-</v>
      </c>
      <c r="J325" s="75"/>
      <c r="K325" s="74" t="str">
        <f>IF($E$11="",IF(OR($E$7="seleccione rubro",$E$9="seleccione sub - rubro"),"-",HLOOKUP((CONCATENATE($E$9,$K$17)),'IMESI Vol Físico - Series mensu'!$C$4:$FZ$306,287,0)),"-")</f>
        <v>-</v>
      </c>
    </row>
    <row r="326" spans="4:11" x14ac:dyDescent="0.2">
      <c r="D326" s="72">
        <f t="shared" si="23"/>
        <v>2010</v>
      </c>
      <c r="E326" s="73">
        <f>+'IMESI Vol Físico - Series mensu'!A291</f>
        <v>40422</v>
      </c>
      <c r="F326" s="73"/>
      <c r="G326" s="74" t="str">
        <f>IF($E$11="",IF(OR($E$7="seleccione rubro",$E$9="seleccione sub - rubro"),"-",HLOOKUP((CONCATENATE($E$9,$G$17)),'IMESI Vol Físico - Series mensu'!$C$4:$FZ$306,287,0)),"-")</f>
        <v>-</v>
      </c>
      <c r="H326" s="75"/>
      <c r="I326" s="74" t="str">
        <f>IF($E$11="",IF(OR($E$7="seleccione rubro",$E$9="seleccione sub - rubro"),"-",HLOOKUP((CONCATENATE($E$9,$I$17)),'IMESI Vol Físico - Series mensu'!$C$4:$FZ$306,288,0)),"-")</f>
        <v>-</v>
      </c>
      <c r="J326" s="75"/>
      <c r="K326" s="74" t="str">
        <f>IF($E$11="",IF(OR($E$7="seleccione rubro",$E$9="seleccione sub - rubro"),"-",HLOOKUP((CONCATENATE($E$9,$K$17)),'IMESI Vol Físico - Series mensu'!$C$4:$FZ$306,288,0)),"-")</f>
        <v>-</v>
      </c>
    </row>
    <row r="327" spans="4:11" x14ac:dyDescent="0.2">
      <c r="D327" s="72">
        <f t="shared" si="23"/>
        <v>2010</v>
      </c>
      <c r="E327" s="73">
        <f>+'IMESI Vol Físico - Series mensu'!A292</f>
        <v>40452</v>
      </c>
      <c r="F327" s="73"/>
      <c r="G327" s="74" t="str">
        <f>IF($E$11="",IF(OR($E$7="seleccione rubro",$E$9="seleccione sub - rubro"),"-",HLOOKUP((CONCATENATE($E$9,$G$17)),'IMESI Vol Físico - Series mensu'!$C$4:$FZ$306,288,0)),"-")</f>
        <v>-</v>
      </c>
      <c r="H327" s="75"/>
      <c r="I327" s="74" t="str">
        <f>IF($E$11="",IF(OR($E$7="seleccione rubro",$E$9="seleccione sub - rubro"),"-",HLOOKUP((CONCATENATE($E$9,$I$17)),'IMESI Vol Físico - Series mensu'!$C$4:$FZ$306,289,0)),"-")</f>
        <v>-</v>
      </c>
      <c r="J327" s="75"/>
      <c r="K327" s="74" t="str">
        <f>IF($E$11="",IF(OR($E$7="seleccione rubro",$E$9="seleccione sub - rubro"),"-",HLOOKUP((CONCATENATE($E$9,$K$17)),'IMESI Vol Físico - Series mensu'!$C$4:$FZ$306,289,0)),"-")</f>
        <v>-</v>
      </c>
    </row>
    <row r="328" spans="4:11" x14ac:dyDescent="0.2">
      <c r="D328" s="72">
        <f t="shared" si="23"/>
        <v>2010</v>
      </c>
      <c r="E328" s="73">
        <f>+'IMESI Vol Físico - Series mensu'!A293</f>
        <v>40483</v>
      </c>
      <c r="F328" s="73"/>
      <c r="G328" s="74" t="str">
        <f>IF($E$11="",IF(OR($E$7="seleccione rubro",$E$9="seleccione sub - rubro"),"-",HLOOKUP((CONCATENATE($E$9,$G$17)),'IMESI Vol Físico - Series mensu'!$C$4:$FZ$306,289,0)),"-")</f>
        <v>-</v>
      </c>
      <c r="H328" s="75"/>
      <c r="I328" s="74" t="str">
        <f>IF($E$11="",IF(OR($E$7="seleccione rubro",$E$9="seleccione sub - rubro"),"-",HLOOKUP((CONCATENATE($E$9,$I$17)),'IMESI Vol Físico - Series mensu'!$C$4:$FZ$306,290,0)),"-")</f>
        <v>-</v>
      </c>
      <c r="J328" s="75"/>
      <c r="K328" s="74" t="str">
        <f>IF($E$11="",IF(OR($E$7="seleccione rubro",$E$9="seleccione sub - rubro"),"-",HLOOKUP((CONCATENATE($E$9,$K$17)),'IMESI Vol Físico - Series mensu'!$C$4:$FZ$306,290,0)),"-")</f>
        <v>-</v>
      </c>
    </row>
    <row r="329" spans="4:11" x14ac:dyDescent="0.2">
      <c r="D329" s="72">
        <f t="shared" si="23"/>
        <v>2010</v>
      </c>
      <c r="E329" s="73">
        <f>+'IMESI Vol Físico - Series mensu'!A294</f>
        <v>40513</v>
      </c>
      <c r="F329" s="73"/>
      <c r="G329" s="74" t="str">
        <f>IF($E$11="",IF(OR($E$7="seleccione rubro",$E$9="seleccione sub - rubro"),"-",HLOOKUP((CONCATENATE($E$9,$G$17)),'IMESI Vol Físico - Series mensu'!$C$4:$FZ$306,290,0)),"-")</f>
        <v>-</v>
      </c>
      <c r="H329" s="75"/>
      <c r="I329" s="74" t="str">
        <f>IF($E$11="",IF(OR($E$7="seleccione rubro",$E$9="seleccione sub - rubro"),"-",HLOOKUP((CONCATENATE($E$9,$I$17)),'IMESI Vol Físico - Series mensu'!$C$4:$FZ$306,291,0)),"-")</f>
        <v>-</v>
      </c>
      <c r="J329" s="75"/>
      <c r="K329" s="74" t="str">
        <f>IF($E$11="",IF(OR($E$7="seleccione rubro",$E$9="seleccione sub - rubro"),"-",HLOOKUP((CONCATENATE($E$9,$K$17)),'IMESI Vol Físico - Series mensu'!$C$4:$FZ$306,291,0)),"-")</f>
        <v>-</v>
      </c>
    </row>
    <row r="330" spans="4:11" x14ac:dyDescent="0.2">
      <c r="D330" s="69">
        <f>+D331</f>
        <v>2011</v>
      </c>
      <c r="E330" s="70"/>
      <c r="F330" s="70"/>
      <c r="G330" s="74"/>
      <c r="H330" s="75"/>
      <c r="I330" s="74"/>
      <c r="J330" s="75"/>
      <c r="K330" s="74"/>
    </row>
    <row r="331" spans="4:11" x14ac:dyDescent="0.2">
      <c r="D331" s="72">
        <f>YEAR(E331)</f>
        <v>2011</v>
      </c>
      <c r="E331" s="73">
        <f>+'IMESI Vol Físico - Series mensu'!A295</f>
        <v>40544</v>
      </c>
      <c r="F331" s="73"/>
      <c r="G331" s="74" t="str">
        <f>IF($E$11="",IF(OR($E$7="seleccione rubro",$E$9="seleccione sub - rubro"),"-",HLOOKUP((CONCATENATE($E$9,$G$17)),'IMESI Vol Físico - Series mensu'!$C$4:$FZ$306,292,0)),"-")</f>
        <v>-</v>
      </c>
      <c r="H331" s="75"/>
      <c r="I331" s="74" t="str">
        <f>IF($E$11="",IF(OR($E$7="seleccione rubro",$E$9="seleccione sub - rubro"),"-",HLOOKUP((CONCATENATE($E$9,$I$17)),'IMESI Vol Físico - Series mensu'!$C$4:$FZ$306,292,0)),"-")</f>
        <v>-</v>
      </c>
      <c r="J331" s="75"/>
      <c r="K331" s="74" t="str">
        <f>IF($E$11="",IF(OR($E$7="seleccione rubro",$E$9="seleccione sub - rubro"),"-",HLOOKUP((CONCATENATE($E$9,$K$17)),'IMESI Vol Físico - Series mensu'!$C$4:$FZ$306,292,0)),"-")</f>
        <v>-</v>
      </c>
    </row>
    <row r="332" spans="4:11" x14ac:dyDescent="0.2">
      <c r="D332" s="72">
        <f t="shared" ref="D332:D342" si="24">YEAR(E332)</f>
        <v>2011</v>
      </c>
      <c r="E332" s="73">
        <f>+'IMESI Vol Físico - Series mensu'!A296</f>
        <v>40575</v>
      </c>
      <c r="F332" s="73"/>
      <c r="G332" s="74" t="str">
        <f>IF($E$11="",IF(OR($E$7="seleccione rubro",$E$9="seleccione sub - rubro"),"-",HLOOKUP((CONCATENATE($E$9,$G$17)),'IMESI Vol Físico - Series mensu'!$C$4:$FZ$306,293,0)),"-")</f>
        <v>-</v>
      </c>
      <c r="H332" s="75"/>
      <c r="I332" s="74" t="str">
        <f>IF($E$11="",IF(OR($E$7="seleccione rubro",$E$9="seleccione sub - rubro"),"-",HLOOKUP((CONCATENATE($E$9,$I$17)),'IMESI Vol Físico - Series mensu'!$C$4:$FZ$306,293,0)),"-")</f>
        <v>-</v>
      </c>
      <c r="J332" s="75"/>
      <c r="K332" s="74" t="str">
        <f>IF($E$11="",IF(OR($E$7="seleccione rubro",$E$9="seleccione sub - rubro"),"-",HLOOKUP((CONCATENATE($E$9,$K$17)),'IMESI Vol Físico - Series mensu'!$C$4:$FZ$306,293,0)),"-")</f>
        <v>-</v>
      </c>
    </row>
    <row r="333" spans="4:11" x14ac:dyDescent="0.2">
      <c r="D333" s="72">
        <f t="shared" si="24"/>
        <v>2011</v>
      </c>
      <c r="E333" s="73">
        <f>+'IMESI Vol Físico - Series mensu'!A297</f>
        <v>40603</v>
      </c>
      <c r="F333" s="73"/>
      <c r="G333" s="74" t="str">
        <f>IF($E$11="",IF(OR($E$7="seleccione rubro",$E$9="seleccione sub - rubro"),"-",HLOOKUP((CONCATENATE($E$9,$G$17)),'IMESI Vol Físico - Series mensu'!$C$4:$FZ$306,294,0)),"-")</f>
        <v>-</v>
      </c>
      <c r="H333" s="75"/>
      <c r="I333" s="74" t="str">
        <f>IF($E$11="",IF(OR($E$7="seleccione rubro",$E$9="seleccione sub - rubro"),"-",HLOOKUP((CONCATENATE($E$9,$I$17)),'IMESI Vol Físico - Series mensu'!$C$4:$FZ$306,294,0)),"-")</f>
        <v>-</v>
      </c>
      <c r="J333" s="75"/>
      <c r="K333" s="74" t="str">
        <f>IF($E$11="",IF(OR($E$7="seleccione rubro",$E$9="seleccione sub - rubro"),"-",HLOOKUP((CONCATENATE($E$9,$K$17)),'IMESI Vol Físico - Series mensu'!$C$4:$FZ$306,294,0)),"-")</f>
        <v>-</v>
      </c>
    </row>
    <row r="334" spans="4:11" x14ac:dyDescent="0.2">
      <c r="D334" s="72">
        <f t="shared" si="24"/>
        <v>2011</v>
      </c>
      <c r="E334" s="73">
        <f>+'IMESI Vol Físico - Series mensu'!A298</f>
        <v>40634</v>
      </c>
      <c r="F334" s="73"/>
      <c r="G334" s="74" t="str">
        <f>IF($E$11="",IF(OR($E$7="seleccione rubro",$E$9="seleccione sub - rubro"),"-",HLOOKUP((CONCATENATE($E$9,$G$17)),'IMESI Vol Físico - Series mensu'!$C$4:$FZ$306,295,0)),"-")</f>
        <v>-</v>
      </c>
      <c r="H334" s="75"/>
      <c r="I334" s="74" t="str">
        <f>IF($E$11="",IF(OR($E$7="seleccione rubro",$E$9="seleccione sub - rubro"),"-",HLOOKUP((CONCATENATE($E$9,$I$17)),'IMESI Vol Físico - Series mensu'!$C$4:$FZ$306,295,0)),"-")</f>
        <v>-</v>
      </c>
      <c r="J334" s="75"/>
      <c r="K334" s="74" t="str">
        <f>IF($E$11="",IF(OR($E$7="seleccione rubro",$E$9="seleccione sub - rubro"),"-",HLOOKUP((CONCATENATE($E$9,$K$17)),'IMESI Vol Físico - Series mensu'!$C$4:$FZ$306,295,0)),"-")</f>
        <v>-</v>
      </c>
    </row>
    <row r="335" spans="4:11" x14ac:dyDescent="0.2">
      <c r="D335" s="72">
        <f t="shared" si="24"/>
        <v>2011</v>
      </c>
      <c r="E335" s="73">
        <f>+'IMESI Vol Físico - Series mensu'!A299</f>
        <v>40664</v>
      </c>
      <c r="F335" s="73"/>
      <c r="G335" s="74" t="str">
        <f>IF($E$11="",IF(OR($E$7="seleccione rubro",$E$9="seleccione sub - rubro"),"-",HLOOKUP((CONCATENATE($E$9,$G$17)),'IMESI Vol Físico - Series mensu'!$C$4:$FZ$306,296,0)),"-")</f>
        <v>-</v>
      </c>
      <c r="H335" s="75"/>
      <c r="I335" s="74" t="str">
        <f>IF($E$11="",IF(OR($E$7="seleccione rubro",$E$9="seleccione sub - rubro"),"-",HLOOKUP((CONCATENATE($E$9,$I$17)),'IMESI Vol Físico - Series mensu'!$C$4:$FZ$306,296,0)),"-")</f>
        <v>-</v>
      </c>
      <c r="J335" s="75"/>
      <c r="K335" s="74" t="str">
        <f>IF($E$11="",IF(OR($E$7="seleccione rubro",$E$9="seleccione sub - rubro"),"-",HLOOKUP((CONCATENATE($E$9,$K$17)),'IMESI Vol Físico - Series mensu'!$C$4:$FZ$306,296,0)),"-")</f>
        <v>-</v>
      </c>
    </row>
    <row r="336" spans="4:11" x14ac:dyDescent="0.2">
      <c r="D336" s="72">
        <f t="shared" si="24"/>
        <v>2011</v>
      </c>
      <c r="E336" s="73">
        <f>+'IMESI Vol Físico - Series mensu'!A300</f>
        <v>40695</v>
      </c>
      <c r="F336" s="73"/>
      <c r="G336" s="74" t="str">
        <f>IF($E$11="",IF(OR($E$7="seleccione rubro",$E$9="seleccione sub - rubro"),"-",HLOOKUP((CONCATENATE($E$9,$G$17)),'IMESI Vol Físico - Series mensu'!$C$4:$FZ$306,297,0)),"-")</f>
        <v>-</v>
      </c>
      <c r="H336" s="75"/>
      <c r="I336" s="74" t="str">
        <f>IF($E$11="",IF(OR($E$7="seleccione rubro",$E$9="seleccione sub - rubro"),"-",HLOOKUP((CONCATENATE($E$9,$I$17)),'IMESI Vol Físico - Series mensu'!$C$4:$FZ$306,297,0)),"-")</f>
        <v>-</v>
      </c>
      <c r="J336" s="75"/>
      <c r="K336" s="74" t="str">
        <f>IF($E$11="",IF(OR($E$7="seleccione rubro",$E$9="seleccione sub - rubro"),"-",HLOOKUP((CONCATENATE($E$9,$K$17)),'IMESI Vol Físico - Series mensu'!$C$4:$FZ$306,297,0)),"-")</f>
        <v>-</v>
      </c>
    </row>
    <row r="337" spans="4:11" x14ac:dyDescent="0.2">
      <c r="D337" s="72">
        <f t="shared" si="24"/>
        <v>2011</v>
      </c>
      <c r="E337" s="73">
        <f>+'IMESI Vol Físico - Series mensu'!A301</f>
        <v>40725</v>
      </c>
      <c r="F337" s="73"/>
      <c r="G337" s="74" t="str">
        <f>IF($E$11="",IF(OR($E$7="seleccione rubro",$E$9="seleccione sub - rubro"),"-",HLOOKUP((CONCATENATE($E$9,$G$17)),'IMESI Vol Físico - Series mensu'!$C$4:$FZ$306,298,0)),"-")</f>
        <v>-</v>
      </c>
      <c r="H337" s="75"/>
      <c r="I337" s="74" t="str">
        <f>IF($E$11="",IF(OR($E$7="seleccione rubro",$E$9="seleccione sub - rubro"),"-",HLOOKUP((CONCATENATE($E$9,$I$17)),'IMESI Vol Físico - Series mensu'!$C$4:$FZ$306,298,0)),"-")</f>
        <v>-</v>
      </c>
      <c r="J337" s="75"/>
      <c r="K337" s="74" t="str">
        <f>IF($E$11="",IF(OR($E$7="seleccione rubro",$E$9="seleccione sub - rubro"),"-",HLOOKUP((CONCATENATE($E$9,$K$17)),'IMESI Vol Físico - Series mensu'!$C$4:$FZ$306,298,0)),"-")</f>
        <v>-</v>
      </c>
    </row>
    <row r="338" spans="4:11" x14ac:dyDescent="0.2">
      <c r="D338" s="72">
        <f t="shared" si="24"/>
        <v>2011</v>
      </c>
      <c r="E338" s="73">
        <f>+'IMESI Vol Físico - Series mensu'!A302</f>
        <v>40756</v>
      </c>
      <c r="F338" s="73"/>
      <c r="G338" s="74" t="str">
        <f>IF($E$11="",IF(OR($E$7="seleccione rubro",$E$9="seleccione sub - rubro"),"-",HLOOKUP((CONCATENATE($E$9,$G$17)),'IMESI Vol Físico - Series mensu'!$C$4:$FZ$306,299,0)),"-")</f>
        <v>-</v>
      </c>
      <c r="H338" s="75"/>
      <c r="I338" s="74" t="str">
        <f>IF($E$11="",IF(OR($E$7="seleccione rubro",$E$9="seleccione sub - rubro"),"-",HLOOKUP((CONCATENATE($E$9,$I$17)),'IMESI Vol Físico - Series mensu'!$C$4:$FZ$306,299,0)),"-")</f>
        <v>-</v>
      </c>
      <c r="J338" s="75"/>
      <c r="K338" s="74" t="str">
        <f>IF($E$11="",IF(OR($E$7="seleccione rubro",$E$9="seleccione sub - rubro"),"-",HLOOKUP((CONCATENATE($E$9,$K$17)),'IMESI Vol Físico - Series mensu'!$C$4:$FZ$306,299,0)),"-")</f>
        <v>-</v>
      </c>
    </row>
    <row r="339" spans="4:11" x14ac:dyDescent="0.2">
      <c r="D339" s="72">
        <f t="shared" si="24"/>
        <v>2011</v>
      </c>
      <c r="E339" s="73">
        <f>+'IMESI Vol Físico - Series mensu'!A303</f>
        <v>40787</v>
      </c>
      <c r="F339" s="73"/>
      <c r="G339" s="74" t="str">
        <f>IF($E$11="",IF(OR($E$7="seleccione rubro",$E$9="seleccione sub - rubro"),"-",HLOOKUP((CONCATENATE($E$9,$G$17)),'IMESI Vol Físico - Series mensu'!$C$4:$FZ$306,300,0)),"-")</f>
        <v>-</v>
      </c>
      <c r="H339" s="75"/>
      <c r="I339" s="74" t="str">
        <f>IF($E$11="",IF(OR($E$7="seleccione rubro",$E$9="seleccione sub - rubro"),"-",HLOOKUP((CONCATENATE($E$9,$I$17)),'IMESI Vol Físico - Series mensu'!$C$4:$FZ$306,300,0)),"-")</f>
        <v>-</v>
      </c>
      <c r="J339" s="75"/>
      <c r="K339" s="74" t="str">
        <f>IF($E$11="",IF(OR($E$7="seleccione rubro",$E$9="seleccione sub - rubro"),"-",HLOOKUP((CONCATENATE($E$9,$K$17)),'IMESI Vol Físico - Series mensu'!$C$4:$FZ$306,300,0)),"-")</f>
        <v>-</v>
      </c>
    </row>
    <row r="340" spans="4:11" x14ac:dyDescent="0.2">
      <c r="D340" s="72">
        <f t="shared" si="24"/>
        <v>2011</v>
      </c>
      <c r="E340" s="73">
        <f>+'IMESI Vol Físico - Series mensu'!A304</f>
        <v>40817</v>
      </c>
      <c r="F340" s="73"/>
      <c r="G340" s="74" t="str">
        <f>IF($E$11="",IF(OR($E$7="seleccione rubro",$E$9="seleccione sub - rubro"),"-",HLOOKUP((CONCATENATE($E$9,$G$17)),'IMESI Vol Físico - Series mensu'!$C$4:$FZ$306,301,0)),"-")</f>
        <v>-</v>
      </c>
      <c r="H340" s="75"/>
      <c r="I340" s="74" t="str">
        <f>IF($E$11="",IF(OR($E$7="seleccione rubro",$E$9="seleccione sub - rubro"),"-",HLOOKUP((CONCATENATE($E$9,$I$17)),'IMESI Vol Físico - Series mensu'!$C$4:$FZ$306,301,0)),"-")</f>
        <v>-</v>
      </c>
      <c r="J340" s="75"/>
      <c r="K340" s="74" t="str">
        <f>IF($E$11="",IF(OR($E$7="seleccione rubro",$E$9="seleccione sub - rubro"),"-",HLOOKUP((CONCATENATE($E$9,$K$17)),'IMESI Vol Físico - Series mensu'!$C$4:$FZ$306,301,0)),"-")</f>
        <v>-</v>
      </c>
    </row>
    <row r="341" spans="4:11" x14ac:dyDescent="0.2">
      <c r="D341" s="72">
        <f t="shared" si="24"/>
        <v>2011</v>
      </c>
      <c r="E341" s="73">
        <f>+'IMESI Vol Físico - Series mensu'!A305</f>
        <v>40848</v>
      </c>
      <c r="F341" s="73"/>
      <c r="G341" s="74" t="str">
        <f>IF($E$11="",IF(OR($E$7="seleccione rubro",$E$9="seleccione sub - rubro"),"-",HLOOKUP((CONCATENATE($E$9,$G$17)),'IMESI Vol Físico - Series mensu'!$C$4:$FZ$306,302,0)),"-")</f>
        <v>-</v>
      </c>
      <c r="H341" s="75"/>
      <c r="I341" s="74" t="str">
        <f>IF($E$11="",IF(OR($E$7="seleccione rubro",$E$9="seleccione sub - rubro"),"-",HLOOKUP((CONCATENATE($E$9,$I$17)),'IMESI Vol Físico - Series mensu'!$C$4:$FZ$306,302,0)),"-")</f>
        <v>-</v>
      </c>
      <c r="J341" s="75"/>
      <c r="K341" s="74" t="str">
        <f>IF($E$11="",IF(OR($E$7="seleccione rubro",$E$9="seleccione sub - rubro"),"-",HLOOKUP((CONCATENATE($E$9,$K$17)),'IMESI Vol Físico - Series mensu'!$C$4:$FZ$306,302,0)),"-")</f>
        <v>-</v>
      </c>
    </row>
    <row r="342" spans="4:11" x14ac:dyDescent="0.2">
      <c r="D342" s="72">
        <f t="shared" si="24"/>
        <v>2011</v>
      </c>
      <c r="E342" s="73">
        <f>+'IMESI Vol Físico - Series mensu'!A306</f>
        <v>40878</v>
      </c>
      <c r="F342" s="73"/>
      <c r="G342" s="74" t="str">
        <f>IF($E$11="",IF(OR($E$7="seleccione rubro",$E$9="seleccione sub - rubro"),"-",HLOOKUP((CONCATENATE($E$9,$G$17)),'IMESI Vol Físico - Series mensu'!$C$4:$FZ$306,303,0)),"-")</f>
        <v>-</v>
      </c>
      <c r="H342" s="75"/>
      <c r="I342" s="74" t="str">
        <f>IF($E$11="",IF(OR($E$7="seleccione rubro",$E$9="seleccione sub - rubro"),"-",HLOOKUP((CONCATENATE($E$9,$I$17)),'IMESI Vol Físico - Series mensu'!$C$4:$FZ$306,303,0)),"-")</f>
        <v>-</v>
      </c>
      <c r="J342" s="75"/>
      <c r="K342" s="74" t="str">
        <f>IF($E$11="",IF(OR($E$7="seleccione rubro",$E$9="seleccione sub - rubro"),"-",HLOOKUP((CONCATENATE($E$9,$K$17)),'IMESI Vol Físico - Series mensu'!$C$4:$FZ$306,303,0)),"-")</f>
        <v>-</v>
      </c>
    </row>
    <row r="343" spans="4:11" x14ac:dyDescent="0.2">
      <c r="D343" s="69">
        <f>+D344</f>
        <v>2012</v>
      </c>
      <c r="E343" s="70"/>
      <c r="F343" s="70"/>
      <c r="G343" s="74"/>
      <c r="H343" s="75"/>
      <c r="I343" s="74"/>
      <c r="J343" s="75"/>
      <c r="K343" s="74"/>
    </row>
    <row r="344" spans="4:11" x14ac:dyDescent="0.2">
      <c r="D344" s="72">
        <f>YEAR(E344)</f>
        <v>2012</v>
      </c>
      <c r="E344" s="73">
        <f>+'IMESI Vol Físico - Series mensu'!A307</f>
        <v>40909</v>
      </c>
      <c r="F344" s="73"/>
      <c r="G344" s="74" t="str">
        <f>IF($E$11="",IF(OR($E$7="seleccione rubro",$E$9="seleccione sub - rubro"),"-",HLOOKUP((CONCATENATE($E$9,$G$17)),'IMESI Vol Físico - Series mensu'!$C$4:$FZ$307,304,0)),"-")</f>
        <v>-</v>
      </c>
      <c r="H344" s="75"/>
      <c r="I344" s="74" t="str">
        <f>IF($E$11="",IF(OR($E$7="seleccione rubro",$E$9="seleccione sub - rubro"),"-",HLOOKUP((CONCATENATE($E$9,$I$17)),'IMESI Vol Físico - Series mensu'!$C$4:$FZ$307,304,0)),"-")</f>
        <v>-</v>
      </c>
      <c r="J344" s="75"/>
      <c r="K344" s="74" t="str">
        <f>IF($E$11="",IF(OR($E$7="seleccione rubro",$E$9="seleccione sub - rubro"),"-",HLOOKUP((CONCATENATE($E$9,$K$17)),'IMESI Vol Físico - Series mensu'!$C$4:$FZ$307,304,0)),"-")</f>
        <v>-</v>
      </c>
    </row>
    <row r="345" spans="4:11" x14ac:dyDescent="0.2">
      <c r="D345" s="72">
        <f t="shared" ref="D345:D355" si="25">YEAR(E345)</f>
        <v>2012</v>
      </c>
      <c r="E345" s="73">
        <f>+'IMESI Vol Físico - Series mensu'!A308</f>
        <v>40940</v>
      </c>
      <c r="F345" s="73"/>
      <c r="G345" s="74" t="str">
        <f>IF($E$11="",IF(OR($E$7="seleccione rubro",$E$9="seleccione sub - rubro"),"-",HLOOKUP((CONCATENATE($E$9,$G$17)),'IMESI Vol Físico - Series mensu'!$C$4:$FZ$308,305,0)),"-")</f>
        <v>-</v>
      </c>
      <c r="H345" s="75"/>
      <c r="I345" s="74" t="str">
        <f>IF($E$11="",IF(OR($E$7="seleccione rubro",$E$9="seleccione sub - rubro"),"-",HLOOKUP((CONCATENATE($E$9,$I$17)),'IMESI Vol Físico - Series mensu'!$C$4:$FZ$308,305,0)),"-")</f>
        <v>-</v>
      </c>
      <c r="J345" s="75"/>
      <c r="K345" s="74" t="str">
        <f>IF($E$11="",IF(OR($E$7="seleccione rubro",$E$9="seleccione sub - rubro"),"-",HLOOKUP((CONCATENATE($E$9,$K$17)),'IMESI Vol Físico - Series mensu'!$C$4:$FZ$308,305,0)),"-")</f>
        <v>-</v>
      </c>
    </row>
    <row r="346" spans="4:11" x14ac:dyDescent="0.2">
      <c r="D346" s="72">
        <f t="shared" si="25"/>
        <v>2012</v>
      </c>
      <c r="E346" s="73">
        <f>+'IMESI Vol Físico - Series mensu'!A309</f>
        <v>40969</v>
      </c>
      <c r="F346" s="73"/>
      <c r="G346" s="74" t="str">
        <f>IF($E$11="",IF(OR($E$7="seleccione rubro",$E$9="seleccione sub - rubro"),"-",HLOOKUP((CONCATENATE($E$9,$G$17)),'IMESI Vol Físico - Series mensu'!$C$4:$FZ$309,306,0)),"-")</f>
        <v>-</v>
      </c>
      <c r="H346" s="75"/>
      <c r="I346" s="74" t="str">
        <f>IF($E$11="",IF(OR($E$7="seleccione rubro",$E$9="seleccione sub - rubro"),"-",HLOOKUP((CONCATENATE($E$9,$I$17)),'IMESI Vol Físico - Series mensu'!$C$4:$FZ$309,306,0)),"-")</f>
        <v>-</v>
      </c>
      <c r="J346" s="75"/>
      <c r="K346" s="74" t="str">
        <f>IF($E$11="",IF(OR($E$7="seleccione rubro",$E$9="seleccione sub - rubro"),"-",HLOOKUP((CONCATENATE($E$9,$K$17)),'IMESI Vol Físico - Series mensu'!$C$4:$FZ$309,306,0)),"-")</f>
        <v>-</v>
      </c>
    </row>
    <row r="347" spans="4:11" x14ac:dyDescent="0.2">
      <c r="D347" s="72">
        <f t="shared" si="25"/>
        <v>2012</v>
      </c>
      <c r="E347" s="73">
        <f>+'IMESI Vol Físico - Series mensu'!A310</f>
        <v>41000</v>
      </c>
      <c r="F347" s="73"/>
      <c r="G347" s="74" t="str">
        <f>IF($E$11="",IF(OR($E$7="seleccione rubro",$E$9="seleccione sub - rubro"),"-",HLOOKUP((CONCATENATE($E$9,$G$17)),'IMESI Vol Físico - Series mensu'!$C$4:$FZ$310,307,0)),"-")</f>
        <v>-</v>
      </c>
      <c r="H347" s="75"/>
      <c r="I347" s="74" t="str">
        <f>IF($E$11="",IF(OR($E$7="seleccione rubro",$E$9="seleccione sub - rubro"),"-",HLOOKUP((CONCATENATE($E$9,$I$17)),'IMESI Vol Físico - Series mensu'!$C$4:$FZ$310,307,0)),"-")</f>
        <v>-</v>
      </c>
      <c r="J347" s="75"/>
      <c r="K347" s="74" t="str">
        <f>IF($E$11="",IF(OR($E$7="seleccione rubro",$E$9="seleccione sub - rubro"),"-",HLOOKUP((CONCATENATE($E$9,$K$17)),'IMESI Vol Físico - Series mensu'!$C$4:$FZ$310,307,0)),"-")</f>
        <v>-</v>
      </c>
    </row>
    <row r="348" spans="4:11" x14ac:dyDescent="0.2">
      <c r="D348" s="72">
        <f t="shared" si="25"/>
        <v>2012</v>
      </c>
      <c r="E348" s="73">
        <f>+'IMESI Vol Físico - Series mensu'!A311</f>
        <v>41030</v>
      </c>
      <c r="F348" s="73"/>
      <c r="G348" s="74" t="str">
        <f>IF($E$11="",IF(OR($E$7="seleccione rubro",$E$9="seleccione sub - rubro"),"-",HLOOKUP((CONCATENATE($E$9,$G$17)),'IMESI Vol Físico - Series mensu'!$C$4:$FZ$311,308,0)),"-")</f>
        <v>-</v>
      </c>
      <c r="H348" s="75"/>
      <c r="I348" s="74" t="str">
        <f>IF($E$11="",IF(OR($E$7="seleccione rubro",$E$9="seleccione sub - rubro"),"-",HLOOKUP((CONCATENATE($E$9,$I$17)),'IMESI Vol Físico - Series mensu'!$C$4:$FZ$311,308,0)),"-")</f>
        <v>-</v>
      </c>
      <c r="J348" s="75"/>
      <c r="K348" s="74" t="str">
        <f>IF($E$11="",IF(OR($E$7="seleccione rubro",$E$9="seleccione sub - rubro"),"-",HLOOKUP((CONCATENATE($E$9,$K$17)),'IMESI Vol Físico - Series mensu'!$C$4:$FZ$311,308,0)),"-")</f>
        <v>-</v>
      </c>
    </row>
    <row r="349" spans="4:11" x14ac:dyDescent="0.2">
      <c r="D349" s="72">
        <f t="shared" si="25"/>
        <v>2012</v>
      </c>
      <c r="E349" s="73">
        <f>+'IMESI Vol Físico - Series mensu'!A312</f>
        <v>41061</v>
      </c>
      <c r="F349" s="73"/>
      <c r="G349" s="74" t="str">
        <f>IF($E$11="",IF(OR($E$7="seleccione rubro",$E$9="seleccione sub - rubro"),"-",HLOOKUP((CONCATENATE($E$9,$G$17)),'IMESI Vol Físico - Series mensu'!$C$4:$FZ$312,309,0)),"-")</f>
        <v>-</v>
      </c>
      <c r="H349" s="75"/>
      <c r="I349" s="74" t="str">
        <f>IF($E$11="",IF(OR($E$7="seleccione rubro",$E$9="seleccione sub - rubro"),"-",HLOOKUP((CONCATENATE($E$9,$I$17)),'IMESI Vol Físico - Series mensu'!$C$4:$FZ$312,309,0)),"-")</f>
        <v>-</v>
      </c>
      <c r="J349" s="75"/>
      <c r="K349" s="74" t="str">
        <f>IF($E$11="",IF(OR($E$7="seleccione rubro",$E$9="seleccione sub - rubro"),"-",HLOOKUP((CONCATENATE($E$9,$K$17)),'IMESI Vol Físico - Series mensu'!$C$4:$FZ$312,309,0)),"-")</f>
        <v>-</v>
      </c>
    </row>
    <row r="350" spans="4:11" x14ac:dyDescent="0.2">
      <c r="D350" s="72">
        <f t="shared" si="25"/>
        <v>2012</v>
      </c>
      <c r="E350" s="73">
        <f>+'IMESI Vol Físico - Series mensu'!A313</f>
        <v>41091</v>
      </c>
      <c r="F350" s="73"/>
      <c r="G350" s="74" t="str">
        <f>IF($E$11="",IF(OR($E$7="seleccione rubro",$E$9="seleccione sub - rubro"),"-",HLOOKUP((CONCATENATE($E$9,$G$17)),'IMESI Vol Físico - Series mensu'!$C$4:$FZ$313,310,0)),"-")</f>
        <v>-</v>
      </c>
      <c r="H350" s="75"/>
      <c r="I350" s="74" t="str">
        <f>IF($E$11="",IF(OR($E$7="seleccione rubro",$E$9="seleccione sub - rubro"),"-",HLOOKUP((CONCATENATE($E$9,$I$17)),'IMESI Vol Físico - Series mensu'!$C$4:$FZ$313,310,0)),"-")</f>
        <v>-</v>
      </c>
      <c r="J350" s="75"/>
      <c r="K350" s="74" t="str">
        <f>IF($E$11="",IF(OR($E$7="seleccione rubro",$E$9="seleccione sub - rubro"),"-",HLOOKUP((CONCATENATE($E$9,$K$17)),'IMESI Vol Físico - Series mensu'!$C$4:$FZ$313,310,0)),"-")</f>
        <v>-</v>
      </c>
    </row>
    <row r="351" spans="4:11" x14ac:dyDescent="0.2">
      <c r="D351" s="72">
        <f t="shared" si="25"/>
        <v>2012</v>
      </c>
      <c r="E351" s="73">
        <f>+'IMESI Vol Físico - Series mensu'!A314</f>
        <v>41122</v>
      </c>
      <c r="F351" s="73"/>
      <c r="G351" s="74" t="str">
        <f>IF($E$11="",IF(OR($E$7="seleccione rubro",$E$9="seleccione sub - rubro"),"-",HLOOKUP((CONCATENATE($E$9,$G$17)),'IMESI Vol Físico - Series mensu'!$C$4:$FZ$314,311,0)),"-")</f>
        <v>-</v>
      </c>
      <c r="H351" s="75"/>
      <c r="I351" s="74" t="str">
        <f>IF($E$11="",IF(OR($E$7="seleccione rubro",$E$9="seleccione sub - rubro"),"-",HLOOKUP((CONCATENATE($E$9,$I$17)),'IMESI Vol Físico - Series mensu'!$C$4:$FZ$314,311,0)),"-")</f>
        <v>-</v>
      </c>
      <c r="J351" s="75"/>
      <c r="K351" s="74" t="str">
        <f>IF($E$11="",IF(OR($E$7="seleccione rubro",$E$9="seleccione sub - rubro"),"-",HLOOKUP((CONCATENATE($E$9,$K$17)),'IMESI Vol Físico - Series mensu'!$C$4:$FZ$314,311,0)),"-")</f>
        <v>-</v>
      </c>
    </row>
    <row r="352" spans="4:11" x14ac:dyDescent="0.2">
      <c r="D352" s="72">
        <f t="shared" si="25"/>
        <v>2012</v>
      </c>
      <c r="E352" s="73">
        <f>+'IMESI Vol Físico - Series mensu'!A315</f>
        <v>41153</v>
      </c>
      <c r="F352" s="73"/>
      <c r="G352" s="74" t="str">
        <f>IF($E$11="",IF(OR($E$7="seleccione rubro",$E$9="seleccione sub - rubro"),"-",HLOOKUP((CONCATENATE($E$9,$G$17)),'IMESI Vol Físico - Series mensu'!$C$4:$FZ$315,312,0)),"-")</f>
        <v>-</v>
      </c>
      <c r="H352" s="75"/>
      <c r="I352" s="74" t="str">
        <f>IF($E$11="",IF(OR($E$7="seleccione rubro",$E$9="seleccione sub - rubro"),"-",HLOOKUP((CONCATENATE($E$9,$I$17)),'IMESI Vol Físico - Series mensu'!$C$4:$FZ$315,312,0)),"-")</f>
        <v>-</v>
      </c>
      <c r="J352" s="75"/>
      <c r="K352" s="74" t="str">
        <f>IF($E$11="",IF(OR($E$7="seleccione rubro",$E$9="seleccione sub - rubro"),"-",HLOOKUP((CONCATENATE($E$9,$K$17)),'IMESI Vol Físico - Series mensu'!$C$4:$FZ$315,312,0)),"-")</f>
        <v>-</v>
      </c>
    </row>
    <row r="353" spans="4:11" x14ac:dyDescent="0.2">
      <c r="D353" s="72">
        <f t="shared" si="25"/>
        <v>2012</v>
      </c>
      <c r="E353" s="73">
        <f>+'IMESI Vol Físico - Series mensu'!A316</f>
        <v>41183</v>
      </c>
      <c r="F353" s="73"/>
      <c r="G353" s="74" t="str">
        <f>IF($E$11="",IF(OR($E$7="seleccione rubro",$E$9="seleccione sub - rubro"),"-",HLOOKUP((CONCATENATE($E$9,$G$17)),'IMESI Vol Físico - Series mensu'!$C$4:$FZ$316,313,0)),"-")</f>
        <v>-</v>
      </c>
      <c r="H353" s="75"/>
      <c r="I353" s="74" t="str">
        <f>IF($E$11="",IF(OR($E$7="seleccione rubro",$E$9="seleccione sub - rubro"),"-",HLOOKUP((CONCATENATE($E$9,$I$17)),'IMESI Vol Físico - Series mensu'!$C$4:$FZ$316,313,0)),"-")</f>
        <v>-</v>
      </c>
      <c r="J353" s="75"/>
      <c r="K353" s="74" t="str">
        <f>IF($E$11="",IF(OR($E$7="seleccione rubro",$E$9="seleccione sub - rubro"),"-",HLOOKUP((CONCATENATE($E$9,$K$17)),'IMESI Vol Físico - Series mensu'!$C$4:$FZ$316,313,0)),"-")</f>
        <v>-</v>
      </c>
    </row>
    <row r="354" spans="4:11" x14ac:dyDescent="0.2">
      <c r="D354" s="72">
        <f t="shared" si="25"/>
        <v>2012</v>
      </c>
      <c r="E354" s="73">
        <f>+'IMESI Vol Físico - Series mensu'!A317</f>
        <v>41214</v>
      </c>
      <c r="F354" s="73"/>
      <c r="G354" s="74" t="str">
        <f>IF($E$11="",IF(OR($E$7="seleccione rubro",$E$9="seleccione sub - rubro"),"-",HLOOKUP((CONCATENATE($E$9,$G$17)),'IMESI Vol Físico - Series mensu'!$C$4:$FZ$317,314,0)),"-")</f>
        <v>-</v>
      </c>
      <c r="H354" s="75"/>
      <c r="I354" s="74" t="str">
        <f>IF($E$11="",IF(OR($E$7="seleccione rubro",$E$9="seleccione sub - rubro"),"-",HLOOKUP((CONCATENATE($E$9,$I$17)),'IMESI Vol Físico - Series mensu'!$C$4:$FZ$317,314,0)),"-")</f>
        <v>-</v>
      </c>
      <c r="J354" s="75"/>
      <c r="K354" s="74" t="str">
        <f>IF($E$11="",IF(OR($E$7="seleccione rubro",$E$9="seleccione sub - rubro"),"-",HLOOKUP((CONCATENATE($E$9,$K$17)),'IMESI Vol Físico - Series mensu'!$C$4:$FZ$317,314,0)),"-")</f>
        <v>-</v>
      </c>
    </row>
    <row r="355" spans="4:11" x14ac:dyDescent="0.2">
      <c r="D355" s="72">
        <f t="shared" si="25"/>
        <v>2012</v>
      </c>
      <c r="E355" s="73">
        <f>+'IMESI Vol Físico - Series mensu'!A318</f>
        <v>41244</v>
      </c>
      <c r="F355" s="73"/>
      <c r="G355" s="74" t="str">
        <f>IF($E$11="",IF(OR($E$7="seleccione rubro",$E$9="seleccione sub - rubro"),"-",HLOOKUP((CONCATENATE($E$9,$G$17)),'IMESI Vol Físico - Series mensu'!$C$4:$FZ$318,315,0)),"-")</f>
        <v>-</v>
      </c>
      <c r="H355" s="75"/>
      <c r="I355" s="74" t="str">
        <f>IF($E$11="",IF(OR($E$7="seleccione rubro",$E$9="seleccione sub - rubro"),"-",HLOOKUP((CONCATENATE($E$9,$I$17)),'IMESI Vol Físico - Series mensu'!$C$4:$FZ$318,315,0)),"-")</f>
        <v>-</v>
      </c>
      <c r="J355" s="75"/>
      <c r="K355" s="74" t="str">
        <f>IF($E$11="",IF(OR($E$7="seleccione rubro",$E$9="seleccione sub - rubro"),"-",HLOOKUP((CONCATENATE($E$9,$K$17)),'IMESI Vol Físico - Series mensu'!$C$4:$FZ$318,315,0)),"-")</f>
        <v>-</v>
      </c>
    </row>
    <row r="356" spans="4:11" x14ac:dyDescent="0.2">
      <c r="D356" s="69">
        <f>+D357</f>
        <v>2013</v>
      </c>
      <c r="E356" s="70"/>
      <c r="F356" s="70"/>
      <c r="G356" s="74"/>
      <c r="H356" s="75"/>
      <c r="I356" s="74"/>
      <c r="J356" s="75"/>
      <c r="K356" s="74"/>
    </row>
    <row r="357" spans="4:11" x14ac:dyDescent="0.2">
      <c r="D357" s="72">
        <f>YEAR(E357)</f>
        <v>2013</v>
      </c>
      <c r="E357" s="73">
        <f>+'IMESI Vol Físico - Series mensu'!A319</f>
        <v>41275</v>
      </c>
      <c r="F357" s="73"/>
      <c r="G357" s="74" t="str">
        <f>IF($E$11="",IF(OR($E$7="seleccione rubro",$E$9="seleccione sub - rubro"),"-",HLOOKUP((CONCATENATE($E$9,$G$17)),'IMESI Vol Físico - Series mensu'!$C$4:$FZ$319,316,0)),"-")</f>
        <v>-</v>
      </c>
      <c r="H357" s="75"/>
      <c r="I357" s="74" t="str">
        <f>IF($E$11="",IF(OR($E$7="seleccione rubro",$E$9="seleccione sub - rubro"),"-",HLOOKUP((CONCATENATE($E$9,$I$17)),'IMESI Vol Físico - Series mensu'!$C$4:$FZ$319,316,0)),"-")</f>
        <v>-</v>
      </c>
      <c r="J357" s="75"/>
      <c r="K357" s="74" t="str">
        <f>IF($E$11="",IF(OR($E$7="seleccione rubro",$E$9="seleccione sub - rubro"),"-",HLOOKUP((CONCATENATE($E$9,$K$17)),'IMESI Vol Físico - Series mensu'!$C$4:$FZ$319,316,0)),"-")</f>
        <v>-</v>
      </c>
    </row>
    <row r="358" spans="4:11" x14ac:dyDescent="0.2">
      <c r="D358" s="72">
        <f t="shared" ref="D358:D368" si="26">YEAR(E358)</f>
        <v>2013</v>
      </c>
      <c r="E358" s="73">
        <f>+'IMESI Vol Físico - Series mensu'!A320</f>
        <v>41306</v>
      </c>
      <c r="F358" s="73"/>
      <c r="G358" s="74" t="str">
        <f>IF($E$11="",IF(OR($E$7="seleccione rubro",$E$9="seleccione sub - rubro"),"-",HLOOKUP((CONCATENATE($E$9,$G$17)),'IMESI Vol Físico - Series mensu'!$C$4:$FZ$320,317,0)),"-")</f>
        <v>-</v>
      </c>
      <c r="H358" s="75"/>
      <c r="I358" s="74" t="str">
        <f>IF($E$11="",IF(OR($E$7="seleccione rubro",$E$9="seleccione sub - rubro"),"-",HLOOKUP((CONCATENATE($E$9,$I$17)),'IMESI Vol Físico - Series mensu'!$C$4:$FZ$320,317,0)),"-")</f>
        <v>-</v>
      </c>
      <c r="J358" s="75"/>
      <c r="K358" s="74" t="str">
        <f>IF($E$11="",IF(OR($E$7="seleccione rubro",$E$9="seleccione sub - rubro"),"-",HLOOKUP((CONCATENATE($E$9,$K$17)),'IMESI Vol Físico - Series mensu'!$C$4:$FZ$320,317,0)),"-")</f>
        <v>-</v>
      </c>
    </row>
    <row r="359" spans="4:11" x14ac:dyDescent="0.2">
      <c r="D359" s="72">
        <f t="shared" si="26"/>
        <v>2013</v>
      </c>
      <c r="E359" s="73">
        <f>+'IMESI Vol Físico - Series mensu'!A321</f>
        <v>41334</v>
      </c>
      <c r="F359" s="73"/>
      <c r="G359" s="74" t="str">
        <f>IF($E$11="",IF(OR($E$7="seleccione rubro",$E$9="seleccione sub - rubro"),"-",HLOOKUP((CONCATENATE($E$9,$G$17)),'IMESI Vol Físico - Series mensu'!$C$4:$FZ$321,318,0)),"-")</f>
        <v>-</v>
      </c>
      <c r="H359" s="75"/>
      <c r="I359" s="74" t="str">
        <f>IF($E$11="",IF(OR($E$7="seleccione rubro",$E$9="seleccione sub - rubro"),"-",HLOOKUP((CONCATENATE($E$9,$I$17)),'IMESI Vol Físico - Series mensu'!$C$4:$FZ$321,318,0)),"-")</f>
        <v>-</v>
      </c>
      <c r="J359" s="75"/>
      <c r="K359" s="74" t="str">
        <f>IF($E$11="",IF(OR($E$7="seleccione rubro",$E$9="seleccione sub - rubro"),"-",HLOOKUP((CONCATENATE($E$9,$K$17)),'IMESI Vol Físico - Series mensu'!$C$4:$FZ$321,318,0)),"-")</f>
        <v>-</v>
      </c>
    </row>
    <row r="360" spans="4:11" x14ac:dyDescent="0.2">
      <c r="D360" s="72">
        <f t="shared" si="26"/>
        <v>2013</v>
      </c>
      <c r="E360" s="73">
        <f>+'IMESI Vol Físico - Series mensu'!A322</f>
        <v>41365</v>
      </c>
      <c r="F360" s="73"/>
      <c r="G360" s="74" t="str">
        <f>IF($E$11="",IF(OR($E$7="seleccione rubro",$E$9="seleccione sub - rubro"),"-",HLOOKUP((CONCATENATE($E$9,$G$17)),'IMESI Vol Físico - Series mensu'!$C$4:$FZ$322,319,0)),"-")</f>
        <v>-</v>
      </c>
      <c r="H360" s="75"/>
      <c r="I360" s="74" t="str">
        <f>IF($E$11="",IF(OR($E$7="seleccione rubro",$E$9="seleccione sub - rubro"),"-",HLOOKUP((CONCATENATE($E$9,$I$17)),'IMESI Vol Físico - Series mensu'!$C$4:$FZ$322,319,0)),"-")</f>
        <v>-</v>
      </c>
      <c r="J360" s="75"/>
      <c r="K360" s="74" t="str">
        <f>IF($E$11="",IF(OR($E$7="seleccione rubro",$E$9="seleccione sub - rubro"),"-",HLOOKUP((CONCATENATE($E$9,$K$17)),'IMESI Vol Físico - Series mensu'!$C$4:$FZ$322,319,0)),"-")</f>
        <v>-</v>
      </c>
    </row>
    <row r="361" spans="4:11" x14ac:dyDescent="0.2">
      <c r="D361" s="72">
        <f t="shared" si="26"/>
        <v>2013</v>
      </c>
      <c r="E361" s="73">
        <f>+'IMESI Vol Físico - Series mensu'!A323</f>
        <v>41395</v>
      </c>
      <c r="F361" s="73"/>
      <c r="G361" s="74" t="str">
        <f>IF($E$11="",IF(OR($E$7="seleccione rubro",$E$9="seleccione sub - rubro"),"-",HLOOKUP((CONCATENATE($E$9,$G$17)),'IMESI Vol Físico - Series mensu'!$C$4:$FZ$323,320,0)),"-")</f>
        <v>-</v>
      </c>
      <c r="H361" s="75"/>
      <c r="I361" s="74" t="str">
        <f>IF($E$11="",IF(OR($E$7="seleccione rubro",$E$9="seleccione sub - rubro"),"-",HLOOKUP((CONCATENATE($E$9,$I$17)),'IMESI Vol Físico - Series mensu'!$C$4:$FZ$323,320,0)),"-")</f>
        <v>-</v>
      </c>
      <c r="J361" s="75"/>
      <c r="K361" s="74" t="str">
        <f>IF($E$11="",IF(OR($E$7="seleccione rubro",$E$9="seleccione sub - rubro"),"-",HLOOKUP((CONCATENATE($E$9,$K$17)),'IMESI Vol Físico - Series mensu'!$C$4:$FZ$323,320,0)),"-")</f>
        <v>-</v>
      </c>
    </row>
    <row r="362" spans="4:11" x14ac:dyDescent="0.2">
      <c r="D362" s="72">
        <f t="shared" si="26"/>
        <v>2013</v>
      </c>
      <c r="E362" s="73">
        <f>+'IMESI Vol Físico - Series mensu'!A324</f>
        <v>41426</v>
      </c>
      <c r="F362" s="73"/>
      <c r="G362" s="74" t="str">
        <f>IF($E$11="",IF(OR($E$7="seleccione rubro",$E$9="seleccione sub - rubro"),"-",HLOOKUP((CONCATENATE($E$9,$G$17)),'IMESI Vol Físico - Series mensu'!$C$4:$FZ$324,321,0)),"-")</f>
        <v>-</v>
      </c>
      <c r="H362" s="75"/>
      <c r="I362" s="74" t="str">
        <f>IF($E$11="",IF(OR($E$7="seleccione rubro",$E$9="seleccione sub - rubro"),"-",HLOOKUP((CONCATENATE($E$9,$I$17)),'IMESI Vol Físico - Series mensu'!$C$4:$FZ$324,321,0)),"-")</f>
        <v>-</v>
      </c>
      <c r="J362" s="75"/>
      <c r="K362" s="74" t="str">
        <f>IF($E$11="",IF(OR($E$7="seleccione rubro",$E$9="seleccione sub - rubro"),"-",HLOOKUP((CONCATENATE($E$9,$K$17)),'IMESI Vol Físico - Series mensu'!$C$4:$FZ$324,321,0)),"-")</f>
        <v>-</v>
      </c>
    </row>
    <row r="363" spans="4:11" x14ac:dyDescent="0.2">
      <c r="D363" s="72">
        <f t="shared" si="26"/>
        <v>2013</v>
      </c>
      <c r="E363" s="73">
        <f>+'IMESI Vol Físico - Series mensu'!A325</f>
        <v>41456</v>
      </c>
      <c r="F363" s="73"/>
      <c r="G363" s="74" t="str">
        <f>IF($E$11="",IF(OR($E$7="seleccione rubro",$E$9="seleccione sub - rubro"),"-",HLOOKUP((CONCATENATE($E$9,$G$17)),'IMESI Vol Físico - Series mensu'!$C$4:$FZ$325,322,0)),"-")</f>
        <v>-</v>
      </c>
      <c r="H363" s="75"/>
      <c r="I363" s="74" t="str">
        <f>IF($E$11="",IF(OR($E$7="seleccione rubro",$E$9="seleccione sub - rubro"),"-",HLOOKUP((CONCATENATE($E$9,$I$17)),'IMESI Vol Físico - Series mensu'!$C$4:$FZ$325,322,0)),"-")</f>
        <v>-</v>
      </c>
      <c r="J363" s="75"/>
      <c r="K363" s="74" t="str">
        <f>IF($E$11="",IF(OR($E$7="seleccione rubro",$E$9="seleccione sub - rubro"),"-",HLOOKUP((CONCATENATE($E$9,$K$17)),'IMESI Vol Físico - Series mensu'!$C$4:$FZ$325,322,0)),"-")</f>
        <v>-</v>
      </c>
    </row>
    <row r="364" spans="4:11" x14ac:dyDescent="0.2">
      <c r="D364" s="72">
        <f t="shared" si="26"/>
        <v>2013</v>
      </c>
      <c r="E364" s="73">
        <f>+'IMESI Vol Físico - Series mensu'!A326</f>
        <v>41487</v>
      </c>
      <c r="F364" s="73"/>
      <c r="G364" s="74" t="str">
        <f>IF($E$11="",IF(OR($E$7="seleccione rubro",$E$9="seleccione sub - rubro"),"-",HLOOKUP((CONCATENATE($E$9,$G$17)),'IMESI Vol Físico - Series mensu'!$C$4:$FZ$326,323,0)),"-")</f>
        <v>-</v>
      </c>
      <c r="H364" s="75"/>
      <c r="I364" s="74" t="str">
        <f>IF($E$11="",IF(OR($E$7="seleccione rubro",$E$9="seleccione sub - rubro"),"-",HLOOKUP((CONCATENATE($E$9,$I$17)),'IMESI Vol Físico - Series mensu'!$C$4:$FZ$326,323,0)),"-")</f>
        <v>-</v>
      </c>
      <c r="J364" s="75"/>
      <c r="K364" s="74" t="str">
        <f>IF($E$11="",IF(OR($E$7="seleccione rubro",$E$9="seleccione sub - rubro"),"-",HLOOKUP((CONCATENATE($E$9,$K$17)),'IMESI Vol Físico - Series mensu'!$C$4:$FZ$326,323,0)),"-")</f>
        <v>-</v>
      </c>
    </row>
    <row r="365" spans="4:11" x14ac:dyDescent="0.2">
      <c r="D365" s="72">
        <f t="shared" si="26"/>
        <v>2013</v>
      </c>
      <c r="E365" s="73">
        <f>+'IMESI Vol Físico - Series mensu'!A327</f>
        <v>41518</v>
      </c>
      <c r="F365" s="73"/>
      <c r="G365" s="74" t="str">
        <f>IF($E$11="",IF(OR($E$7="seleccione rubro",$E$9="seleccione sub - rubro"),"-",HLOOKUP((CONCATENATE($E$9,$G$17)),'IMESI Vol Físico - Series mensu'!$C$4:$FZ$327,324,0)),"-")</f>
        <v>-</v>
      </c>
      <c r="H365" s="75"/>
      <c r="I365" s="74" t="str">
        <f>IF($E$11="",IF(OR($E$7="seleccione rubro",$E$9="seleccione sub - rubro"),"-",HLOOKUP((CONCATENATE($E$9,$I$17)),'IMESI Vol Físico - Series mensu'!$C$4:$FZ$327,324,0)),"-")</f>
        <v>-</v>
      </c>
      <c r="J365" s="75"/>
      <c r="K365" s="74" t="str">
        <f>IF($E$11="",IF(OR($E$7="seleccione rubro",$E$9="seleccione sub - rubro"),"-",HLOOKUP((CONCATENATE($E$9,$K$17)),'IMESI Vol Físico - Series mensu'!$C$4:$FZ$327,324,0)),"-")</f>
        <v>-</v>
      </c>
    </row>
    <row r="366" spans="4:11" x14ac:dyDescent="0.2">
      <c r="D366" s="72">
        <f t="shared" si="26"/>
        <v>2013</v>
      </c>
      <c r="E366" s="73">
        <f>+'IMESI Vol Físico - Series mensu'!A328</f>
        <v>41548</v>
      </c>
      <c r="F366" s="73"/>
      <c r="G366" s="74" t="str">
        <f>IF($E$11="",IF(OR($E$7="seleccione rubro",$E$9="seleccione sub - rubro"),"-",HLOOKUP((CONCATENATE($E$9,$G$17)),'IMESI Vol Físico - Series mensu'!$C$4:$FZ$328,325,0)),"-")</f>
        <v>-</v>
      </c>
      <c r="H366" s="75"/>
      <c r="I366" s="74" t="str">
        <f>IF($E$11="",IF(OR($E$7="seleccione rubro",$E$9="seleccione sub - rubro"),"-",HLOOKUP((CONCATENATE($E$9,$I$17)),'IMESI Vol Físico - Series mensu'!$C$4:$FZ$328,325,0)),"-")</f>
        <v>-</v>
      </c>
      <c r="J366" s="75"/>
      <c r="K366" s="74" t="str">
        <f>IF($E$11="",IF(OR($E$7="seleccione rubro",$E$9="seleccione sub - rubro"),"-",HLOOKUP((CONCATENATE($E$9,$K$17)),'IMESI Vol Físico - Series mensu'!$C$4:$FZ$328,325,0)),"-")</f>
        <v>-</v>
      </c>
    </row>
    <row r="367" spans="4:11" x14ac:dyDescent="0.2">
      <c r="D367" s="72">
        <f t="shared" si="26"/>
        <v>2013</v>
      </c>
      <c r="E367" s="73">
        <f>+'IMESI Vol Físico - Series mensu'!A329</f>
        <v>41579</v>
      </c>
      <c r="F367" s="73"/>
      <c r="G367" s="74" t="str">
        <f>IF($E$11="",IF(OR($E$7="seleccione rubro",$E$9="seleccione sub - rubro"),"-",HLOOKUP((CONCATENATE($E$9,$G$17)),'IMESI Vol Físico - Series mensu'!$C$4:$FZ$329,326,0)),"-")</f>
        <v>-</v>
      </c>
      <c r="H367" s="75"/>
      <c r="I367" s="74" t="str">
        <f>IF($E$11="",IF(OR($E$7="seleccione rubro",$E$9="seleccione sub - rubro"),"-",HLOOKUP((CONCATENATE($E$9,$I$17)),'IMESI Vol Físico - Series mensu'!$C$4:$FZ$329,326,0)),"-")</f>
        <v>-</v>
      </c>
      <c r="J367" s="75"/>
      <c r="K367" s="74" t="str">
        <f>IF($E$11="",IF(OR($E$7="seleccione rubro",$E$9="seleccione sub - rubro"),"-",HLOOKUP((CONCATENATE($E$9,$K$17)),'IMESI Vol Físico - Series mensu'!$C$4:$FZ$329,326,0)),"-")</f>
        <v>-</v>
      </c>
    </row>
    <row r="368" spans="4:11" x14ac:dyDescent="0.2">
      <c r="D368" s="72">
        <f t="shared" si="26"/>
        <v>2013</v>
      </c>
      <c r="E368" s="73">
        <f>+'IMESI Vol Físico - Series mensu'!A330</f>
        <v>41609</v>
      </c>
      <c r="F368" s="73"/>
      <c r="G368" s="74" t="str">
        <f>IF($E$11="",IF(OR($E$7="seleccione rubro",$E$9="seleccione sub - rubro"),"-",HLOOKUP((CONCATENATE($E$9,$G$17)),'IMESI Vol Físico - Series mensu'!$C$4:$FZ$330,327,0)),"-")</f>
        <v>-</v>
      </c>
      <c r="H368" s="75"/>
      <c r="I368" s="74" t="str">
        <f>IF($E$11="",IF(OR($E$7="seleccione rubro",$E$9="seleccione sub - rubro"),"-",HLOOKUP((CONCATENATE($E$9,$I$17)),'IMESI Vol Físico - Series mensu'!$C$4:$FZ$330,327,0)),"-")</f>
        <v>-</v>
      </c>
      <c r="J368" s="75"/>
      <c r="K368" s="74" t="str">
        <f>IF($E$11="",IF(OR($E$7="seleccione rubro",$E$9="seleccione sub - rubro"),"-",HLOOKUP((CONCATENATE($E$9,$K$17)),'IMESI Vol Físico - Series mensu'!$C$4:$FZ$330,327,0)),"-")</f>
        <v>-</v>
      </c>
    </row>
    <row r="369" spans="4:11" x14ac:dyDescent="0.2">
      <c r="D369" s="69">
        <f>+D370</f>
        <v>2014</v>
      </c>
      <c r="E369" s="70"/>
      <c r="F369" s="70"/>
      <c r="G369" s="74"/>
      <c r="H369" s="75"/>
      <c r="I369" s="74"/>
      <c r="J369" s="75"/>
      <c r="K369" s="74"/>
    </row>
    <row r="370" spans="4:11" x14ac:dyDescent="0.2">
      <c r="D370" s="72">
        <f>YEAR(E370)</f>
        <v>2014</v>
      </c>
      <c r="E370" s="73">
        <f>+'IMESI Vol Físico - Series mensu'!A331</f>
        <v>41640</v>
      </c>
      <c r="F370" s="73"/>
      <c r="G370" s="74" t="str">
        <f>IF($E$11="",IF(OR($E$7="seleccione rubro",$E$9="seleccione sub - rubro"),"-",HLOOKUP((CONCATENATE($E$9,$G$17)),'IMESI Vol Físico - Series mensu'!$C$4:$FZ$331,328,0)),"-")</f>
        <v>-</v>
      </c>
      <c r="H370" s="75"/>
      <c r="I370" s="74" t="str">
        <f>IF($E$11="",IF(OR($E$7="seleccione rubro",$E$9="seleccione sub - rubro"),"-",HLOOKUP((CONCATENATE($E$9,$I$17)),'IMESI Vol Físico - Series mensu'!$C$4:$FZ$331,328,0)),"-")</f>
        <v>-</v>
      </c>
      <c r="J370" s="75"/>
      <c r="K370" s="74" t="str">
        <f>IF($E$11="",IF(OR($E$7="seleccione rubro",$E$9="seleccione sub - rubro"),"-",HLOOKUP((CONCATENATE($E$9,$K$17)),'IMESI Vol Físico - Series mensu'!$C$4:$FZ$331,328,0)),"-")</f>
        <v>-</v>
      </c>
    </row>
    <row r="371" spans="4:11" x14ac:dyDescent="0.2">
      <c r="D371" s="72">
        <f t="shared" ref="D371:D381" si="27">YEAR(E371)</f>
        <v>2014</v>
      </c>
      <c r="E371" s="73">
        <f>+'IMESI Vol Físico - Series mensu'!A332</f>
        <v>41671</v>
      </c>
      <c r="F371" s="73"/>
      <c r="G371" s="74" t="str">
        <f>IF($E$11="",IF(OR($E$7="seleccione rubro",$E$9="seleccione sub - rubro"),"-",HLOOKUP((CONCATENATE($E$9,$G$17)),'IMESI Vol Físico - Series mensu'!$C$4:$FZ$332,329,0)),"-")</f>
        <v>-</v>
      </c>
      <c r="H371" s="75"/>
      <c r="I371" s="74" t="str">
        <f>IF($E$11="",IF(OR($E$7="seleccione rubro",$E$9="seleccione sub - rubro"),"-",HLOOKUP((CONCATENATE($E$9,$I$17)),'IMESI Vol Físico - Series mensu'!$C$4:$FZ$332,329,0)),"-")</f>
        <v>-</v>
      </c>
      <c r="J371" s="75"/>
      <c r="K371" s="74" t="str">
        <f>IF($E$11="",IF(OR($E$7="seleccione rubro",$E$9="seleccione sub - rubro"),"-",HLOOKUP((CONCATENATE($E$9,$K$17)),'IMESI Vol Físico - Series mensu'!$C$4:$FZ$332,329,0)),"-")</f>
        <v>-</v>
      </c>
    </row>
    <row r="372" spans="4:11" x14ac:dyDescent="0.2">
      <c r="D372" s="72">
        <f t="shared" si="27"/>
        <v>2014</v>
      </c>
      <c r="E372" s="73">
        <f>+'IMESI Vol Físico - Series mensu'!A333</f>
        <v>41699</v>
      </c>
      <c r="F372" s="73"/>
      <c r="G372" s="74" t="str">
        <f>IF($E$11="",IF(OR($E$7="seleccione rubro",$E$9="seleccione sub - rubro"),"-",HLOOKUP((CONCATENATE($E$9,$G$17)),'IMESI Vol Físico - Series mensu'!$C$4:$FZ$333,330,0)),"-")</f>
        <v>-</v>
      </c>
      <c r="H372" s="75"/>
      <c r="I372" s="74" t="str">
        <f>IF($E$11="",IF(OR($E$7="seleccione rubro",$E$9="seleccione sub - rubro"),"-",HLOOKUP((CONCATENATE($E$9,$I$17)),'IMESI Vol Físico - Series mensu'!$C$4:$FZ$333,330,0)),"-")</f>
        <v>-</v>
      </c>
      <c r="J372" s="75"/>
      <c r="K372" s="74" t="str">
        <f>IF($E$11="",IF(OR($E$7="seleccione rubro",$E$9="seleccione sub - rubro"),"-",HLOOKUP((CONCATENATE($E$9,$K$17)),'IMESI Vol Físico - Series mensu'!$C$4:$FZ$333,330,0)),"-")</f>
        <v>-</v>
      </c>
    </row>
    <row r="373" spans="4:11" x14ac:dyDescent="0.2">
      <c r="D373" s="72">
        <f t="shared" si="27"/>
        <v>2014</v>
      </c>
      <c r="E373" s="73">
        <f>+'IMESI Vol Físico - Series mensu'!A334</f>
        <v>41730</v>
      </c>
      <c r="F373" s="73"/>
      <c r="G373" s="74" t="str">
        <f>IF($E$11="",IF(OR($E$7="seleccione rubro",$E$9="seleccione sub - rubro"),"-",HLOOKUP((CONCATENATE($E$9,$G$17)),'IMESI Vol Físico - Series mensu'!$C$4:$FZ$334,331,0)),"-")</f>
        <v>-</v>
      </c>
      <c r="H373" s="75"/>
      <c r="I373" s="74" t="str">
        <f>IF($E$11="",IF(OR($E$7="seleccione rubro",$E$9="seleccione sub - rubro"),"-",HLOOKUP((CONCATENATE($E$9,$I$17)),'IMESI Vol Físico - Series mensu'!$C$4:$FZ$334,331,0)),"-")</f>
        <v>-</v>
      </c>
      <c r="J373" s="75"/>
      <c r="K373" s="74" t="str">
        <f>IF($E$11="",IF(OR($E$7="seleccione rubro",$E$9="seleccione sub - rubro"),"-",HLOOKUP((CONCATENATE($E$9,$K$17)),'IMESI Vol Físico - Series mensu'!$C$4:$FZ$334,331,0)),"-")</f>
        <v>-</v>
      </c>
    </row>
    <row r="374" spans="4:11" x14ac:dyDescent="0.2">
      <c r="D374" s="72">
        <f t="shared" si="27"/>
        <v>2014</v>
      </c>
      <c r="E374" s="73">
        <f>+'IMESI Vol Físico - Series mensu'!A335</f>
        <v>41760</v>
      </c>
      <c r="F374" s="73"/>
      <c r="G374" s="74" t="str">
        <f>IF($E$11="",IF(OR($E$7="seleccione rubro",$E$9="seleccione sub - rubro"),"-",HLOOKUP((CONCATENATE($E$9,$G$17)),'IMESI Vol Físico - Series mensu'!$C$4:$FZ$335,332,0)),"-")</f>
        <v>-</v>
      </c>
      <c r="H374" s="75"/>
      <c r="I374" s="74" t="str">
        <f>IF($E$11="",IF(OR($E$7="seleccione rubro",$E$9="seleccione sub - rubro"),"-",HLOOKUP((CONCATENATE($E$9,$I$17)),'IMESI Vol Físico - Series mensu'!$C$4:$FZ$335,332,0)),"-")</f>
        <v>-</v>
      </c>
      <c r="J374" s="75"/>
      <c r="K374" s="74" t="str">
        <f>IF($E$11="",IF(OR($E$7="seleccione rubro",$E$9="seleccione sub - rubro"),"-",HLOOKUP((CONCATENATE($E$9,$K$17)),'IMESI Vol Físico - Series mensu'!$C$4:$FZ$335,332,0)),"-")</f>
        <v>-</v>
      </c>
    </row>
    <row r="375" spans="4:11" x14ac:dyDescent="0.2">
      <c r="D375" s="72">
        <f t="shared" si="27"/>
        <v>2014</v>
      </c>
      <c r="E375" s="73">
        <f>+'IMESI Vol Físico - Series mensu'!A336</f>
        <v>41791</v>
      </c>
      <c r="F375" s="73"/>
      <c r="G375" s="74" t="str">
        <f>IF($E$11="",IF(OR($E$7="seleccione rubro",$E$9="seleccione sub - rubro"),"-",HLOOKUP((CONCATENATE($E$9,$G$17)),'IMESI Vol Físico - Series mensu'!$C$4:$FZ$336,333,0)),"-")</f>
        <v>-</v>
      </c>
      <c r="H375" s="75"/>
      <c r="I375" s="74" t="str">
        <f>IF($E$11="",IF(OR($E$7="seleccione rubro",$E$9="seleccione sub - rubro"),"-",HLOOKUP((CONCATENATE($E$9,$I$17)),'IMESI Vol Físico - Series mensu'!$C$4:$FZ$336,333,0)),"-")</f>
        <v>-</v>
      </c>
      <c r="J375" s="75"/>
      <c r="K375" s="74" t="str">
        <f>IF($E$11="",IF(OR($E$7="seleccione rubro",$E$9="seleccione sub - rubro"),"-",HLOOKUP((CONCATENATE($E$9,$K$17)),'IMESI Vol Físico - Series mensu'!$C$4:$FZ$336,333,0)),"-")</f>
        <v>-</v>
      </c>
    </row>
    <row r="376" spans="4:11" x14ac:dyDescent="0.2">
      <c r="D376" s="72">
        <f t="shared" si="27"/>
        <v>2014</v>
      </c>
      <c r="E376" s="73">
        <f>+'IMESI Vol Físico - Series mensu'!A337</f>
        <v>41821</v>
      </c>
      <c r="F376" s="73"/>
      <c r="G376" s="74" t="str">
        <f>IF($E$11="",IF(OR($E$7="seleccione rubro",$E$9="seleccione sub - rubro"),"-",HLOOKUP((CONCATENATE($E$9,$G$17)),'IMESI Vol Físico - Series mensu'!$C$4:$FZ$337,334,0)),"-")</f>
        <v>-</v>
      </c>
      <c r="H376" s="75"/>
      <c r="I376" s="74" t="str">
        <f>IF($E$11="",IF(OR($E$7="seleccione rubro",$E$9="seleccione sub - rubro"),"-",HLOOKUP((CONCATENATE($E$9,$I$17)),'IMESI Vol Físico - Series mensu'!$C$4:$FZ$337,334,0)),"-")</f>
        <v>-</v>
      </c>
      <c r="J376" s="75"/>
      <c r="K376" s="74" t="str">
        <f>IF($E$11="",IF(OR($E$7="seleccione rubro",$E$9="seleccione sub - rubro"),"-",HLOOKUP((CONCATENATE($E$9,$K$17)),'IMESI Vol Físico - Series mensu'!$C$4:$FZ$337,334,0)),"-")</f>
        <v>-</v>
      </c>
    </row>
    <row r="377" spans="4:11" x14ac:dyDescent="0.2">
      <c r="D377" s="72">
        <f t="shared" si="27"/>
        <v>2014</v>
      </c>
      <c r="E377" s="73">
        <f>+'IMESI Vol Físico - Series mensu'!A338</f>
        <v>41852</v>
      </c>
      <c r="F377" s="73"/>
      <c r="G377" s="74" t="str">
        <f>IF($E$11="",IF(OR($E$7="seleccione rubro",$E$9="seleccione sub - rubro"),"-",HLOOKUP((CONCATENATE($E$9,$G$17)),'IMESI Vol Físico - Series mensu'!$C$4:$FZ$338,335,0)),"-")</f>
        <v>-</v>
      </c>
      <c r="H377" s="75"/>
      <c r="I377" s="74" t="str">
        <f>IF($E$11="",IF(OR($E$7="seleccione rubro",$E$9="seleccione sub - rubro"),"-",HLOOKUP((CONCATENATE($E$9,$I$17)),'IMESI Vol Físico - Series mensu'!$C$4:$FZ$338,335,0)),"-")</f>
        <v>-</v>
      </c>
      <c r="J377" s="75"/>
      <c r="K377" s="74" t="str">
        <f>IF($E$11="",IF(OR($E$7="seleccione rubro",$E$9="seleccione sub - rubro"),"-",HLOOKUP((CONCATENATE($E$9,$K$17)),'IMESI Vol Físico - Series mensu'!$C$4:$FZ$338,335,0)),"-")</f>
        <v>-</v>
      </c>
    </row>
    <row r="378" spans="4:11" x14ac:dyDescent="0.2">
      <c r="D378" s="72">
        <f t="shared" si="27"/>
        <v>2014</v>
      </c>
      <c r="E378" s="73">
        <f>+'IMESI Vol Físico - Series mensu'!A339</f>
        <v>41883</v>
      </c>
      <c r="F378" s="73"/>
      <c r="G378" s="74" t="str">
        <f>IF($E$11="",IF(OR($E$7="seleccione rubro",$E$9="seleccione sub - rubro"),"-",HLOOKUP((CONCATENATE($E$9,$G$17)),'IMESI Vol Físico - Series mensu'!$C$4:$FZ$339,336,0)),"-")</f>
        <v>-</v>
      </c>
      <c r="H378" s="75"/>
      <c r="I378" s="74" t="str">
        <f>IF($E$11="",IF(OR($E$7="seleccione rubro",$E$9="seleccione sub - rubro"),"-",HLOOKUP((CONCATENATE($E$9,$I$17)),'IMESI Vol Físico - Series mensu'!$C$4:$FZ$339,336,0)),"-")</f>
        <v>-</v>
      </c>
      <c r="J378" s="75"/>
      <c r="K378" s="74" t="str">
        <f>IF($E$11="",IF(OR($E$7="seleccione rubro",$E$9="seleccione sub - rubro"),"-",HLOOKUP((CONCATENATE($E$9,$K$17)),'IMESI Vol Físico - Series mensu'!$C$4:$FZ$339,336,0)),"-")</f>
        <v>-</v>
      </c>
    </row>
    <row r="379" spans="4:11" x14ac:dyDescent="0.2">
      <c r="D379" s="72">
        <f t="shared" si="27"/>
        <v>2014</v>
      </c>
      <c r="E379" s="73">
        <f>+'IMESI Vol Físico - Series mensu'!A340</f>
        <v>41913</v>
      </c>
      <c r="F379" s="73"/>
      <c r="G379" s="74" t="str">
        <f>IF($E$11="",IF(OR($E$7="seleccione rubro",$E$9="seleccione sub - rubro"),"-",HLOOKUP((CONCATENATE($E$9,$G$17)),'IMESI Vol Físico - Series mensu'!$C$4:$FZ$340,337,0)),"-")</f>
        <v>-</v>
      </c>
      <c r="H379" s="75"/>
      <c r="I379" s="74" t="str">
        <f>IF($E$11="",IF(OR($E$7="seleccione rubro",$E$9="seleccione sub - rubro"),"-",HLOOKUP((CONCATENATE($E$9,$I$17)),'IMESI Vol Físico - Series mensu'!$C$4:$FZ$340,337,0)),"-")</f>
        <v>-</v>
      </c>
      <c r="J379" s="75"/>
      <c r="K379" s="74" t="str">
        <f>IF($E$11="",IF(OR($E$7="seleccione rubro",$E$9="seleccione sub - rubro"),"-",HLOOKUP((CONCATENATE($E$9,$K$17)),'IMESI Vol Físico - Series mensu'!$C$4:$FZ$340,337,0)),"-")</f>
        <v>-</v>
      </c>
    </row>
    <row r="380" spans="4:11" x14ac:dyDescent="0.2">
      <c r="D380" s="72">
        <f t="shared" si="27"/>
        <v>2014</v>
      </c>
      <c r="E380" s="73">
        <f>+'IMESI Vol Físico - Series mensu'!A341</f>
        <v>41944</v>
      </c>
      <c r="F380" s="73"/>
      <c r="G380" s="74" t="str">
        <f>IF($E$11="",IF(OR($E$7="seleccione rubro",$E$9="seleccione sub - rubro"),"-",HLOOKUP((CONCATENATE($E$9,$G$17)),'IMESI Vol Físico - Series mensu'!$C$4:$FZ$341,338,0)),"-")</f>
        <v>-</v>
      </c>
      <c r="H380" s="75"/>
      <c r="I380" s="74" t="str">
        <f>IF($E$11="",IF(OR($E$7="seleccione rubro",$E$9="seleccione sub - rubro"),"-",HLOOKUP((CONCATENATE($E$9,$I$17)),'IMESI Vol Físico - Series mensu'!$C$4:$FZ$341,338,0)),"-")</f>
        <v>-</v>
      </c>
      <c r="J380" s="75"/>
      <c r="K380" s="74" t="str">
        <f>IF($E$11="",IF(OR($E$7="seleccione rubro",$E$9="seleccione sub - rubro"),"-",HLOOKUP((CONCATENATE($E$9,$K$17)),'IMESI Vol Físico - Series mensu'!$C$4:$FZ$341,338,0)),"-")</f>
        <v>-</v>
      </c>
    </row>
    <row r="381" spans="4:11" x14ac:dyDescent="0.2">
      <c r="D381" s="72">
        <f t="shared" si="27"/>
        <v>2014</v>
      </c>
      <c r="E381" s="73">
        <f>+'IMESI Vol Físico - Series mensu'!A342</f>
        <v>41974</v>
      </c>
      <c r="F381" s="73"/>
      <c r="G381" s="74" t="str">
        <f>IF($E$11="",IF(OR($E$7="seleccione rubro",$E$9="seleccione sub - rubro"),"-",HLOOKUP((CONCATENATE($E$9,$G$17)),'IMESI Vol Físico - Series mensu'!$C$4:$FZ$342,339,0)),"-")</f>
        <v>-</v>
      </c>
      <c r="H381" s="75"/>
      <c r="I381" s="74" t="str">
        <f>IF($E$11="",IF(OR($E$7="seleccione rubro",$E$9="seleccione sub - rubro"),"-",HLOOKUP((CONCATENATE($E$9,$I$17)),'IMESI Vol Físico - Series mensu'!$C$4:$FZ$342,339,0)),"-")</f>
        <v>-</v>
      </c>
      <c r="J381" s="75"/>
      <c r="K381" s="85" t="str">
        <f>IF($E$11="",IF(OR($E$7="seleccione rubro",$E$9="seleccione sub - rubro"),"-",HLOOKUP((CONCATENATE($E$9,$K$17)),'IMESI Vol Físico - Series mensu'!$C$4:$FZ$342,339,0)),"-")</f>
        <v>-</v>
      </c>
    </row>
    <row r="382" spans="4:11" x14ac:dyDescent="0.2">
      <c r="D382" s="69">
        <f>+D383</f>
        <v>2015</v>
      </c>
      <c r="E382" s="70"/>
      <c r="F382" s="70"/>
      <c r="G382" s="74"/>
      <c r="H382" s="75"/>
      <c r="I382" s="74"/>
      <c r="J382" s="75"/>
      <c r="K382" s="74"/>
    </row>
    <row r="383" spans="4:11" x14ac:dyDescent="0.2">
      <c r="D383" s="72">
        <f>YEAR(E383)</f>
        <v>2015</v>
      </c>
      <c r="E383" s="73">
        <f>+'IMESI Vol Físico - Series mensu'!A343</f>
        <v>42005</v>
      </c>
      <c r="F383" s="73"/>
      <c r="G383" s="74" t="str">
        <f>IF($E$11="",IF(OR($E$7="seleccione rubro",$E$9="seleccione sub - rubro"),"-",HLOOKUP((CONCATENATE($E$9,$G$17)),'IMESI Vol Físico - Series mensu'!$C$4:$FZ$343,340,0)),"-")</f>
        <v>-</v>
      </c>
      <c r="H383" s="75"/>
      <c r="I383" s="74" t="str">
        <f>IF($E$11="",IF(OR($E$7="seleccione rubro",$E$9="seleccione sub - rubro"),"-",HLOOKUP((CONCATENATE($E$9,$I$17)),'IMESI Vol Físico - Series mensu'!$C$4:$FZ$343,340,0)),"-")</f>
        <v>-</v>
      </c>
      <c r="J383" s="75"/>
      <c r="K383" s="74" t="str">
        <f>IF($E$11="",IF(OR($E$7="seleccione rubro",$E$9="seleccione sub - rubro"),"-",HLOOKUP((CONCATENATE($E$9,$K$17)),'IMESI Vol Físico - Series mensu'!$C$4:$FZ$343,340,0)),"-")</f>
        <v>-</v>
      </c>
    </row>
    <row r="384" spans="4:11" x14ac:dyDescent="0.2">
      <c r="D384" s="72">
        <f t="shared" ref="D384:D394" si="28">YEAR(E384)</f>
        <v>2015</v>
      </c>
      <c r="E384" s="73">
        <f>+'IMESI Vol Físico - Series mensu'!A344</f>
        <v>42036</v>
      </c>
      <c r="F384" s="73"/>
      <c r="G384" s="74" t="str">
        <f>IF($E$11="",IF(OR($E$7="seleccione rubro",$E$9="seleccione sub - rubro"),"-",HLOOKUP((CONCATENATE($E$9,$G$17)),'IMESI Vol Físico - Series mensu'!$C$4:$FZ$344,341,0)),"-")</f>
        <v>-</v>
      </c>
      <c r="H384" s="75"/>
      <c r="I384" s="74" t="str">
        <f>IF($E$11="",IF(OR($E$7="seleccione rubro",$E$9="seleccione sub - rubro"),"-",HLOOKUP((CONCATENATE($E$9,$I$17)),'IMESI Vol Físico - Series mensu'!$C$4:$FZ$344,341,0)),"-")</f>
        <v>-</v>
      </c>
      <c r="J384" s="75"/>
      <c r="K384" s="74" t="str">
        <f>IF($E$11="",IF(OR($E$7="seleccione rubro",$E$9="seleccione sub - rubro"),"-",HLOOKUP((CONCATENATE($E$9,$K$17)),'IMESI Vol Físico - Series mensu'!$C$4:$FZ$344,341,0)),"-")</f>
        <v>-</v>
      </c>
    </row>
    <row r="385" spans="4:11" x14ac:dyDescent="0.2">
      <c r="D385" s="72">
        <f t="shared" si="28"/>
        <v>2015</v>
      </c>
      <c r="E385" s="73">
        <f>+'IMESI Vol Físico - Series mensu'!A345</f>
        <v>42064</v>
      </c>
      <c r="F385" s="73"/>
      <c r="G385" s="74" t="str">
        <f>IF($E$11="",IF(OR($E$7="seleccione rubro",$E$9="seleccione sub - rubro"),"-",HLOOKUP((CONCATENATE($E$9,$G$17)),'IMESI Vol Físico - Series mensu'!$C$4:$FZ$345,342,0)),"-")</f>
        <v>-</v>
      </c>
      <c r="H385" s="75"/>
      <c r="I385" s="74" t="str">
        <f>IF($E$11="",IF(OR($E$7="seleccione rubro",$E$9="seleccione sub - rubro"),"-",HLOOKUP((CONCATENATE($E$9,$I$17)),'IMESI Vol Físico - Series mensu'!$C$4:$FZ$345,342,0)),"-")</f>
        <v>-</v>
      </c>
      <c r="J385" s="75"/>
      <c r="K385" s="74" t="str">
        <f>IF($E$11="",IF(OR($E$7="seleccione rubro",$E$9="seleccione sub - rubro"),"-",HLOOKUP((CONCATENATE($E$9,$K$17)),'IMESI Vol Físico - Series mensu'!$C$4:$FZ$345,342,0)),"-")</f>
        <v>-</v>
      </c>
    </row>
    <row r="386" spans="4:11" x14ac:dyDescent="0.2">
      <c r="D386" s="72">
        <f t="shared" si="28"/>
        <v>2015</v>
      </c>
      <c r="E386" s="73">
        <f>+'IMESI Vol Físico - Series mensu'!A346</f>
        <v>42095</v>
      </c>
      <c r="F386" s="73"/>
      <c r="G386" s="74" t="str">
        <f>IF($E$11="",IF(OR($E$7="seleccione rubro",$E$9="seleccione sub - rubro"),"-",HLOOKUP((CONCATENATE($E$9,$G$17)),'IMESI Vol Físico - Series mensu'!$C$4:$FZ$346,343,0)),"-")</f>
        <v>-</v>
      </c>
      <c r="H386" s="75"/>
      <c r="I386" s="74" t="str">
        <f>IF($E$11="",IF(OR($E$7="seleccione rubro",$E$9="seleccione sub - rubro"),"-",HLOOKUP((CONCATENATE($E$9,$I$17)),'IMESI Vol Físico - Series mensu'!$C$4:$FZ$346,343,0)),"-")</f>
        <v>-</v>
      </c>
      <c r="J386" s="75"/>
      <c r="K386" s="74" t="str">
        <f>IF($E$11="",IF(OR($E$7="seleccione rubro",$E$9="seleccione sub - rubro"),"-",HLOOKUP((CONCATENATE($E$9,$K$17)),'IMESI Vol Físico - Series mensu'!$C$4:$FZ$346,343,0)),"-")</f>
        <v>-</v>
      </c>
    </row>
    <row r="387" spans="4:11" x14ac:dyDescent="0.2">
      <c r="D387" s="72">
        <f t="shared" si="28"/>
        <v>2015</v>
      </c>
      <c r="E387" s="73">
        <f>+'IMESI Vol Físico - Series mensu'!A347</f>
        <v>42125</v>
      </c>
      <c r="F387" s="73"/>
      <c r="G387" s="74" t="str">
        <f>IF($E$11="",IF(OR($E$7="seleccione rubro",$E$9="seleccione sub - rubro"),"-",HLOOKUP((CONCATENATE($E$9,$G$17)),'IMESI Vol Físico - Series mensu'!$C$4:$FZ$347,344,0)),"-")</f>
        <v>-</v>
      </c>
      <c r="H387" s="75"/>
      <c r="I387" s="74" t="str">
        <f>IF($E$11="",IF(OR($E$7="seleccione rubro",$E$9="seleccione sub - rubro"),"-",HLOOKUP((CONCATENATE($E$9,$I$17)),'IMESI Vol Físico - Series mensu'!$C$4:$FZ$347,344,0)),"-")</f>
        <v>-</v>
      </c>
      <c r="J387" s="75"/>
      <c r="K387" s="74" t="str">
        <f>IF($E$11="",IF(OR($E$7="seleccione rubro",$E$9="seleccione sub - rubro"),"-",HLOOKUP((CONCATENATE($E$9,$K$17)),'IMESI Vol Físico - Series mensu'!$C$4:$FZ$347,344,0)),"-")</f>
        <v>-</v>
      </c>
    </row>
    <row r="388" spans="4:11" x14ac:dyDescent="0.2">
      <c r="D388" s="72">
        <f t="shared" si="28"/>
        <v>2015</v>
      </c>
      <c r="E388" s="73">
        <f>+'IMESI Vol Físico - Series mensu'!A348</f>
        <v>42156</v>
      </c>
      <c r="F388" s="73"/>
      <c r="G388" s="74" t="str">
        <f>IF($E$11="",IF(OR($E$7="seleccione rubro",$E$9="seleccione sub - rubro"),"-",HLOOKUP((CONCATENATE($E$9,$G$17)),'IMESI Vol Físico - Series mensu'!$C$4:$FZ$348,345,0)),"-")</f>
        <v>-</v>
      </c>
      <c r="H388" s="75"/>
      <c r="I388" s="74" t="str">
        <f>IF($E$11="",IF(OR($E$7="seleccione rubro",$E$9="seleccione sub - rubro"),"-",HLOOKUP((CONCATENATE($E$9,$I$17)),'IMESI Vol Físico - Series mensu'!$C$4:$FZ$348,345,0)),"-")</f>
        <v>-</v>
      </c>
      <c r="J388" s="75"/>
      <c r="K388" s="74" t="str">
        <f>IF($E$11="",IF(OR($E$7="seleccione rubro",$E$9="seleccione sub - rubro"),"-",HLOOKUP((CONCATENATE($E$9,$K$17)),'IMESI Vol Físico - Series mensu'!$C$4:$FZ$348,345,0)),"-")</f>
        <v>-</v>
      </c>
    </row>
    <row r="389" spans="4:11" x14ac:dyDescent="0.2">
      <c r="D389" s="72">
        <f t="shared" si="28"/>
        <v>2015</v>
      </c>
      <c r="E389" s="73">
        <f>+'IMESI Vol Físico - Series mensu'!A349</f>
        <v>42186</v>
      </c>
      <c r="F389" s="73"/>
      <c r="G389" s="74" t="str">
        <f>IF($E$11="",IF(OR($E$7="seleccione rubro",$E$9="seleccione sub - rubro"),"-",HLOOKUP((CONCATENATE($E$9,$G$17)),'IMESI Vol Físico - Series mensu'!$C$4:$FZ$349,346,0)),"-")</f>
        <v>-</v>
      </c>
      <c r="H389" s="75"/>
      <c r="I389" s="74" t="str">
        <f>IF($E$11="",IF(OR($E$7="seleccione rubro",$E$9="seleccione sub - rubro"),"-",HLOOKUP((CONCATENATE($E$9,$I$17)),'IMESI Vol Físico - Series mensu'!$C$4:$FZ$349,346,0)),"-")</f>
        <v>-</v>
      </c>
      <c r="J389" s="75"/>
      <c r="K389" s="74" t="str">
        <f>IF($E$11="",IF(OR($E$7="seleccione rubro",$E$9="seleccione sub - rubro"),"-",HLOOKUP((CONCATENATE($E$9,$K$17)),'IMESI Vol Físico - Series mensu'!$C$4:$FZ$349,346,0)),"-")</f>
        <v>-</v>
      </c>
    </row>
    <row r="390" spans="4:11" x14ac:dyDescent="0.2">
      <c r="D390" s="72">
        <f t="shared" si="28"/>
        <v>2015</v>
      </c>
      <c r="E390" s="73">
        <f>+'IMESI Vol Físico - Series mensu'!A350</f>
        <v>42217</v>
      </c>
      <c r="F390" s="73"/>
      <c r="G390" s="74" t="str">
        <f>IF($E$11="",IF(OR($E$7="seleccione rubro",$E$9="seleccione sub - rubro"),"-",HLOOKUP((CONCATENATE($E$9,$G$17)),'IMESI Vol Físico - Series mensu'!$C$4:$FZ$350,347,0)),"-")</f>
        <v>-</v>
      </c>
      <c r="H390" s="75"/>
      <c r="I390" s="74" t="str">
        <f>IF($E$11="",IF(OR($E$7="seleccione rubro",$E$9="seleccione sub - rubro"),"-",HLOOKUP((CONCATENATE($E$9,$I$17)),'IMESI Vol Físico - Series mensu'!$C$4:$FZ$350,347,0)),"-")</f>
        <v>-</v>
      </c>
      <c r="J390" s="75"/>
      <c r="K390" s="74" t="str">
        <f>IF($E$11="",IF(OR($E$7="seleccione rubro",$E$9="seleccione sub - rubro"),"-",HLOOKUP((CONCATENATE($E$9,$K$17)),'IMESI Vol Físico - Series mensu'!$C$4:$FZ$350,347,0)),"-")</f>
        <v>-</v>
      </c>
    </row>
    <row r="391" spans="4:11" x14ac:dyDescent="0.2">
      <c r="D391" s="72">
        <f t="shared" si="28"/>
        <v>2015</v>
      </c>
      <c r="E391" s="73">
        <f>+'IMESI Vol Físico - Series mensu'!A351</f>
        <v>42248</v>
      </c>
      <c r="F391" s="73"/>
      <c r="G391" s="74" t="str">
        <f>IF($E$11="",IF(OR($E$7="seleccione rubro",$E$9="seleccione sub - rubro"),"-",HLOOKUP((CONCATENATE($E$9,$G$17)),'IMESI Vol Físico - Series mensu'!$C$4:$FZ$351,348,0)),"-")</f>
        <v>-</v>
      </c>
      <c r="H391" s="75"/>
      <c r="I391" s="74" t="str">
        <f>IF($E$11="",IF(OR($E$7="seleccione rubro",$E$9="seleccione sub - rubro"),"-",HLOOKUP((CONCATENATE($E$9,$I$17)),'IMESI Vol Físico - Series mensu'!$C$4:$FZ$351,348,0)),"-")</f>
        <v>-</v>
      </c>
      <c r="J391" s="75"/>
      <c r="K391" s="74" t="str">
        <f>IF($E$11="",IF(OR($E$7="seleccione rubro",$E$9="seleccione sub - rubro"),"-",HLOOKUP((CONCATENATE($E$9,$K$17)),'IMESI Vol Físico - Series mensu'!$C$4:$FZ$351,348,0)),"-")</f>
        <v>-</v>
      </c>
    </row>
    <row r="392" spans="4:11" x14ac:dyDescent="0.2">
      <c r="D392" s="72">
        <f t="shared" si="28"/>
        <v>2015</v>
      </c>
      <c r="E392" s="73">
        <f>+'IMESI Vol Físico - Series mensu'!A352</f>
        <v>42278</v>
      </c>
      <c r="F392" s="73"/>
      <c r="G392" s="74" t="str">
        <f>IF($E$11="",IF(OR($E$7="seleccione rubro",$E$9="seleccione sub - rubro"),"-",HLOOKUP((CONCATENATE($E$9,$G$17)),'IMESI Vol Físico - Series mensu'!$C$4:$FZ$352,349,0)),"-")</f>
        <v>-</v>
      </c>
      <c r="H392" s="75"/>
      <c r="I392" s="74" t="str">
        <f>IF($E$11="",IF(OR($E$7="seleccione rubro",$E$9="seleccione sub - rubro"),"-",HLOOKUP((CONCATENATE($E$9,$I$17)),'IMESI Vol Físico - Series mensu'!$C$4:$FZ$352,349,0)),"-")</f>
        <v>-</v>
      </c>
      <c r="J392" s="75"/>
      <c r="K392" s="74" t="str">
        <f>IF($E$11="",IF(OR($E$7="seleccione rubro",$E$9="seleccione sub - rubro"),"-",HLOOKUP((CONCATENATE($E$9,$K$17)),'IMESI Vol Físico - Series mensu'!$C$4:$FZ$352,349,0)),"-")</f>
        <v>-</v>
      </c>
    </row>
    <row r="393" spans="4:11" x14ac:dyDescent="0.2">
      <c r="D393" s="72">
        <f t="shared" si="28"/>
        <v>2015</v>
      </c>
      <c r="E393" s="73">
        <f>+'IMESI Vol Físico - Series mensu'!A353</f>
        <v>42309</v>
      </c>
      <c r="F393" s="73"/>
      <c r="G393" s="74" t="str">
        <f>IF($E$11="",IF(OR($E$7="seleccione rubro",$E$9="seleccione sub - rubro"),"-",HLOOKUP((CONCATENATE($E$9,$G$17)),'IMESI Vol Físico - Series mensu'!$C$4:$FZ$353,350,0)),"-")</f>
        <v>-</v>
      </c>
      <c r="H393" s="75"/>
      <c r="I393" s="74" t="str">
        <f>IF($E$11="",IF(OR($E$7="seleccione rubro",$E$9="seleccione sub - rubro"),"-",HLOOKUP((CONCATENATE($E$9,$I$17)),'IMESI Vol Físico - Series mensu'!$C$4:$FZ$353,350,0)),"-")</f>
        <v>-</v>
      </c>
      <c r="J393" s="75"/>
      <c r="K393" s="74" t="str">
        <f>IF($E$11="",IF(OR($E$7="seleccione rubro",$E$9="seleccione sub - rubro"),"-",HLOOKUP((CONCATENATE($E$9,$K$17)),'IMESI Vol Físico - Series mensu'!$C$4:$FZ$353,350,0)),"-")</f>
        <v>-</v>
      </c>
    </row>
    <row r="394" spans="4:11" x14ac:dyDescent="0.2">
      <c r="D394" s="72">
        <f t="shared" si="28"/>
        <v>2015</v>
      </c>
      <c r="E394" s="73">
        <f>+'IMESI Vol Físico - Series mensu'!A354</f>
        <v>42339</v>
      </c>
      <c r="F394" s="73"/>
      <c r="G394" s="74" t="str">
        <f>IF($E$11="",IF(OR($E$7="seleccione rubro",$E$9="seleccione sub - rubro"),"-",HLOOKUP((CONCATENATE($E$9,$G$17)),'IMESI Vol Físico - Series mensu'!$C$4:$FZ$354,351,0)),"-")</f>
        <v>-</v>
      </c>
      <c r="H394" s="75"/>
      <c r="I394" s="74" t="str">
        <f>IF($E$11="",IF(OR($E$7="seleccione rubro",$E$9="seleccione sub - rubro"),"-",HLOOKUP((CONCATENATE($E$9,$I$17)),'IMESI Vol Físico - Series mensu'!$C$4:$FZ$354,351,0)),"-")</f>
        <v>-</v>
      </c>
      <c r="J394" s="75"/>
      <c r="K394" s="74" t="str">
        <f>IF($E$11="",IF(OR($E$7="seleccione rubro",$E$9="seleccione sub - rubro"),"-",HLOOKUP((CONCATENATE($E$9,$K$17)),'IMESI Vol Físico - Series mensu'!$C$4:$FZ$354,351,0)),"-")</f>
        <v>-</v>
      </c>
    </row>
    <row r="395" spans="4:11" x14ac:dyDescent="0.2">
      <c r="D395" s="69">
        <f>+D396</f>
        <v>2016</v>
      </c>
      <c r="E395" s="70"/>
      <c r="F395" s="70"/>
      <c r="G395" s="74"/>
      <c r="H395" s="75"/>
      <c r="I395" s="74"/>
      <c r="J395" s="75"/>
      <c r="K395" s="74"/>
    </row>
    <row r="396" spans="4:11" x14ac:dyDescent="0.2">
      <c r="D396" s="72">
        <f>YEAR(E396)</f>
        <v>2016</v>
      </c>
      <c r="E396" s="73">
        <f>+'IMESI Vol Físico - Series mensu'!A355</f>
        <v>42370</v>
      </c>
      <c r="F396" s="73"/>
      <c r="G396" s="74" t="str">
        <f>IF($E$11="",IF(OR($E$7="seleccione rubro",$E$9="seleccione sub - rubro"),"-",HLOOKUP((CONCATENATE($E$9,$G$17)),'IMESI Vol Físico - Series mensu'!$C$4:$FZ$355,352,0)),"-")</f>
        <v>-</v>
      </c>
      <c r="H396" s="75"/>
      <c r="I396" s="74" t="str">
        <f>IF($E$11="",IF(OR($E$7="seleccione rubro",$E$9="seleccione sub - rubro"),"-",HLOOKUP((CONCATENATE($E$9,$I$17)),'IMESI Vol Físico - Series mensu'!$C$4:$FZ$355,352,0)),"-")</f>
        <v>-</v>
      </c>
      <c r="J396" s="75"/>
      <c r="K396" s="74" t="str">
        <f>IF($E$11="",IF(OR($E$7="seleccione rubro",$E$9="seleccione sub - rubro"),"-",HLOOKUP((CONCATENATE($E$9,$K$17)),'IMESI Vol Físico - Series mensu'!$C$4:$FZ$355,352,0)),"-")</f>
        <v>-</v>
      </c>
    </row>
    <row r="397" spans="4:11" x14ac:dyDescent="0.2">
      <c r="D397" s="72">
        <f t="shared" ref="D397:D407" si="29">YEAR(E397)</f>
        <v>2016</v>
      </c>
      <c r="E397" s="73">
        <f>+'IMESI Vol Físico - Series mensu'!A356</f>
        <v>42401</v>
      </c>
      <c r="F397" s="73"/>
      <c r="G397" s="74" t="str">
        <f>IF($E$11="",IF(OR($E$7="seleccione rubro",$E$9="seleccione sub - rubro"),"-",HLOOKUP((CONCATENATE($E$9,$G$17)),'IMESI Vol Físico - Series mensu'!$C$4:$FZ$356,353,0)),"-")</f>
        <v>-</v>
      </c>
      <c r="H397" s="75"/>
      <c r="I397" s="74" t="str">
        <f>IF($E$11="",IF(OR($E$7="seleccione rubro",$E$9="seleccione sub - rubro"),"-",HLOOKUP((CONCATENATE($E$9,$I$17)),'IMESI Vol Físico - Series mensu'!$C$4:$FZ$356,353,0)),"-")</f>
        <v>-</v>
      </c>
      <c r="J397" s="75"/>
      <c r="K397" s="74" t="str">
        <f>IF($E$11="",IF(OR($E$7="seleccione rubro",$E$9="seleccione sub - rubro"),"-",HLOOKUP((CONCATENATE($E$9,$K$17)),'IMESI Vol Físico - Series mensu'!$C$4:$FZ$356,353,0)),"-")</f>
        <v>-</v>
      </c>
    </row>
    <row r="398" spans="4:11" x14ac:dyDescent="0.2">
      <c r="D398" s="72">
        <f t="shared" si="29"/>
        <v>2016</v>
      </c>
      <c r="E398" s="73">
        <f>+'IMESI Vol Físico - Series mensu'!A357</f>
        <v>42430</v>
      </c>
      <c r="F398" s="73"/>
      <c r="G398" s="74" t="str">
        <f>IF($E$11="",IF(OR($E$7="seleccione rubro",$E$9="seleccione sub - rubro"),"-",HLOOKUP((CONCATENATE($E$9,$G$17)),'IMESI Vol Físico - Series mensu'!$C$4:$FZ$357,354,0)),"-")</f>
        <v>-</v>
      </c>
      <c r="H398" s="75"/>
      <c r="I398" s="74" t="str">
        <f>IF($E$11="",IF(OR($E$7="seleccione rubro",$E$9="seleccione sub - rubro"),"-",HLOOKUP((CONCATENATE($E$9,$I$17)),'IMESI Vol Físico - Series mensu'!$C$4:$FZ$357,354,0)),"-")</f>
        <v>-</v>
      </c>
      <c r="J398" s="75"/>
      <c r="K398" s="74" t="str">
        <f>IF($E$11="",IF(OR($E$7="seleccione rubro",$E$9="seleccione sub - rubro"),"-",HLOOKUP((CONCATENATE($E$9,$K$17)),'IMESI Vol Físico - Series mensu'!$C$4:$FZ$357,354,0)),"-")</f>
        <v>-</v>
      </c>
    </row>
    <row r="399" spans="4:11" x14ac:dyDescent="0.2">
      <c r="D399" s="72">
        <f t="shared" si="29"/>
        <v>2016</v>
      </c>
      <c r="E399" s="73">
        <f>+'IMESI Vol Físico - Series mensu'!A358</f>
        <v>42461</v>
      </c>
      <c r="F399" s="73"/>
      <c r="G399" s="74" t="str">
        <f>IF($E$11="",IF(OR($E$7="seleccione rubro",$E$9="seleccione sub - rubro"),"-",HLOOKUP((CONCATENATE($E$9,$G$17)),'IMESI Vol Físico - Series mensu'!$C$4:$FZ$358,355,0)),"-")</f>
        <v>-</v>
      </c>
      <c r="H399" s="75"/>
      <c r="I399" s="74" t="str">
        <f>IF($E$11="",IF(OR($E$7="seleccione rubro",$E$9="seleccione sub - rubro"),"-",HLOOKUP((CONCATENATE($E$9,$I$17)),'IMESI Vol Físico - Series mensu'!$C$4:$FZ$358,355,0)),"-")</f>
        <v>-</v>
      </c>
      <c r="J399" s="75"/>
      <c r="K399" s="74" t="str">
        <f>IF($E$11="",IF(OR($E$7="seleccione rubro",$E$9="seleccione sub - rubro"),"-",HLOOKUP((CONCATENATE($E$9,$K$17)),'IMESI Vol Físico - Series mensu'!$C$4:$FZ$358,355,0)),"-")</f>
        <v>-</v>
      </c>
    </row>
    <row r="400" spans="4:11" x14ac:dyDescent="0.2">
      <c r="D400" s="72">
        <f t="shared" si="29"/>
        <v>2016</v>
      </c>
      <c r="E400" s="73">
        <f>+'IMESI Vol Físico - Series mensu'!A359</f>
        <v>42491</v>
      </c>
      <c r="F400" s="73"/>
      <c r="G400" s="74" t="str">
        <f>IF($E$11="",IF(OR($E$7="seleccione rubro",$E$9="seleccione sub - rubro"),"-",HLOOKUP((CONCATENATE($E$9,$G$17)),'IMESI Vol Físico - Series mensu'!$C$4:$FZ$359,356,0)),"-")</f>
        <v>-</v>
      </c>
      <c r="H400" s="75"/>
      <c r="I400" s="74" t="str">
        <f>IF($E$11="",IF(OR($E$7="seleccione rubro",$E$9="seleccione sub - rubro"),"-",HLOOKUP((CONCATENATE($E$9,$I$17)),'IMESI Vol Físico - Series mensu'!$C$4:$FZ$359,356,0)),"-")</f>
        <v>-</v>
      </c>
      <c r="J400" s="75"/>
      <c r="K400" s="74" t="str">
        <f>IF($E$11="",IF(OR($E$7="seleccione rubro",$E$9="seleccione sub - rubro"),"-",HLOOKUP((CONCATENATE($E$9,$K$17)),'IMESI Vol Físico - Series mensu'!$C$4:$FZ$359,356,0)),"-")</f>
        <v>-</v>
      </c>
    </row>
    <row r="401" spans="4:11" x14ac:dyDescent="0.2">
      <c r="D401" s="72">
        <f t="shared" si="29"/>
        <v>2016</v>
      </c>
      <c r="E401" s="73">
        <f>+'IMESI Vol Físico - Series mensu'!A360</f>
        <v>42522</v>
      </c>
      <c r="F401" s="73"/>
      <c r="G401" s="74" t="str">
        <f>IF($E$11="",IF(OR($E$7="seleccione rubro",$E$9="seleccione sub - rubro"),"-",HLOOKUP((CONCATENATE($E$9,$G$17)),'IMESI Vol Físico - Series mensu'!$C$4:$FZ$360,357,0)),"-")</f>
        <v>-</v>
      </c>
      <c r="H401" s="75"/>
      <c r="I401" s="74" t="str">
        <f>IF($E$11="",IF(OR($E$7="seleccione rubro",$E$9="seleccione sub - rubro"),"-",HLOOKUP((CONCATENATE($E$9,$I$17)),'IMESI Vol Físico - Series mensu'!$C$4:$FZ$360,357,0)),"-")</f>
        <v>-</v>
      </c>
      <c r="J401" s="75"/>
      <c r="K401" s="74" t="str">
        <f>IF($E$11="",IF(OR($E$7="seleccione rubro",$E$9="seleccione sub - rubro"),"-",HLOOKUP((CONCATENATE($E$9,$K$17)),'IMESI Vol Físico - Series mensu'!$C$4:$FZ$360,357,0)),"-")</f>
        <v>-</v>
      </c>
    </row>
    <row r="402" spans="4:11" x14ac:dyDescent="0.2">
      <c r="D402" s="72">
        <f t="shared" si="29"/>
        <v>2016</v>
      </c>
      <c r="E402" s="73">
        <f>+'IMESI Vol Físico - Series mensu'!A361</f>
        <v>42552</v>
      </c>
      <c r="F402" s="73"/>
      <c r="G402" s="74" t="str">
        <f>IF($E$11="",IF(OR($E$7="seleccione rubro",$E$9="seleccione sub - rubro"),"-",HLOOKUP((CONCATENATE($E$9,$G$17)),'IMESI Vol Físico - Series mensu'!$C$4:$FZ$361,358,0)),"-")</f>
        <v>-</v>
      </c>
      <c r="H402" s="75"/>
      <c r="I402" s="74" t="str">
        <f>IF($E$11="",IF(OR($E$7="seleccione rubro",$E$9="seleccione sub - rubro"),"-",HLOOKUP((CONCATENATE($E$9,$I$17)),'IMESI Vol Físico - Series mensu'!$C$4:$FZ$361,358,0)),"-")</f>
        <v>-</v>
      </c>
      <c r="J402" s="75"/>
      <c r="K402" s="74" t="str">
        <f>IF($E$11="",IF(OR($E$7="seleccione rubro",$E$9="seleccione sub - rubro"),"-",HLOOKUP((CONCATENATE($E$9,$K$17)),'IMESI Vol Físico - Series mensu'!$C$4:$FZ$361,358,0)),"-")</f>
        <v>-</v>
      </c>
    </row>
    <row r="403" spans="4:11" x14ac:dyDescent="0.2">
      <c r="D403" s="72">
        <f t="shared" si="29"/>
        <v>2016</v>
      </c>
      <c r="E403" s="73">
        <f>+'IMESI Vol Físico - Series mensu'!A362</f>
        <v>42583</v>
      </c>
      <c r="F403" s="73"/>
      <c r="G403" s="74" t="str">
        <f>IF($E$11="",IF(OR($E$7="seleccione rubro",$E$9="seleccione sub - rubro"),"-",HLOOKUP((CONCATENATE($E$9,$G$17)),'IMESI Vol Físico - Series mensu'!$C$4:$FZ$362,359,0)),"-")</f>
        <v>-</v>
      </c>
      <c r="H403" s="75"/>
      <c r="I403" s="74" t="str">
        <f>IF($E$11="",IF(OR($E$7="seleccione rubro",$E$9="seleccione sub - rubro"),"-",HLOOKUP((CONCATENATE($E$9,$I$17)),'IMESI Vol Físico - Series mensu'!$C$4:$FZ$362,359,0)),"-")</f>
        <v>-</v>
      </c>
      <c r="J403" s="75"/>
      <c r="K403" s="74" t="str">
        <f>IF($E$11="",IF(OR($E$7="seleccione rubro",$E$9="seleccione sub - rubro"),"-",HLOOKUP((CONCATENATE($E$9,$K$17)),'IMESI Vol Físico - Series mensu'!$C$4:$FZ$362,359,0)),"-")</f>
        <v>-</v>
      </c>
    </row>
    <row r="404" spans="4:11" x14ac:dyDescent="0.2">
      <c r="D404" s="72">
        <f t="shared" si="29"/>
        <v>2016</v>
      </c>
      <c r="E404" s="73">
        <f>+'IMESI Vol Físico - Series mensu'!A363</f>
        <v>42614</v>
      </c>
      <c r="F404" s="73"/>
      <c r="G404" s="74" t="str">
        <f>IF($E$11="",IF(OR($E$7="seleccione rubro",$E$9="seleccione sub - rubro"),"-",HLOOKUP((CONCATENATE($E$9,$G$17)),'IMESI Vol Físico - Series mensu'!$C$4:$FZ$363,360,0)),"-")</f>
        <v>-</v>
      </c>
      <c r="H404" s="75"/>
      <c r="I404" s="74" t="str">
        <f>IF($E$11="",IF(OR($E$7="seleccione rubro",$E$9="seleccione sub - rubro"),"-",HLOOKUP((CONCATENATE($E$9,$I$17)),'IMESI Vol Físico - Series mensu'!$C$4:$FZ$363,360,0)),"-")</f>
        <v>-</v>
      </c>
      <c r="J404" s="75"/>
      <c r="K404" s="74" t="str">
        <f>IF($E$11="",IF(OR($E$7="seleccione rubro",$E$9="seleccione sub - rubro"),"-",HLOOKUP((CONCATENATE($E$9,$K$17)),'IMESI Vol Físico - Series mensu'!$C$4:$FZ$363,360,0)),"-")</f>
        <v>-</v>
      </c>
    </row>
    <row r="405" spans="4:11" x14ac:dyDescent="0.2">
      <c r="D405" s="72">
        <f t="shared" si="29"/>
        <v>2016</v>
      </c>
      <c r="E405" s="73">
        <f>+'IMESI Vol Físico - Series mensu'!A364</f>
        <v>42644</v>
      </c>
      <c r="F405" s="73"/>
      <c r="G405" s="74" t="str">
        <f>IF($E$11="",IF(OR($E$7="seleccione rubro",$E$9="seleccione sub - rubro"),"-",HLOOKUP((CONCATENATE($E$9,$G$17)),'IMESI Vol Físico - Series mensu'!$C$4:$FZ$364,361,0)),"-")</f>
        <v>-</v>
      </c>
      <c r="H405" s="75"/>
      <c r="I405" s="74" t="str">
        <f>IF($E$11="",IF(OR($E$7="seleccione rubro",$E$9="seleccione sub - rubro"),"-",HLOOKUP((CONCATENATE($E$9,$I$17)),'IMESI Vol Físico - Series mensu'!$C$4:$FZ$364,361,0)),"-")</f>
        <v>-</v>
      </c>
      <c r="J405" s="75"/>
      <c r="K405" s="74" t="str">
        <f>IF($E$11="",IF(OR($E$7="seleccione rubro",$E$9="seleccione sub - rubro"),"-",HLOOKUP((CONCATENATE($E$9,$K$17)),'IMESI Vol Físico - Series mensu'!$C$4:$FZ$364,361,0)),"-")</f>
        <v>-</v>
      </c>
    </row>
    <row r="406" spans="4:11" x14ac:dyDescent="0.2">
      <c r="D406" s="72">
        <f t="shared" si="29"/>
        <v>2016</v>
      </c>
      <c r="E406" s="73">
        <f>+'IMESI Vol Físico - Series mensu'!A365</f>
        <v>42675</v>
      </c>
      <c r="F406" s="73"/>
      <c r="G406" s="74" t="str">
        <f>IF($E$11="",IF(OR($E$7="seleccione rubro",$E$9="seleccione sub - rubro"),"-",HLOOKUP((CONCATENATE($E$9,$G$17)),'IMESI Vol Físico - Series mensu'!$C$4:$FZ$365,362,0)),"-")</f>
        <v>-</v>
      </c>
      <c r="H406" s="75"/>
      <c r="I406" s="74" t="str">
        <f>IF($E$11="",IF(OR($E$7="seleccione rubro",$E$9="seleccione sub - rubro"),"-",HLOOKUP((CONCATENATE($E$9,$I$17)),'IMESI Vol Físico - Series mensu'!$C$4:$FZ$365,362,0)),"-")</f>
        <v>-</v>
      </c>
      <c r="J406" s="75"/>
      <c r="K406" s="74" t="str">
        <f>IF($E$11="",IF(OR($E$7="seleccione rubro",$E$9="seleccione sub - rubro"),"-",HLOOKUP((CONCATENATE($E$9,$K$17)),'IMESI Vol Físico - Series mensu'!$C$4:$FZ$365,362,0)),"-")</f>
        <v>-</v>
      </c>
    </row>
    <row r="407" spans="4:11" x14ac:dyDescent="0.2">
      <c r="D407" s="72">
        <f t="shared" si="29"/>
        <v>2016</v>
      </c>
      <c r="E407" s="73">
        <f>+'IMESI Vol Físico - Series mensu'!A366</f>
        <v>42705</v>
      </c>
      <c r="F407" s="73"/>
      <c r="G407" s="74" t="str">
        <f>IF($E$11="",IF(OR($E$7="seleccione rubro",$E$9="seleccione sub - rubro"),"-",HLOOKUP((CONCATENATE($E$9,$G$17)),'IMESI Vol Físico - Series mensu'!$C$4:$FZ$366,363,0)),"-")</f>
        <v>-</v>
      </c>
      <c r="H407" s="75"/>
      <c r="I407" s="74" t="str">
        <f>IF($E$11="",IF(OR($E$7="seleccione rubro",$E$9="seleccione sub - rubro"),"-",HLOOKUP((CONCATENATE($E$9,$I$17)),'IMESI Vol Físico - Series mensu'!$C$4:$FZ$366,363,0)),"-")</f>
        <v>-</v>
      </c>
      <c r="J407" s="75"/>
      <c r="K407" s="74" t="str">
        <f>IF($E$11="",IF(OR($E$7="seleccione rubro",$E$9="seleccione sub - rubro"),"-",HLOOKUP((CONCATENATE($E$9,$K$17)),'IMESI Vol Físico - Series mensu'!$C$4:$FZ$366,363,0)),"-")</f>
        <v>-</v>
      </c>
    </row>
    <row r="408" spans="4:11" x14ac:dyDescent="0.2">
      <c r="D408" s="69">
        <f>+D409</f>
        <v>2017</v>
      </c>
      <c r="E408" s="73"/>
      <c r="G408" s="75"/>
      <c r="H408" s="75"/>
      <c r="I408" s="75"/>
      <c r="J408" s="75"/>
      <c r="K408" s="75"/>
    </row>
    <row r="409" spans="4:11" x14ac:dyDescent="0.2">
      <c r="D409" s="81">
        <f>+YEAR(E409)</f>
        <v>2017</v>
      </c>
      <c r="E409" s="73">
        <f>+'IMESI Vol Físico - Series mensu'!A367</f>
        <v>42736</v>
      </c>
      <c r="G409" s="74" t="str">
        <f>IF($E$11="",IF(OR($E$7="seleccione rubro",$E$9="seleccione sub - rubro"),"-",HLOOKUP((CONCATENATE($E$9,$G$17)),'IMESI Vol Físico - Series mensu'!$C$4:$FZ$378,364,0)),"-")</f>
        <v>-</v>
      </c>
      <c r="H409" s="75"/>
      <c r="I409" s="74" t="str">
        <f>IF($E$11="",IF(OR($E$7="seleccione rubro",$E$9="seleccione sub - rubro"),"-",HLOOKUP((CONCATENATE($E$9,$I$17)),'IMESI Vol Físico - Series mensu'!$C$4:$FZ$378,364,0)),"-")</f>
        <v>-</v>
      </c>
      <c r="J409" s="75"/>
      <c r="K409" s="74" t="str">
        <f>IF($E$11="",IF(OR($E$7="seleccione rubro",$E$9="seleccione sub - rubro"),"-",HLOOKUP((CONCATENATE($E$9,$K$17)),'IMESI Vol Físico - Series mensu'!$C$4:$FZ$378,364,0)),"-")</f>
        <v>-</v>
      </c>
    </row>
    <row r="410" spans="4:11" x14ac:dyDescent="0.2">
      <c r="D410" s="81">
        <f t="shared" ref="D410:D420" si="30">+YEAR(E410)</f>
        <v>2017</v>
      </c>
      <c r="E410" s="73">
        <f>+'IMESI Vol Físico - Series mensu'!A368</f>
        <v>42767</v>
      </c>
      <c r="G410" s="74" t="str">
        <f>IF($E$11="",IF(OR($E$7="seleccione rubro",$E$9="seleccione sub - rubro"),"-",HLOOKUP((CONCATENATE($E$9,$G$17)),'IMESI Vol Físico - Series mensu'!$C$4:$FZ$379,365,0)),"-")</f>
        <v>-</v>
      </c>
      <c r="H410" s="75"/>
      <c r="I410" s="74" t="str">
        <f>IF($E$11="",IF(OR($E$7="seleccione rubro",$E$9="seleccione sub - rubro"),"-",HLOOKUP((CONCATENATE($E$9,$I$17)),'IMESI Vol Físico - Series mensu'!$C$4:$FZ$379,365,0)),"-")</f>
        <v>-</v>
      </c>
      <c r="J410" s="75"/>
      <c r="K410" s="74" t="str">
        <f>IF($E$11="",IF(OR($E$7="seleccione rubro",$E$9="seleccione sub - rubro"),"-",HLOOKUP((CONCATENATE($E$9,$K$17)),'IMESI Vol Físico - Series mensu'!$C$4:$FZ$379,365,0)),"-")</f>
        <v>-</v>
      </c>
    </row>
    <row r="411" spans="4:11" x14ac:dyDescent="0.2">
      <c r="D411" s="81">
        <f t="shared" si="30"/>
        <v>2017</v>
      </c>
      <c r="E411" s="73">
        <f>+'IMESI Vol Físico - Series mensu'!A369</f>
        <v>42795</v>
      </c>
      <c r="G411" s="74" t="str">
        <f>IF($E$11="",IF(OR($E$7="seleccione rubro",$E$9="seleccione sub - rubro"),"-",HLOOKUP((CONCATENATE($E$9,$G$17)),'IMESI Vol Físico - Series mensu'!$C$4:$FZ$381,366,0)),"-")</f>
        <v>-</v>
      </c>
      <c r="H411" s="75"/>
      <c r="I411" s="74" t="str">
        <f>IF($E$11="",IF(OR($E$7="seleccione rubro",$E$9="seleccione sub - rubro"),"-",HLOOKUP((CONCATENATE($E$9,$I$17)),'IMESI Vol Físico - Series mensu'!$C$4:$FZ$381,366,0)),"-")</f>
        <v>-</v>
      </c>
      <c r="J411" s="75"/>
      <c r="K411" s="74" t="str">
        <f>IF($E$11="",IF(OR($E$7="seleccione rubro",$E$9="seleccione sub - rubro"),"-",HLOOKUP((CONCATENATE($E$9,$K$17)),'IMESI Vol Físico - Series mensu'!$C$4:$FZ$381,366,0)),"-")</f>
        <v>-</v>
      </c>
    </row>
    <row r="412" spans="4:11" x14ac:dyDescent="0.2">
      <c r="D412" s="81">
        <f t="shared" si="30"/>
        <v>2017</v>
      </c>
      <c r="E412" s="73">
        <f>+'IMESI Vol Físico - Series mensu'!A370</f>
        <v>42826</v>
      </c>
      <c r="G412" s="74" t="str">
        <f>IF($E$11="",IF(OR($E$7="seleccione rubro",$E$9="seleccione sub - rubro"),"-",HLOOKUP((CONCATENATE($E$9,$G$17)),'IMESI Vol Físico - Series mensu'!$C$4:$FZ$381,367,0)),"-")</f>
        <v>-</v>
      </c>
      <c r="H412" s="75"/>
      <c r="I412" s="74" t="str">
        <f>IF($E$11="",IF(OR($E$7="seleccione rubro",$E$9="seleccione sub - rubro"),"-",HLOOKUP((CONCATENATE($E$9,$I$17)),'IMESI Vol Físico - Series mensu'!$C$4:$FZ$381,367,0)),"-")</f>
        <v>-</v>
      </c>
      <c r="J412" s="75"/>
      <c r="K412" s="74" t="str">
        <f>IF($E$11="",IF(OR($E$7="seleccione rubro",$E$9="seleccione sub - rubro"),"-",HLOOKUP((CONCATENATE($E$9,$K$17)),'IMESI Vol Físico - Series mensu'!$C$4:$FZ$381,367,0)),"-")</f>
        <v>-</v>
      </c>
    </row>
    <row r="413" spans="4:11" x14ac:dyDescent="0.2">
      <c r="D413" s="81">
        <f t="shared" si="30"/>
        <v>2017</v>
      </c>
      <c r="E413" s="73">
        <f>+'IMESI Vol Físico - Series mensu'!A371</f>
        <v>42856</v>
      </c>
      <c r="G413" s="74" t="str">
        <f>IF($E$11="",IF(OR($E$7="seleccione rubro",$E$9="seleccione sub - rubro"),"-",HLOOKUP((CONCATENATE($E$9,$G$17)),'IMESI Vol Físico - Series mensu'!$C$4:$FZ$381,368,0)),"-")</f>
        <v>-</v>
      </c>
      <c r="H413" s="75"/>
      <c r="I413" s="74" t="str">
        <f>IF($E$11="",IF(OR($E$7="seleccione rubro",$E$9="seleccione sub - rubro"),"-",HLOOKUP((CONCATENATE($E$9,$I$17)),'IMESI Vol Físico - Series mensu'!$C$4:$FZ$381,368,0)),"-")</f>
        <v>-</v>
      </c>
      <c r="J413" s="75"/>
      <c r="K413" s="74" t="str">
        <f>IF($E$11="",IF(OR($E$7="seleccione rubro",$E$9="seleccione sub - rubro"),"-",HLOOKUP((CONCATENATE($E$9,$K$17)),'IMESI Vol Físico - Series mensu'!$C$4:$FZ$381,368,0)),"-")</f>
        <v>-</v>
      </c>
    </row>
    <row r="414" spans="4:11" x14ac:dyDescent="0.2">
      <c r="D414" s="81">
        <f t="shared" si="30"/>
        <v>2017</v>
      </c>
      <c r="E414" s="73">
        <f>+'IMESI Vol Físico - Series mensu'!A372</f>
        <v>42887</v>
      </c>
      <c r="G414" s="74" t="str">
        <f>IF($E$11="",IF(OR($E$7="seleccione rubro",$E$9="seleccione sub - rubro"),"-",HLOOKUP((CONCATENATE($E$9,$G$17)),'IMESI Vol Físico - Series mensu'!$C$4:$FZ$381,369,0)),"-")</f>
        <v>-</v>
      </c>
      <c r="H414" s="75"/>
      <c r="I414" s="74" t="str">
        <f>IF($E$11="",IF(OR($E$7="seleccione rubro",$E$9="seleccione sub - rubro"),"-",HLOOKUP((CONCATENATE($E$9,$I$17)),'IMESI Vol Físico - Series mensu'!$C$4:$FZ$381,369,0)),"-")</f>
        <v>-</v>
      </c>
      <c r="J414" s="75"/>
      <c r="K414" s="74" t="str">
        <f>IF($E$11="",IF(OR($E$7="seleccione rubro",$E$9="seleccione sub - rubro"),"-",HLOOKUP((CONCATENATE($E$9,$K$17)),'IMESI Vol Físico - Series mensu'!$C$4:$FZ$381,369,0)),"-")</f>
        <v>-</v>
      </c>
    </row>
    <row r="415" spans="4:11" x14ac:dyDescent="0.2">
      <c r="D415" s="81">
        <f t="shared" si="30"/>
        <v>2017</v>
      </c>
      <c r="E415" s="73">
        <f>+'IMESI Vol Físico - Series mensu'!A373</f>
        <v>42917</v>
      </c>
      <c r="G415" s="74" t="str">
        <f>IF($E$11="",IF(OR($E$7="seleccione rubro",$E$9="seleccione sub - rubro"),"-",HLOOKUP((CONCATENATE($E$9,$G$17)),'IMESI Vol Físico - Series mensu'!$C$4:$FZ$381,370,0)),"-")</f>
        <v>-</v>
      </c>
      <c r="H415" s="75"/>
      <c r="I415" s="74" t="str">
        <f>IF($E$11="",IF(OR($E$7="seleccione rubro",$E$9="seleccione sub - rubro"),"-",HLOOKUP((CONCATENATE($E$9,$I$17)),'IMESI Vol Físico - Series mensu'!$C$4:$FZ$381,370,0)),"-")</f>
        <v>-</v>
      </c>
      <c r="J415" s="75"/>
      <c r="K415" s="74" t="str">
        <f>IF($E$11="",IF(OR($E$7="seleccione rubro",$E$9="seleccione sub - rubro"),"-",HLOOKUP((CONCATENATE($E$9,$K$17)),'IMESI Vol Físico - Series mensu'!$C$4:$FZ$381,370,0)),"-")</f>
        <v>-</v>
      </c>
    </row>
    <row r="416" spans="4:11" x14ac:dyDescent="0.2">
      <c r="D416" s="81">
        <f t="shared" si="30"/>
        <v>2017</v>
      </c>
      <c r="E416" s="73">
        <f>+'IMESI Vol Físico - Series mensu'!A374</f>
        <v>42948</v>
      </c>
      <c r="G416" s="74" t="str">
        <f>IF($E$11="",IF(OR($E$7="seleccione rubro",$E$9="seleccione sub - rubro"),"-",HLOOKUP((CONCATENATE($E$9,$G$17)),'IMESI Vol Físico - Series mensu'!$C$4:$FZ$381,371,0)),"-")</f>
        <v>-</v>
      </c>
      <c r="H416" s="75"/>
      <c r="I416" s="74" t="str">
        <f>IF($E$11="",IF(OR($E$7="seleccione rubro",$E$9="seleccione sub - rubro"),"-",HLOOKUP((CONCATENATE($E$9,$I$17)),'IMESI Vol Físico - Series mensu'!$C$4:$FZ$381,371,0)),"-")</f>
        <v>-</v>
      </c>
      <c r="J416" s="75"/>
      <c r="K416" s="74" t="str">
        <f>IF($E$11="",IF(OR($E$7="seleccione rubro",$E$9="seleccione sub - rubro"),"-",HLOOKUP((CONCATENATE($E$9,$K$17)),'IMESI Vol Físico - Series mensu'!$C$4:$FZ$381,371,0)),"-")</f>
        <v>-</v>
      </c>
    </row>
    <row r="417" spans="4:11" x14ac:dyDescent="0.2">
      <c r="D417" s="81">
        <f t="shared" si="30"/>
        <v>2017</v>
      </c>
      <c r="E417" s="73">
        <f>+'IMESI Vol Físico - Series mensu'!A375</f>
        <v>42979</v>
      </c>
      <c r="G417" s="74" t="str">
        <f>IF($E$11="",IF(OR($E$7="seleccione rubro",$E$9="seleccione sub - rubro"),"-",HLOOKUP((CONCATENATE($E$9,$G$17)),'IMESI Vol Físico - Series mensu'!$C$4:$FZ$381,372,0)),"-")</f>
        <v>-</v>
      </c>
      <c r="H417" s="75"/>
      <c r="I417" s="74" t="str">
        <f>IF($E$11="",IF(OR($E$7="seleccione rubro",$E$9="seleccione sub - rubro"),"-",HLOOKUP((CONCATENATE($E$9,$I$17)),'IMESI Vol Físico - Series mensu'!$C$4:$FZ$381,372,0)),"-")</f>
        <v>-</v>
      </c>
      <c r="J417" s="75"/>
      <c r="K417" s="74" t="str">
        <f>IF($E$11="",IF(OR($E$7="seleccione rubro",$E$9="seleccione sub - rubro"),"-",HLOOKUP((CONCATENATE($E$9,$K$17)),'IMESI Vol Físico - Series mensu'!$C$4:$FZ$381,372,0)),"-")</f>
        <v>-</v>
      </c>
    </row>
    <row r="418" spans="4:11" x14ac:dyDescent="0.2">
      <c r="D418" s="81">
        <f t="shared" si="30"/>
        <v>2017</v>
      </c>
      <c r="E418" s="73">
        <f>+'IMESI Vol Físico - Series mensu'!A376</f>
        <v>43009</v>
      </c>
      <c r="G418" s="74" t="str">
        <f>IF($E$11="",IF(OR($E$7="seleccione rubro",$E$9="seleccione sub - rubro"),"-",HLOOKUP((CONCATENATE($E$9,$G$17)),'IMESI Vol Físico - Series mensu'!$C$4:$FZ$381,373,0)),"-")</f>
        <v>-</v>
      </c>
      <c r="H418" s="75"/>
      <c r="I418" s="74" t="str">
        <f>IF($E$11="",IF(OR($E$7="seleccione rubro",$E$9="seleccione sub - rubro"),"-",HLOOKUP((CONCATENATE($E$9,$I$17)),'IMESI Vol Físico - Series mensu'!$C$4:$FZ$381,373,0)),"-")</f>
        <v>-</v>
      </c>
      <c r="J418" s="75"/>
      <c r="K418" s="74" t="str">
        <f>IF($E$11="",IF(OR($E$7="seleccione rubro",$E$9="seleccione sub - rubro"),"-",HLOOKUP((CONCATENATE($E$9,$K$17)),'IMESI Vol Físico - Series mensu'!$C$4:$FZ$381,373,0)),"-")</f>
        <v>-</v>
      </c>
    </row>
    <row r="419" spans="4:11" x14ac:dyDescent="0.2">
      <c r="D419" s="81">
        <f t="shared" si="30"/>
        <v>2017</v>
      </c>
      <c r="E419" s="73">
        <f>+'IMESI Vol Físico - Series mensu'!A377</f>
        <v>43040</v>
      </c>
      <c r="G419" s="74" t="str">
        <f>IF($E$11="",IF(OR($E$7="seleccione rubro",$E$9="seleccione sub - rubro"),"-",HLOOKUP((CONCATENATE($E$9,$G$17)),'IMESI Vol Físico - Series mensu'!$C$4:$FZ$382,374,0)),"-")</f>
        <v>-</v>
      </c>
      <c r="H419" s="75"/>
      <c r="I419" s="74" t="str">
        <f>IF($E$11="",IF(OR($E$7="seleccione rubro",$E$9="seleccione sub - rubro"),"-",HLOOKUP((CONCATENATE($E$9,$I$17)),'IMESI Vol Físico - Series mensu'!$C$4:$FZ$382,374,0)),"-")</f>
        <v>-</v>
      </c>
      <c r="J419" s="75"/>
      <c r="K419" s="74" t="str">
        <f>IF($E$11="",IF(OR($E$7="seleccione rubro",$E$9="seleccione sub - rubro"),"-",HLOOKUP((CONCATENATE($E$9,$K$17)),'IMESI Vol Físico - Series mensu'!$C$4:$FZ$382,374,0)),"-")</f>
        <v>-</v>
      </c>
    </row>
    <row r="420" spans="4:11" x14ac:dyDescent="0.2">
      <c r="D420" s="81">
        <f t="shared" si="30"/>
        <v>2017</v>
      </c>
      <c r="E420" s="73">
        <f>+'IMESI Vol Físico - Series mensu'!A378</f>
        <v>43070</v>
      </c>
      <c r="G420" s="74" t="str">
        <f>IF($E$11="",IF(OR($E$7="seleccione rubro",$E$9="seleccione sub - rubro"),"-",HLOOKUP((CONCATENATE($E$9,$G$17)),'IMESI Vol Físico - Series mensu'!$C$4:$FZ$383,375,0)),"-")</f>
        <v>-</v>
      </c>
      <c r="H420" s="75"/>
      <c r="I420" s="74" t="str">
        <f>IF($E$11="",IF(OR($E$7="seleccione rubro",$E$9="seleccione sub - rubro"),"-",HLOOKUP((CONCATENATE($E$9,$I$17)),'IMESI Vol Físico - Series mensu'!$C$4:$FZ$383,375,0)),"-")</f>
        <v>-</v>
      </c>
      <c r="J420" s="75"/>
      <c r="K420" s="74" t="str">
        <f>IF($E$11="",IF(OR($E$7="seleccione rubro",$E$9="seleccione sub - rubro"),"-",HLOOKUP((CONCATENATE($E$9,$K$17)),'IMESI Vol Físico - Series mensu'!$C$4:$FZ$383,375,0)),"-")</f>
        <v>-</v>
      </c>
    </row>
    <row r="421" spans="4:11" x14ac:dyDescent="0.2">
      <c r="D421" s="69">
        <f>+D422</f>
        <v>2018</v>
      </c>
    </row>
    <row r="422" spans="4:11" x14ac:dyDescent="0.2">
      <c r="D422" s="81">
        <f>+YEAR(E422)</f>
        <v>2018</v>
      </c>
      <c r="E422" s="73">
        <f>+'IMESI Vol Físico - Series mensu'!A379</f>
        <v>43101</v>
      </c>
      <c r="G422" s="74" t="str">
        <f>IF($E$11="",IF(OR($E$7="seleccione rubro",$E$9="seleccione sub - rubro"),"-",HLOOKUP((CONCATENATE($E$9,$G$17)),'IMESI Vol Físico - Series mensu'!$C$4:$FZ$390,376,0)),"-")</f>
        <v>-</v>
      </c>
      <c r="H422" s="75"/>
      <c r="I422" s="74" t="str">
        <f>IF($E$11="",IF(OR($E$7="seleccione rubro",$E$9="seleccione sub - rubro"),"-",HLOOKUP((CONCATENATE($E$9,$I$17)),'IMESI Vol Físico - Series mensu'!$C$4:$FZ$390,376,0)),"-")</f>
        <v>-</v>
      </c>
      <c r="J422" s="75"/>
      <c r="K422" s="74" t="str">
        <f>IF($E$11="",IF(OR($E$7="seleccione rubro",$E$9="seleccione sub - rubro"),"-",HLOOKUP((CONCATENATE($E$9,$K$17)),'IMESI Vol Físico - Series mensu'!$C$4:$FZ$390,376,0)),"-")</f>
        <v>-</v>
      </c>
    </row>
    <row r="423" spans="4:11" x14ac:dyDescent="0.2">
      <c r="D423" s="81">
        <f t="shared" ref="D423:D433" si="31">+YEAR(E423)</f>
        <v>2018</v>
      </c>
      <c r="E423" s="73">
        <f>+'IMESI Vol Físico - Series mensu'!A380</f>
        <v>43132</v>
      </c>
      <c r="G423" s="74" t="str">
        <f>IF($E$11="",IF(OR($E$7="seleccione rubro",$E$9="seleccione sub - rubro"),"-",HLOOKUP((CONCATENATE($E$9,$G$17)),'IMESI Vol Físico - Series mensu'!$C$4:$FZ$386,377,0)),"-")</f>
        <v>-</v>
      </c>
      <c r="H423" s="75"/>
      <c r="I423" s="74" t="str">
        <f>IF($E$11="",IF(OR($E$7="seleccione rubro",$E$9="seleccione sub - rubro"),"-",HLOOKUP((CONCATENATE($E$9,$I$17)),'IMESI Vol Físico - Series mensu'!$C$4:$FZ$386,377,0)),"-")</f>
        <v>-</v>
      </c>
      <c r="J423" s="75"/>
      <c r="K423" s="74" t="str">
        <f>IF($E$11="",IF(OR($E$7="seleccione rubro",$E$9="seleccione sub - rubro"),"-",HLOOKUP((CONCATENATE($E$9,$K$17)),'IMESI Vol Físico - Series mensu'!$C$4:$FZ$386,377,0)),"-")</f>
        <v>-</v>
      </c>
    </row>
    <row r="424" spans="4:11" x14ac:dyDescent="0.2">
      <c r="D424" s="81">
        <f t="shared" si="31"/>
        <v>2018</v>
      </c>
      <c r="E424" s="73">
        <f>+'IMESI Vol Físico - Series mensu'!A381</f>
        <v>43160</v>
      </c>
      <c r="G424" s="74" t="str">
        <f>IF($E$11="",IF(OR($E$7="seleccione rubro",$E$9="seleccione sub - rubro"),"-",HLOOKUP((CONCATENATE($E$9,$G$17)),'IMESI Vol Físico - Series mensu'!$C$4:$FZ$387,378,0)),"-")</f>
        <v>-</v>
      </c>
      <c r="H424" s="75"/>
      <c r="I424" s="74" t="str">
        <f>IF($E$11="",IF(OR($E$7="seleccione rubro",$E$9="seleccione sub - rubro"),"-",HLOOKUP((CONCATENATE($E$9,$I$17)),'IMESI Vol Físico - Series mensu'!$C$4:$FZ$387,378,0)),"-")</f>
        <v>-</v>
      </c>
      <c r="J424" s="75"/>
      <c r="K424" s="74" t="str">
        <f>IF($E$11="",IF(OR($E$7="seleccione rubro",$E$9="seleccione sub - rubro"),"-",HLOOKUP((CONCATENATE($E$9,$K$17)),'IMESI Vol Físico - Series mensu'!$C$4:$FZ$387,378,0)),"-")</f>
        <v>-</v>
      </c>
    </row>
    <row r="425" spans="4:11" x14ac:dyDescent="0.2">
      <c r="D425" s="81">
        <f t="shared" si="31"/>
        <v>2018</v>
      </c>
      <c r="E425" s="73">
        <f>+'IMESI Vol Físico - Series mensu'!A382</f>
        <v>43191</v>
      </c>
      <c r="G425" s="74" t="str">
        <f>IF($E$11="",IF(OR($E$7="seleccione rubro",$E$9="seleccione sub - rubro"),"-",HLOOKUP((CONCATENATE($E$9,$G$17)),'IMESI Vol Físico - Series mensu'!$C$4:$FZ$388,379,0)),"-")</f>
        <v>-</v>
      </c>
      <c r="H425" s="75"/>
      <c r="I425" s="74" t="str">
        <f>IF($E$11="",IF(OR($E$7="seleccione rubro",$E$9="seleccione sub - rubro"),"-",HLOOKUP((CONCATENATE($E$9,$I$17)),'IMESI Vol Físico - Series mensu'!$C$4:$FZ$388,379,0)),"-")</f>
        <v>-</v>
      </c>
      <c r="J425" s="75"/>
      <c r="K425" s="74" t="str">
        <f>IF($E$11="",IF(OR($E$7="seleccione rubro",$E$9="seleccione sub - rubro"),"-",HLOOKUP((CONCATENATE($E$9,$K$17)),'IMESI Vol Físico - Series mensu'!$C$4:$FZ$388,379,0)),"-")</f>
        <v>-</v>
      </c>
    </row>
    <row r="426" spans="4:11" x14ac:dyDescent="0.2">
      <c r="D426" s="81">
        <f t="shared" si="31"/>
        <v>2018</v>
      </c>
      <c r="E426" s="73">
        <f>+'IMESI Vol Físico - Series mensu'!A383</f>
        <v>43221</v>
      </c>
      <c r="G426" s="74" t="str">
        <f>IF($E$11="",IF(OR($E$7="seleccione rubro",$E$9="seleccione sub - rubro"),"-",HLOOKUP((CONCATENATE($E$9,$G$17)),'IMESI Vol Físico - Series mensu'!$C$4:$FZ$389,380,0)),"-")</f>
        <v>-</v>
      </c>
      <c r="H426" s="75"/>
      <c r="I426" s="74" t="str">
        <f>IF($E$11="",IF(OR($E$7="seleccione rubro",$E$9="seleccione sub - rubro"),"-",HLOOKUP((CONCATENATE($E$9,$I$17)),'IMESI Vol Físico - Series mensu'!$C$4:$FZ$389,380,0)),"-")</f>
        <v>-</v>
      </c>
      <c r="J426" s="75"/>
      <c r="K426" s="74" t="str">
        <f>IF($E$11="",IF(OR($E$7="seleccione rubro",$E$9="seleccione sub - rubro"),"-",HLOOKUP((CONCATENATE($E$9,$K$17)),'IMESI Vol Físico - Series mensu'!$C$4:$FZ$389,380,0)),"-")</f>
        <v>-</v>
      </c>
    </row>
    <row r="427" spans="4:11" x14ac:dyDescent="0.2">
      <c r="D427" s="81">
        <f t="shared" si="31"/>
        <v>2018</v>
      </c>
      <c r="E427" s="73">
        <f>+'IMESI Vol Físico - Series mensu'!A384</f>
        <v>43252</v>
      </c>
      <c r="G427" s="74" t="str">
        <f>IF($E$11="",IF(OR($E$7="seleccione rubro",$E$9="seleccione sub - rubro"),"-",HLOOKUP((CONCATENATE($E$9,$G$17)),'IMESI Vol Físico - Series mensu'!$C$4:$FZ$390,381,0)),"-")</f>
        <v>-</v>
      </c>
      <c r="H427" s="75"/>
      <c r="I427" s="74" t="str">
        <f>IF($E$11="",IF(OR($E$7="seleccione rubro",$E$9="seleccione sub - rubro"),"-",HLOOKUP((CONCATENATE($E$9,$I$17)),'IMESI Vol Físico - Series mensu'!$C$4:$FZ$390,381,0)),"-")</f>
        <v>-</v>
      </c>
      <c r="J427" s="75"/>
      <c r="K427" s="74" t="str">
        <f>IF($E$11="",IF(OR($E$7="seleccione rubro",$E$9="seleccione sub - rubro"),"-",HLOOKUP((CONCATENATE($E$9,$K$17)),'IMESI Vol Físico - Series mensu'!$C$4:$FZ$390,381,0)),"-")</f>
        <v>-</v>
      </c>
    </row>
    <row r="428" spans="4:11" x14ac:dyDescent="0.2">
      <c r="D428" s="81">
        <f t="shared" si="31"/>
        <v>2018</v>
      </c>
      <c r="E428" s="73">
        <f>+'IMESI Vol Físico - Series mensu'!A385</f>
        <v>43282</v>
      </c>
      <c r="G428" s="74" t="str">
        <f>IF($E$11="",IF(OR($E$7="seleccione rubro",$E$9="seleccione sub - rubro"),"-",HLOOKUP((CONCATENATE($E$9,$G$17)),'IMESI Vol Físico - Series mensu'!$C$4:$FZ$391,382,0)),"-")</f>
        <v>-</v>
      </c>
      <c r="H428" s="75"/>
      <c r="I428" s="74" t="str">
        <f>IF($E$11="",IF(OR($E$7="seleccione rubro",$E$9="seleccione sub - rubro"),"-",HLOOKUP((CONCATENATE($E$9,$I$17)),'IMESI Vol Físico - Series mensu'!$C$4:$FZ$391,382,0)),"-")</f>
        <v>-</v>
      </c>
      <c r="J428" s="75"/>
      <c r="K428" s="74" t="str">
        <f>IF($E$11="",IF(OR($E$7="seleccione rubro",$E$9="seleccione sub - rubro"),"-",HLOOKUP((CONCATENATE($E$9,$K$17)),'IMESI Vol Físico - Series mensu'!$C$4:$FZ$391,382,0)),"-")</f>
        <v>-</v>
      </c>
    </row>
    <row r="429" spans="4:11" x14ac:dyDescent="0.2">
      <c r="D429" s="81">
        <f t="shared" si="31"/>
        <v>2018</v>
      </c>
      <c r="E429" s="73">
        <f>+'IMESI Vol Físico - Series mensu'!A386</f>
        <v>43313</v>
      </c>
      <c r="G429" s="74" t="str">
        <f>IF($E$11="",IF(OR($E$7="seleccione rubro",$E$9="seleccione sub - rubro"),"-",HLOOKUP((CONCATENATE($E$9,$G$17)),'IMESI Vol Físico - Series mensu'!$C$4:$FZ$398,383,0)),"-")</f>
        <v>-</v>
      </c>
      <c r="H429" s="75"/>
      <c r="I429" s="74" t="str">
        <f>IF($E$11="",IF(OR($E$7="seleccione rubro",$E$9="seleccione sub - rubro"),"-",HLOOKUP((CONCATENATE($E$9,$I$17)),'IMESI Vol Físico - Series mensu'!$C$4:$FZ$398,383,0)),"-")</f>
        <v>-</v>
      </c>
      <c r="J429" s="75"/>
      <c r="K429" s="74" t="str">
        <f>IF($E$11="",IF(OR($E$7="seleccione rubro",$E$9="seleccione sub - rubro"),"-",HLOOKUP((CONCATENATE($E$9,$K$17)),'IMESI Vol Físico - Series mensu'!$C$4:$FZ$398,383,0)),"-")</f>
        <v>-</v>
      </c>
    </row>
    <row r="430" spans="4:11" x14ac:dyDescent="0.2">
      <c r="D430" s="81">
        <f t="shared" si="31"/>
        <v>2018</v>
      </c>
      <c r="E430" s="73">
        <f>+'IMESI Vol Físico - Series mensu'!A387</f>
        <v>43344</v>
      </c>
      <c r="G430" s="74" t="str">
        <f>IF($E$11="",IF(OR($E$7="seleccione rubro",$E$9="seleccione sub - rubro"),"-",HLOOKUP((CONCATENATE($E$9,$G$17)),'IMESI Vol Físico - Series mensu'!$C$4:$FZ$398,384,0)),"-")</f>
        <v>-</v>
      </c>
      <c r="H430" s="75"/>
      <c r="I430" s="74" t="str">
        <f>IF($E$11="",IF(OR($E$7="seleccione rubro",$E$9="seleccione sub - rubro"),"-",HLOOKUP((CONCATENATE($E$9,$I$17)),'IMESI Vol Físico - Series mensu'!$C$4:$FZ$398,384,0)),"-")</f>
        <v>-</v>
      </c>
      <c r="J430" s="75"/>
      <c r="K430" s="74" t="str">
        <f>IF($E$11="",IF(OR($E$7="seleccione rubro",$E$9="seleccione sub - rubro"),"-",HLOOKUP((CONCATENATE($E$9,$K$17)),'IMESI Vol Físico - Series mensu'!$C$4:$FZ$398,384,0)),"-")</f>
        <v>-</v>
      </c>
    </row>
    <row r="431" spans="4:11" x14ac:dyDescent="0.2">
      <c r="D431" s="81">
        <f t="shared" si="31"/>
        <v>2018</v>
      </c>
      <c r="E431" s="73">
        <f>+'IMESI Vol Físico - Series mensu'!A388</f>
        <v>43374</v>
      </c>
      <c r="G431" s="74" t="str">
        <f>IF($E$11="",IF(OR($E$7="seleccione rubro",$E$9="seleccione sub - rubro"),"-",HLOOKUP((CONCATENATE($E$9,$G$17)),'IMESI Vol Físico - Series mensu'!$C$4:$FZ$398,385,0)),"-")</f>
        <v>-</v>
      </c>
      <c r="H431" s="75"/>
      <c r="I431" s="74" t="str">
        <f>IF($E$11="",IF(OR($E$7="seleccione rubro",$E$9="seleccione sub - rubro"),"-",HLOOKUP((CONCATENATE($E$9,$I$17)),'IMESI Vol Físico - Series mensu'!$C$4:$FZ$398,385,0)),"-")</f>
        <v>-</v>
      </c>
      <c r="J431" s="75"/>
      <c r="K431" s="74" t="str">
        <f>IF($E$11="",IF(OR($E$7="seleccione rubro",$E$9="seleccione sub - rubro"),"-",HLOOKUP((CONCATENATE($E$9,$K$17)),'IMESI Vol Físico - Series mensu'!$C$4:$FZ$398,385,0)),"-")</f>
        <v>-</v>
      </c>
    </row>
    <row r="432" spans="4:11" x14ac:dyDescent="0.2">
      <c r="D432" s="81">
        <f t="shared" si="31"/>
        <v>2018</v>
      </c>
      <c r="E432" s="73">
        <f>+'IMESI Vol Físico - Series mensu'!A389</f>
        <v>43405</v>
      </c>
      <c r="G432" s="74" t="str">
        <f>IF($E$11="",IF(OR($E$7="seleccione rubro",$E$9="seleccione sub - rubro"),"-",HLOOKUP((CONCATENATE($E$9,$G$17)),'IMESI Vol Físico - Series mensu'!$C$4:$FZ$398,386,0)),"-")</f>
        <v>-</v>
      </c>
      <c r="H432" s="75"/>
      <c r="I432" s="74" t="str">
        <f>IF($E$11="",IF(OR($E$7="seleccione rubro",$E$9="seleccione sub - rubro"),"-",HLOOKUP((CONCATENATE($E$9,$I$17)),'IMESI Vol Físico - Series mensu'!$C$4:$FZ$398,386,0)),"-")</f>
        <v>-</v>
      </c>
      <c r="J432" s="75"/>
      <c r="K432" s="74" t="str">
        <f>IF($E$11="",IF(OR($E$7="seleccione rubro",$E$9="seleccione sub - rubro"),"-",HLOOKUP((CONCATENATE($E$9,$K$17)),'IMESI Vol Físico - Series mensu'!$C$4:$FZ$398,386,0)),"-")</f>
        <v>-</v>
      </c>
    </row>
    <row r="433" spans="4:11" x14ac:dyDescent="0.2">
      <c r="D433" s="81">
        <f t="shared" si="31"/>
        <v>2018</v>
      </c>
      <c r="E433" s="73">
        <f>+'IMESI Vol Físico - Series mensu'!A390</f>
        <v>43435</v>
      </c>
      <c r="G433" s="74" t="str">
        <f>IF($E$11="",IF(OR($E$7="seleccione rubro",$E$9="seleccione sub - rubro"),"-",HLOOKUP((CONCATENATE($E$9,$G$17)),'IMESI Vol Físico - Series mensu'!$C$4:$FZ$398,387,0)),"-")</f>
        <v>-</v>
      </c>
      <c r="H433" s="75"/>
      <c r="I433" s="74" t="str">
        <f>IF($E$11="",IF(OR($E$7="seleccione rubro",$E$9="seleccione sub - rubro"),"-",HLOOKUP((CONCATENATE($E$9,$I$17)),'IMESI Vol Físico - Series mensu'!$C$4:$FZ$398,387,0)),"-")</f>
        <v>-</v>
      </c>
      <c r="J433" s="75"/>
      <c r="K433" s="74" t="str">
        <f>IF($E$11="",IF(OR($E$7="seleccione rubro",$E$9="seleccione sub - rubro"),"-",HLOOKUP((CONCATENATE($E$9,$K$17)),'IMESI Vol Físico - Series mensu'!$C$4:$FZ$398,387,0)),"-")</f>
        <v>-</v>
      </c>
    </row>
    <row r="434" spans="4:11" x14ac:dyDescent="0.2">
      <c r="D434" s="69">
        <f>+D435</f>
        <v>2019</v>
      </c>
      <c r="E434" s="73"/>
      <c r="G434" s="74"/>
      <c r="H434" s="75"/>
      <c r="I434" s="74"/>
      <c r="J434" s="75"/>
      <c r="K434" s="74"/>
    </row>
    <row r="435" spans="4:11" x14ac:dyDescent="0.2">
      <c r="D435" s="81">
        <f t="shared" ref="D435" si="32">+YEAR(E435)</f>
        <v>2019</v>
      </c>
      <c r="E435" s="73">
        <f>+'IMESI Vol Físico - Series mensu'!A391</f>
        <v>43466</v>
      </c>
      <c r="G435" s="74" t="str">
        <f>IF($E$11="",IF(OR($E$7="seleccione rubro",$E$9="seleccione sub - rubro"),"-",HLOOKUP((CONCATENATE($E$9,$G$17)),'IMESI Vol Físico - Series mensu'!$C$4:$FZ$433,388,0)),"-")</f>
        <v>-</v>
      </c>
      <c r="H435" s="75"/>
      <c r="I435" s="74" t="str">
        <f>IF($E$11="",IF(OR($E$7="seleccione rubro",$E$9="seleccione sub - rubro"),"-",HLOOKUP((CONCATENATE($E$9,$I$17)),'IMESI Vol Físico - Series mensu'!$C$4:$FZ$433,388,0)),"-")</f>
        <v>-</v>
      </c>
      <c r="J435" s="75"/>
      <c r="K435" s="74" t="str">
        <f>IF($E$11="",IF(OR($E$7="seleccione rubro",$E$9="seleccione sub - rubro"),"-",HLOOKUP((CONCATENATE($E$9,$K$17)),'IMESI Vol Físico - Series mensu'!$C$4:$FZ$433,388,0)),"-")</f>
        <v>-</v>
      </c>
    </row>
    <row r="436" spans="4:11" x14ac:dyDescent="0.2">
      <c r="D436" s="81">
        <f t="shared" ref="D436:D442" si="33">+YEAR(E436)</f>
        <v>2019</v>
      </c>
      <c r="E436" s="73">
        <f>+'IMESI Vol Físico - Series mensu'!A392</f>
        <v>43497</v>
      </c>
      <c r="G436" s="74" t="str">
        <f>IF($E$11="",IF(OR($E$7="seleccione rubro",$E$9="seleccione sub - rubro"),"-",HLOOKUP((CONCATENATE($E$9,$G$17)),'IMESI Vol Físico - Series mensu'!$C$4:$FZ$434,389,0)),"-")</f>
        <v>-</v>
      </c>
      <c r="H436" s="75"/>
      <c r="I436" s="74" t="str">
        <f>IF($E$11="",IF(OR($E$7="seleccione rubro",$E$9="seleccione sub - rubro"),"-",HLOOKUP((CONCATENATE($E$9,$I$17)),'IMESI Vol Físico - Series mensu'!$C$4:$FZ$434,389,0)),"-")</f>
        <v>-</v>
      </c>
      <c r="J436" s="75"/>
      <c r="K436" s="74" t="str">
        <f>IF($E$11="",IF(OR($E$7="seleccione rubro",$E$9="seleccione sub - rubro"),"-",HLOOKUP((CONCATENATE($E$9,$K$17)),'IMESI Vol Físico - Series mensu'!$C$4:$FZ$434,389,0)),"-")</f>
        <v>-</v>
      </c>
    </row>
    <row r="437" spans="4:11" x14ac:dyDescent="0.2">
      <c r="D437" s="81">
        <f t="shared" si="33"/>
        <v>2019</v>
      </c>
      <c r="E437" s="73">
        <f>+'IMESI Vol Físico - Series mensu'!A393</f>
        <v>43525</v>
      </c>
      <c r="G437" s="74" t="str">
        <f>IF($E$11="",IF(OR($E$7="seleccione rubro",$E$9="seleccione sub - rubro"),"-",HLOOKUP((CONCATENATE($E$9,$G$17)),'IMESI Vol Físico - Series mensu'!$C$4:$FZ$435,390,0)),"-")</f>
        <v>-</v>
      </c>
      <c r="H437" s="75"/>
      <c r="I437" s="74" t="str">
        <f>IF($E$11="",IF(OR($E$7="seleccione rubro",$E$9="seleccione sub - rubro"),"-",HLOOKUP((CONCATENATE($E$9,$I$17)),'IMESI Vol Físico - Series mensu'!$C$4:$FZ$435,390,0)),"-")</f>
        <v>-</v>
      </c>
      <c r="J437" s="75"/>
      <c r="K437" s="74" t="str">
        <f>IF($E$11="",IF(OR($E$7="seleccione rubro",$E$9="seleccione sub - rubro"),"-",HLOOKUP((CONCATENATE($E$9,$K$17)),'IMESI Vol Físico - Series mensu'!$C$4:$FZ$435,390,0)),"-")</f>
        <v>-</v>
      </c>
    </row>
    <row r="438" spans="4:11" x14ac:dyDescent="0.2">
      <c r="D438" s="81">
        <f t="shared" si="33"/>
        <v>2019</v>
      </c>
      <c r="E438" s="73">
        <f>+'IMESI Vol Físico - Series mensu'!A394</f>
        <v>43556</v>
      </c>
      <c r="G438" s="74" t="str">
        <f>IF($E$11="",IF(OR($E$7="seleccione rubro",$E$9="seleccione sub - rubro"),"-",HLOOKUP((CONCATENATE($E$9,$G$17)),'IMESI Vol Físico - Series mensu'!$C$4:$FZ$480,391,0)),"-")</f>
        <v>-</v>
      </c>
      <c r="H438" s="75"/>
      <c r="I438" s="74" t="str">
        <f>IF($E$11="",IF(OR($E$7="seleccione rubro",$E$9="seleccione sub - rubro"),"-",HLOOKUP((CONCATENATE($E$9,$I$17)),'IMESI Vol Físico - Series mensu'!$C$4:$FZ$480,391,0)),"-")</f>
        <v>-</v>
      </c>
      <c r="J438" s="75"/>
      <c r="K438" s="74" t="str">
        <f>IF($E$11="",IF(OR($E$7="seleccione rubro",$E$9="seleccione sub - rubro"),"-",HLOOKUP((CONCATENATE($E$9,$K$17)),'IMESI Vol Físico - Series mensu'!$C$4:$FZ$480,391,0)),"-")</f>
        <v>-</v>
      </c>
    </row>
    <row r="439" spans="4:11" x14ac:dyDescent="0.2">
      <c r="D439" s="81">
        <f t="shared" si="33"/>
        <v>2019</v>
      </c>
      <c r="E439" s="73">
        <f>+'IMESI Vol Físico - Series mensu'!A395</f>
        <v>43586</v>
      </c>
      <c r="G439" s="74" t="str">
        <f>IF($E$11="",IF(OR($E$7="seleccione rubro",$E$9="seleccione sub - rubro"),"-",HLOOKUP((CONCATENATE($E$9,$G$17)),'IMESI Vol Físico - Series mensu'!$C$4:$FZ$481,392,0)),"-")</f>
        <v>-</v>
      </c>
      <c r="H439" s="75"/>
      <c r="I439" s="74" t="str">
        <f>IF($E$11="",IF(OR($E$7="seleccione rubro",$E$9="seleccione sub - rubro"),"-",HLOOKUP((CONCATENATE($E$9,$I$17)),'IMESI Vol Físico - Series mensu'!$C$4:$FZ$481,392,0)),"-")</f>
        <v>-</v>
      </c>
      <c r="J439" s="75"/>
      <c r="K439" s="74" t="str">
        <f>IF($E$11="",IF(OR($E$7="seleccione rubro",$E$9="seleccione sub - rubro"),"-",HLOOKUP((CONCATENATE($E$9,$K$17)),'IMESI Vol Físico - Series mensu'!$C$4:$FZ$481,392,0)),"-")</f>
        <v>-</v>
      </c>
    </row>
    <row r="440" spans="4:11" x14ac:dyDescent="0.2">
      <c r="D440" s="81">
        <f t="shared" si="33"/>
        <v>2019</v>
      </c>
      <c r="E440" s="73">
        <f>+'IMESI Vol Físico - Series mensu'!A396</f>
        <v>43617</v>
      </c>
      <c r="G440" s="74" t="str">
        <f>IF($E$11="",IF(OR($E$7="seleccione rubro",$E$9="seleccione sub - rubro"),"-",HLOOKUP((CONCATENATE($E$9,$G$17)),'IMESI Vol Físico - Series mensu'!$C$4:$FZ$482,393,0)),"-")</f>
        <v>-</v>
      </c>
      <c r="H440" s="75"/>
      <c r="I440" s="74" t="str">
        <f>IF($E$11="",IF(OR($E$7="seleccione rubro",$E$9="seleccione sub - rubro"),"-",HLOOKUP((CONCATENATE($E$9,$I$17)),'IMESI Vol Físico - Series mensu'!$C$4:$FZ$482,393,0)),"-")</f>
        <v>-</v>
      </c>
      <c r="J440" s="75"/>
      <c r="K440" s="74" t="str">
        <f>IF($E$11="",IF(OR($E$7="seleccione rubro",$E$9="seleccione sub - rubro"),"-",HLOOKUP((CONCATENATE($E$9,$K$17)),'IMESI Vol Físico - Series mensu'!$C$4:$FZ$482,393,0)),"-")</f>
        <v>-</v>
      </c>
    </row>
    <row r="441" spans="4:11" x14ac:dyDescent="0.2">
      <c r="D441" s="81">
        <f t="shared" si="33"/>
        <v>2019</v>
      </c>
      <c r="E441" s="73">
        <f>+'IMESI Vol Físico - Series mensu'!A397</f>
        <v>43647</v>
      </c>
      <c r="G441" s="74" t="str">
        <f>IF($E$11="",IF(OR($E$7="seleccione rubro",$E$9="seleccione sub - rubro"),"-",HLOOKUP((CONCATENATE($E$9,$G$17)),'IMESI Vol Físico - Series mensu'!$C$4:$FZ$483,394,0)),"-")</f>
        <v>-</v>
      </c>
      <c r="H441" s="75"/>
      <c r="I441" s="74" t="str">
        <f>IF($E$11="",IF(OR($E$7="seleccione rubro",$E$9="seleccione sub - rubro"),"-",HLOOKUP((CONCATENATE($E$9,$I$17)),'IMESI Vol Físico - Series mensu'!$C$4:$FZ$483,394,0)),"-")</f>
        <v>-</v>
      </c>
      <c r="J441" s="75"/>
      <c r="K441" s="74" t="str">
        <f>IF($E$11="",IF(OR($E$7="seleccione rubro",$E$9="seleccione sub - rubro"),"-",HLOOKUP((CONCATENATE($E$9,$K$17)),'IMESI Vol Físico - Series mensu'!$C$4:$FZ$483,394,0)),"-")</f>
        <v>-</v>
      </c>
    </row>
    <row r="442" spans="4:11" x14ac:dyDescent="0.2">
      <c r="D442" s="81">
        <f t="shared" si="33"/>
        <v>2019</v>
      </c>
      <c r="E442" s="73">
        <f>+'IMESI Vol Físico - Series mensu'!A398</f>
        <v>43678</v>
      </c>
      <c r="G442" s="74" t="str">
        <f>IF($E$11="",IF(OR($E$7="seleccione rubro",$E$9="seleccione sub - rubro"),"-",HLOOKUP((CONCATENATE($E$9,$G$17)),'IMESI Vol Físico - Series mensu'!$C$4:$FZ$484,395,0)),"-")</f>
        <v>-</v>
      </c>
      <c r="H442" s="75"/>
      <c r="I442" s="74" t="str">
        <f>IF($E$11="",IF(OR($E$7="seleccione rubro",$E$9="seleccione sub - rubro"),"-",HLOOKUP((CONCATENATE($E$9,$I$17)),'IMESI Vol Físico - Series mensu'!$C$4:$FZ$484,395,0)),"-")</f>
        <v>-</v>
      </c>
      <c r="J442" s="75"/>
      <c r="K442" s="74" t="str">
        <f>IF($E$11="",IF(OR($E$7="seleccione rubro",$E$9="seleccione sub - rubro"),"-",HLOOKUP((CONCATENATE($E$9,$K$17)),'IMESI Vol Físico - Series mensu'!$C$4:$FZ$484,395,0)),"-")</f>
        <v>-</v>
      </c>
    </row>
    <row r="443" spans="4:11" x14ac:dyDescent="0.2">
      <c r="D443" s="81">
        <f t="shared" ref="D443:D446" si="34">+YEAR(E443)</f>
        <v>2019</v>
      </c>
      <c r="E443" s="73">
        <f>+'IMESI Vol Físico - Series mensu'!A399</f>
        <v>43709</v>
      </c>
      <c r="G443" s="74" t="str">
        <f>IF($E$11="",IF(OR($E$7="seleccione rubro",$E$9="seleccione sub - rubro"),"-",HLOOKUP((CONCATENATE($E$9,$G$17)),'IMESI Vol Físico - Series mensu'!$C$4:$FZ$485,396,0)),"-")</f>
        <v>-</v>
      </c>
      <c r="H443" s="75"/>
      <c r="I443" s="74" t="str">
        <f>IF($E$11="",IF(OR($E$7="seleccione rubro",$E$9="seleccione sub - rubro"),"-",HLOOKUP((CONCATENATE($E$9,$I$17)),'IMESI Vol Físico - Series mensu'!$C$4:$FZ$485,396,0)),"-")</f>
        <v>-</v>
      </c>
      <c r="J443" s="75"/>
      <c r="K443" s="74" t="str">
        <f>IF($E$11="",IF(OR($E$7="seleccione rubro",$E$9="seleccione sub - rubro"),"-",HLOOKUP((CONCATENATE($E$9,$K$17)),'IMESI Vol Físico - Series mensu'!$C$4:$FZ$485,396,0)),"-")</f>
        <v>-</v>
      </c>
    </row>
    <row r="444" spans="4:11" x14ac:dyDescent="0.2">
      <c r="D444" s="81">
        <f t="shared" si="34"/>
        <v>2019</v>
      </c>
      <c r="E444" s="73">
        <f>+'IMESI Vol Físico - Series mensu'!A400</f>
        <v>43739</v>
      </c>
      <c r="G444" s="74" t="str">
        <f>IF($E$11="",IF(OR($E$7="seleccione rubro",$E$9="seleccione sub - rubro"),"-",HLOOKUP((CONCATENATE($E$9,$G$17)),'IMESI Vol Físico - Series mensu'!$C$4:$FZ$486,397,0)),"-")</f>
        <v>-</v>
      </c>
      <c r="H444" s="75"/>
      <c r="I444" s="74" t="str">
        <f>IF($E$11="",IF(OR($E$7="seleccione rubro",$E$9="seleccione sub - rubro"),"-",HLOOKUP((CONCATENATE($E$9,$I$17)),'IMESI Vol Físico - Series mensu'!$C$4:$FZ$486,397,0)),"-")</f>
        <v>-</v>
      </c>
      <c r="J444" s="75"/>
      <c r="K444" s="74" t="str">
        <f>IF($E$11="",IF(OR($E$7="seleccione rubro",$E$9="seleccione sub - rubro"),"-",HLOOKUP((CONCATENATE($E$9,$K$17)),'IMESI Vol Físico - Series mensu'!$C$4:$FZ$486,397,0)),"-")</f>
        <v>-</v>
      </c>
    </row>
    <row r="445" spans="4:11" x14ac:dyDescent="0.2">
      <c r="D445" s="81">
        <f t="shared" si="34"/>
        <v>2019</v>
      </c>
      <c r="E445" s="73">
        <f>+'IMESI Vol Físico - Series mensu'!A401</f>
        <v>43770</v>
      </c>
      <c r="G445" s="74" t="str">
        <f>IF($E$11="",IF(OR($E$7="seleccione rubro",$E$9="seleccione sub - rubro"),"-",HLOOKUP((CONCATENATE($E$9,$G$17)),'IMESI Vol Físico - Series mensu'!$C$4:$FZ$487,398,0)),"-")</f>
        <v>-</v>
      </c>
      <c r="H445" s="75"/>
      <c r="I445" s="74" t="str">
        <f>IF($E$11="",IF(OR($E$7="seleccione rubro",$E$9="seleccione sub - rubro"),"-",HLOOKUP((CONCATENATE($E$9,$I$17)),'IMESI Vol Físico - Series mensu'!$C$4:$FZ$487,398,0)),"-")</f>
        <v>-</v>
      </c>
      <c r="J445" s="75"/>
      <c r="K445" s="74" t="str">
        <f>IF($E$11="",IF(OR($E$7="seleccione rubro",$E$9="seleccione sub - rubro"),"-",HLOOKUP((CONCATENATE($E$9,$K$17)),'IMESI Vol Físico - Series mensu'!$C$4:$FZ$487,398,0)),"-")</f>
        <v>-</v>
      </c>
    </row>
    <row r="446" spans="4:11" x14ac:dyDescent="0.2">
      <c r="D446" s="81">
        <f t="shared" si="34"/>
        <v>2019</v>
      </c>
      <c r="E446" s="73">
        <f>+'IMESI Vol Físico - Series mensu'!A402</f>
        <v>43800</v>
      </c>
      <c r="G446" s="74" t="str">
        <f>IF($E$11="",IF(OR($E$7="seleccione rubro",$E$9="seleccione sub - rubro"),"-",HLOOKUP((CONCATENATE($E$9,$G$17)),'IMESI Vol Físico - Series mensu'!$C$4:$FZ$488,399,0)),"-")</f>
        <v>-</v>
      </c>
      <c r="H446" s="75"/>
      <c r="I446" s="74" t="str">
        <f>IF($E$11="",IF(OR($E$7="seleccione rubro",$E$9="seleccione sub - rubro"),"-",HLOOKUP((CONCATENATE($E$9,$I$17)),'IMESI Vol Físico - Series mensu'!$C$4:$FZ$488,399,0)),"-")</f>
        <v>-</v>
      </c>
      <c r="J446" s="75"/>
      <c r="K446" s="74" t="str">
        <f>IF($E$11="",IF(OR($E$7="seleccione rubro",$E$9="seleccione sub - rubro"),"-",HLOOKUP((CONCATENATE($E$9,$K$17)),'IMESI Vol Físico - Series mensu'!$C$4:$FZ$488,399,0)),"-")</f>
        <v>-</v>
      </c>
    </row>
    <row r="447" spans="4:11" x14ac:dyDescent="0.2">
      <c r="D447" s="69">
        <f>+D448</f>
        <v>2020</v>
      </c>
    </row>
    <row r="448" spans="4:11" x14ac:dyDescent="0.2">
      <c r="D448" s="81">
        <f t="shared" ref="D448" si="35">+YEAR(E448)</f>
        <v>2020</v>
      </c>
      <c r="E448" s="73">
        <f>+'IMESI Vol Físico - Series mensu'!A403</f>
        <v>43831</v>
      </c>
      <c r="G448" s="74" t="str">
        <f>IF($E$11="",IF(OR($E$7="seleccione rubro",$E$9="seleccione sub - rubro"),"-",HLOOKUP((CONCATENATE($E$9,$G$17)),'IMESI Vol Físico - Series mensu'!$C$4:$FZ$489,400,0)),"-")</f>
        <v>-</v>
      </c>
      <c r="H448" s="75"/>
      <c r="I448" s="74" t="str">
        <f>IF($E$11="",IF(OR($E$7="seleccione rubro",$E$9="seleccione sub - rubro"),"-",HLOOKUP((CONCATENATE($E$9,$I$17)),'IMESI Vol Físico - Series mensu'!$C$4:$FZ$489,400,0)),"-")</f>
        <v>-</v>
      </c>
      <c r="J448" s="75"/>
      <c r="K448" s="74" t="str">
        <f>IF($E$11="",IF(OR($E$7="seleccione rubro",$E$9="seleccione sub - rubro"),"-",HLOOKUP((CONCATENATE($E$9,$K$17)),'IMESI Vol Físico - Series mensu'!$C$4:$FZ$489,400,0)),"-")</f>
        <v>-</v>
      </c>
    </row>
    <row r="449" spans="4:11" x14ac:dyDescent="0.2">
      <c r="D449" s="81">
        <f t="shared" ref="D449:D450" si="36">+YEAR(E449)</f>
        <v>2020</v>
      </c>
      <c r="E449" s="73">
        <f>+'IMESI Vol Físico - Series mensu'!A404</f>
        <v>43862</v>
      </c>
      <c r="G449" s="74" t="str">
        <f>IF($E$11="",IF(OR($E$7="seleccione rubro",$E$9="seleccione sub - rubro"),"-",HLOOKUP((CONCATENATE($E$9,$G$17)),'IMESI Vol Físico - Series mensu'!$C$4:$FZ$490,401,0)),"-")</f>
        <v>-</v>
      </c>
      <c r="H449" s="75"/>
      <c r="I449" s="74" t="str">
        <f>IF($E$11="",IF(OR($E$7="seleccione rubro",$E$9="seleccione sub - rubro"),"-",HLOOKUP((CONCATENATE($E$9,$I$17)),'IMESI Vol Físico - Series mensu'!$C$4:$FZ$490,401,0)),"-")</f>
        <v>-</v>
      </c>
      <c r="J449" s="75"/>
      <c r="K449" s="74" t="str">
        <f>IF($E$11="",IF(OR($E$7="seleccione rubro",$E$9="seleccione sub - rubro"),"-",HLOOKUP((CONCATENATE($E$9,$K$17)),'IMESI Vol Físico - Series mensu'!$C$4:$FZ$490,401,0)),"-")</f>
        <v>-</v>
      </c>
    </row>
    <row r="450" spans="4:11" x14ac:dyDescent="0.2">
      <c r="D450" s="81">
        <f t="shared" si="36"/>
        <v>2020</v>
      </c>
      <c r="E450" s="73">
        <f>+'IMESI Vol Físico - Series mensu'!A405</f>
        <v>43891</v>
      </c>
      <c r="G450" s="74" t="str">
        <f>IF($E$11="",IF(OR($E$7="seleccione rubro",$E$9="seleccione sub - rubro"),"-",HLOOKUP((CONCATENATE($E$9,$G$17)),'IMESI Vol Físico - Series mensu'!$C$4:$FZ$491,402,0)),"-")</f>
        <v>-</v>
      </c>
      <c r="H450" s="75"/>
      <c r="I450" s="74" t="str">
        <f>IF($E$11="",IF(OR($E$7="seleccione rubro",$E$9="seleccione sub - rubro"),"-",HLOOKUP((CONCATENATE($E$9,$I$17)),'IMESI Vol Físico - Series mensu'!$C$4:$FZ$491,402,0)),"-")</f>
        <v>-</v>
      </c>
      <c r="J450" s="75"/>
      <c r="K450" s="74" t="str">
        <f>IF($E$11="",IF(OR($E$7="seleccione rubro",$E$9="seleccione sub - rubro"),"-",HLOOKUP((CONCATENATE($E$9,$K$17)),'IMESI Vol Físico - Series mensu'!$C$4:$FZ$491,402,0)),"-")</f>
        <v>-</v>
      </c>
    </row>
    <row r="451" spans="4:11" x14ac:dyDescent="0.2">
      <c r="D451" s="81">
        <f>+YEAR(E451)</f>
        <v>2020</v>
      </c>
      <c r="E451" s="73">
        <f>+'IMESI Vol Físico - Series mensu'!A406</f>
        <v>43922</v>
      </c>
      <c r="G451" s="74" t="str">
        <f>IF($E$11="",IF(OR($E$7="seleccione rubro",$E$9="seleccione sub - rubro"),"-",HLOOKUP((CONCATENATE($E$9,$G$17)),'IMESI Vol Físico - Series mensu'!$C$4:$FZ$492,403,0)),"-")</f>
        <v>-</v>
      </c>
      <c r="H451" s="75"/>
      <c r="I451" s="74" t="str">
        <f>IF($E$11="",IF(OR($E$7="seleccione rubro",$E$9="seleccione sub - rubro"),"-",HLOOKUP((CONCATENATE($E$9,$I$17)),'IMESI Vol Físico - Series mensu'!$C$4:$FZ$492,403,0)),"-")</f>
        <v>-</v>
      </c>
      <c r="J451" s="75"/>
      <c r="K451" s="74" t="str">
        <f>IF($E$11="",IF(OR($E$7="seleccione rubro",$E$9="seleccione sub - rubro"),"-",HLOOKUP((CONCATENATE($E$9,$K$17)),'IMESI Vol Físico - Series mensu'!$C$4:$FZ$492,403,0)),"-")</f>
        <v>-</v>
      </c>
    </row>
    <row r="452" spans="4:11" x14ac:dyDescent="0.2">
      <c r="D452" s="81">
        <f t="shared" ref="D452:D458" si="37">+YEAR(E452)</f>
        <v>2020</v>
      </c>
      <c r="E452" s="73">
        <f>+'IMESI Vol Físico - Series mensu'!A407</f>
        <v>43952</v>
      </c>
      <c r="G452" s="74" t="str">
        <f>IF($E$11="",IF(OR($E$7="seleccione rubro",$E$9="seleccione sub - rubro"),"-",HLOOKUP((CONCATENATE($E$9,$G$17)),'IMESI Vol Físico - Series mensu'!$C$4:$FZ$493,404,0)),"-")</f>
        <v>-</v>
      </c>
      <c r="H452" s="75"/>
      <c r="I452" s="74" t="str">
        <f>IF($E$11="",IF(OR($E$7="seleccione rubro",$E$9="seleccione sub - rubro"),"-",HLOOKUP((CONCATENATE($E$9,$I$17)),'IMESI Vol Físico - Series mensu'!$C$4:$FZ$493,404,0)),"-")</f>
        <v>-</v>
      </c>
      <c r="J452" s="75"/>
      <c r="K452" s="74" t="str">
        <f>IF($E$11="",IF(OR($E$7="seleccione rubro",$E$9="seleccione sub - rubro"),"-",HLOOKUP((CONCATENATE($E$9,$K$17)),'IMESI Vol Físico - Series mensu'!$C$4:$FZ$493,404,0)),"-")</f>
        <v>-</v>
      </c>
    </row>
    <row r="453" spans="4:11" x14ac:dyDescent="0.2">
      <c r="D453" s="81">
        <f t="shared" si="37"/>
        <v>2020</v>
      </c>
      <c r="E453" s="73">
        <f>+'IMESI Vol Físico - Series mensu'!A408</f>
        <v>43983</v>
      </c>
      <c r="G453" s="74" t="str">
        <f>IF($E$11="",IF(OR($E$7="seleccione rubro",$E$9="seleccione sub - rubro"),"-",HLOOKUP((CONCATENATE($E$9,$G$17)),'IMESI Vol Físico - Series mensu'!$C$4:$FZ$494,405,0)),"-")</f>
        <v>-</v>
      </c>
      <c r="H453" s="75"/>
      <c r="I453" s="74" t="str">
        <f>IF($E$11="",IF(OR($E$7="seleccione rubro",$E$9="seleccione sub - rubro"),"-",HLOOKUP((CONCATENATE($E$9,$I$17)),'IMESI Vol Físico - Series mensu'!$C$4:$FZ$494,405,0)),"-")</f>
        <v>-</v>
      </c>
      <c r="J453" s="75"/>
      <c r="K453" s="74" t="str">
        <f>IF($E$11="",IF(OR($E$7="seleccione rubro",$E$9="seleccione sub - rubro"),"-",HLOOKUP((CONCATENATE($E$9,$K$17)),'IMESI Vol Físico - Series mensu'!$C$4:$FZ$494,405,0)),"-")</f>
        <v>-</v>
      </c>
    </row>
    <row r="454" spans="4:11" x14ac:dyDescent="0.2">
      <c r="D454" s="81">
        <f t="shared" si="37"/>
        <v>2020</v>
      </c>
      <c r="E454" s="73">
        <f>+'IMESI Vol Físico - Series mensu'!A409</f>
        <v>44013</v>
      </c>
      <c r="G454" s="74" t="str">
        <f>IF($E$11="",IF(OR($E$7="seleccione rubro",$E$9="seleccione sub - rubro"),"-",HLOOKUP((CONCATENATE($E$9,$G$17)),'IMESI Vol Físico - Series mensu'!$C$4:$FZ$495,406,0)),"-")</f>
        <v>-</v>
      </c>
      <c r="H454" s="75"/>
      <c r="I454" s="74" t="str">
        <f>IF($E$11="",IF(OR($E$7="seleccione rubro",$E$9="seleccione sub - rubro"),"-",HLOOKUP((CONCATENATE($E$9,$I$17)),'IMESI Vol Físico - Series mensu'!$C$4:$FZ$495,406,0)),"-")</f>
        <v>-</v>
      </c>
      <c r="J454" s="75"/>
      <c r="K454" s="74" t="str">
        <f>IF($E$11="",IF(OR($E$7="seleccione rubro",$E$9="seleccione sub - rubro"),"-",HLOOKUP((CONCATENATE($E$9,$K$17)),'IMESI Vol Físico - Series mensu'!$C$4:$FZ$495,406,0)),"-")</f>
        <v>-</v>
      </c>
    </row>
    <row r="455" spans="4:11" x14ac:dyDescent="0.2">
      <c r="D455" s="81">
        <f t="shared" si="37"/>
        <v>2020</v>
      </c>
      <c r="E455" s="73">
        <f>+'IMESI Vol Físico - Series mensu'!A410</f>
        <v>44044</v>
      </c>
      <c r="G455" s="74" t="str">
        <f>IF($E$11="",IF(OR($E$7="seleccione rubro",$E$9="seleccione sub - rubro"),"-",HLOOKUP((CONCATENATE($E$9,$G$17)),'IMESI Vol Físico - Series mensu'!$C$4:$FZ$498,407,0)),"-")</f>
        <v>-</v>
      </c>
      <c r="H455" s="75"/>
      <c r="I455" s="74" t="str">
        <f>IF($E$11="",IF(OR($E$7="seleccione rubro",$E$9="seleccione sub - rubro"),"-",HLOOKUP((CONCATENATE($E$9,$I$17)),'IMESI Vol Físico - Series mensu'!$C$4:$FZ$498,407,0)),"-")</f>
        <v>-</v>
      </c>
      <c r="J455" s="75"/>
      <c r="K455" s="74" t="str">
        <f>IF($E$11="",IF(OR($E$7="seleccione rubro",$E$9="seleccione sub - rubro"),"-",HLOOKUP((CONCATENATE($E$9,$K$17)),'IMESI Vol Físico - Series mensu'!$C$4:$FZ$498,407,0)),"-")</f>
        <v>-</v>
      </c>
    </row>
    <row r="456" spans="4:11" x14ac:dyDescent="0.2">
      <c r="D456" s="81">
        <f t="shared" si="37"/>
        <v>2020</v>
      </c>
      <c r="E456" s="73">
        <f>+'IMESI Vol Físico - Series mensu'!A411</f>
        <v>44075</v>
      </c>
      <c r="G456" s="74" t="str">
        <f>IF($E$11="",IF(OR($E$7="seleccione rubro",$E$9="seleccione sub - rubro"),"-",HLOOKUP((CONCATENATE($E$9,$G$17)),'IMESI Vol Físico - Series mensu'!$C$4:$FZ$498,408,0)),"-")</f>
        <v>-</v>
      </c>
      <c r="H456" s="75"/>
      <c r="I456" s="74" t="str">
        <f>IF($E$11="",IF(OR($E$7="seleccione rubro",$E$9="seleccione sub - rubro"),"-",HLOOKUP((CONCATENATE($E$9,$I$17)),'IMESI Vol Físico - Series mensu'!$C$4:$FZ$498,408,0)),"-")</f>
        <v>-</v>
      </c>
      <c r="J456" s="75"/>
      <c r="K456" s="74" t="str">
        <f>IF($E$11="",IF(OR($E$7="seleccione rubro",$E$9="seleccione sub - rubro"),"-",HLOOKUP((CONCATENATE($E$9,$K$17)),'IMESI Vol Físico - Series mensu'!$C$4:$FZ$498,408,0)),"-")</f>
        <v>-</v>
      </c>
    </row>
    <row r="457" spans="4:11" x14ac:dyDescent="0.2">
      <c r="D457" s="81">
        <f t="shared" si="37"/>
        <v>2020</v>
      </c>
      <c r="E457" s="73">
        <f>+'IMESI Vol Físico - Series mensu'!A412</f>
        <v>44105</v>
      </c>
      <c r="G457" s="74" t="str">
        <f>IF($E$11="",IF(OR($E$7="seleccione rubro",$E$9="seleccione sub - rubro"),"-",HLOOKUP((CONCATENATE($E$9,$G$17)),'IMESI Vol Físico - Series mensu'!$C$4:$FZ$499,409,0)),"-")</f>
        <v>-</v>
      </c>
      <c r="H457" s="75"/>
      <c r="I457" s="74" t="str">
        <f>IF($E$11="",IF(OR($E$7="seleccione rubro",$E$9="seleccione sub - rubro"),"-",HLOOKUP((CONCATENATE($E$9,$I$17)),'IMESI Vol Físico - Series mensu'!$C$4:$FZ$499,409,0)),"-")</f>
        <v>-</v>
      </c>
      <c r="J457" s="75"/>
      <c r="K457" s="74" t="str">
        <f>IF($E$11="",IF(OR($E$7="seleccione rubro",$E$9="seleccione sub - rubro"),"-",HLOOKUP((CONCATENATE($E$9,$K$17)),'IMESI Vol Físico - Series mensu'!$C$4:$FZ$499,409,0)),"-")</f>
        <v>-</v>
      </c>
    </row>
    <row r="458" spans="4:11" x14ac:dyDescent="0.2">
      <c r="D458" s="81">
        <f t="shared" si="37"/>
        <v>2020</v>
      </c>
      <c r="E458" s="73">
        <f>+'IMESI Vol Físico - Series mensu'!A413</f>
        <v>44136</v>
      </c>
      <c r="G458" s="74" t="str">
        <f>IF($E$11="",IF(OR($E$7="seleccione rubro",$E$9="seleccione sub - rubro"),"-",HLOOKUP((CONCATENATE($E$9,$G$17)),'IMESI Vol Físico - Series mensu'!$C$4:$FZ$500,410,0)),"-")</f>
        <v>-</v>
      </c>
      <c r="H458" s="75"/>
      <c r="I458" s="74" t="str">
        <f>IF($E$11="",IF(OR($E$7="seleccione rubro",$E$9="seleccione sub - rubro"),"-",HLOOKUP((CONCATENATE($E$9,$I$17)),'IMESI Vol Físico - Series mensu'!$C$4:$FZ$500,410,0)),"-")</f>
        <v>-</v>
      </c>
      <c r="J458" s="75"/>
      <c r="K458" s="74" t="str">
        <f>IF($E$11="",IF(OR($E$7="seleccione rubro",$E$9="seleccione sub - rubro"),"-",HLOOKUP((CONCATENATE($E$9,$K$17)),'IMESI Vol Físico - Series mensu'!$C$4:$FZ$500,410,0)),"-")</f>
        <v>-</v>
      </c>
    </row>
    <row r="459" spans="4:11" x14ac:dyDescent="0.2">
      <c r="D459" s="81">
        <f>+YEAR(E459)</f>
        <v>2020</v>
      </c>
      <c r="E459" s="73">
        <f>+'IMESI Vol Físico - Series mensu'!A414</f>
        <v>44166</v>
      </c>
      <c r="G459" s="74" t="str">
        <f>IF($E$11="",IF(OR($E$7="seleccione rubro",$E$9="seleccione sub - rubro"),"-",HLOOKUP((CONCATENATE($E$9,$G$17)),'IMESI Vol Físico - Series mensu'!$C$4:$FZ$501,411,0)),"-")</f>
        <v>-</v>
      </c>
      <c r="H459" s="75"/>
      <c r="I459" s="74" t="str">
        <f>IF($E$11="",IF(OR($E$7="seleccione rubro",$E$9="seleccione sub - rubro"),"-",HLOOKUP((CONCATENATE($E$9,$I$17)),'IMESI Vol Físico - Series mensu'!$C$4:$FZ$501,411,0)),"-")</f>
        <v>-</v>
      </c>
      <c r="J459" s="75"/>
      <c r="K459" s="74" t="str">
        <f>IF($E$11="",IF(OR($E$7="seleccione rubro",$E$9="seleccione sub - rubro"),"-",HLOOKUP((CONCATENATE($E$9,$K$17)),'IMESI Vol Físico - Series mensu'!$C$4:$FZ$501,411,0)),"-")</f>
        <v>-</v>
      </c>
    </row>
    <row r="460" spans="4:11" x14ac:dyDescent="0.2">
      <c r="D460" s="69">
        <f>+D461</f>
        <v>2021</v>
      </c>
    </row>
    <row r="461" spans="4:11" x14ac:dyDescent="0.2">
      <c r="D461" s="81">
        <f>+YEAR(E461)</f>
        <v>2021</v>
      </c>
      <c r="E461" s="73">
        <f>+'IMESI Vol Físico - Series mensu'!A415</f>
        <v>44197</v>
      </c>
      <c r="G461" s="74" t="str">
        <f>IF($E$11="",IF(OR($E$7="seleccione rubro",$E$9="seleccione sub - rubro"),"-",HLOOKUP((CONCATENATE($E$9,$G$17)),'IMESI Vol Físico - Series mensu'!$C$4:$FZ$503,412,0)),"-")</f>
        <v>-</v>
      </c>
      <c r="H461" s="75"/>
      <c r="I461" s="74" t="str">
        <f>IF($E$11="",IF(OR($E$7="seleccione rubro",$E$9="seleccione sub - rubro"),"-",HLOOKUP((CONCATENATE($E$9,$I$17)),'IMESI Vol Físico - Series mensu'!$C$4:$FZ$503,412,0)),"-")</f>
        <v>-</v>
      </c>
      <c r="J461" s="75"/>
      <c r="K461" s="74" t="str">
        <f>IF($E$11="",IF(OR($E$7="seleccione rubro",$E$9="seleccione sub - rubro"),"-",HLOOKUP((CONCATENATE($E$9,$K$17)),'IMESI Vol Físico - Series mensu'!$C$4:$FZ$503,412,0)),"-")</f>
        <v>-</v>
      </c>
    </row>
    <row r="462" spans="4:11" x14ac:dyDescent="0.2">
      <c r="D462" s="81">
        <f t="shared" ref="D462:D465" si="38">+YEAR(E462)</f>
        <v>2021</v>
      </c>
      <c r="E462" s="73">
        <f>+'IMESI Vol Físico - Series mensu'!A416</f>
        <v>44228</v>
      </c>
      <c r="G462" s="74" t="str">
        <f>IF($E$11="",IF(OR($E$7="seleccione rubro",$E$9="seleccione sub - rubro"),"-",HLOOKUP((CONCATENATE($E$9,$G$17)),'IMESI Vol Físico - Series mensu'!$C$4:$FZ$504,413,0)),"-")</f>
        <v>-</v>
      </c>
      <c r="H462" s="75"/>
      <c r="I462" s="74" t="str">
        <f>IF($E$11="",IF(OR($E$7="seleccione rubro",$E$9="seleccione sub - rubro"),"-",HLOOKUP((CONCATENATE($E$9,$I$17)),'IMESI Vol Físico - Series mensu'!$C$4:$FZ$504,413,0)),"-")</f>
        <v>-</v>
      </c>
      <c r="J462" s="75"/>
      <c r="K462" s="74" t="str">
        <f>IF($E$11="",IF(OR($E$7="seleccione rubro",$E$9="seleccione sub - rubro"),"-",HLOOKUP((CONCATENATE($E$9,$K$17)),'IMESI Vol Físico - Series mensu'!$C$4:$FZ$504,413,0)),"-")</f>
        <v>-</v>
      </c>
    </row>
    <row r="463" spans="4:11" x14ac:dyDescent="0.2">
      <c r="D463" s="81">
        <f t="shared" si="38"/>
        <v>2021</v>
      </c>
      <c r="E463" s="73">
        <f>+'IMESI Vol Físico - Series mensu'!A417</f>
        <v>44256</v>
      </c>
      <c r="G463" s="74" t="str">
        <f>IF($E$11="",IF(OR($E$7="seleccione rubro",$E$9="seleccione sub - rubro"),"-",HLOOKUP((CONCATENATE($E$9,$G$17)),'IMESI Vol Físico - Series mensu'!$C$4:$FZ$505,414,0)),"-")</f>
        <v>-</v>
      </c>
      <c r="H463" s="75"/>
      <c r="I463" s="74" t="str">
        <f>IF($E$11="",IF(OR($E$7="seleccione rubro",$E$9="seleccione sub - rubro"),"-",HLOOKUP((CONCATENATE($E$9,$I$17)),'IMESI Vol Físico - Series mensu'!$C$4:$FZ$505,414,0)),"-")</f>
        <v>-</v>
      </c>
      <c r="J463" s="75"/>
      <c r="K463" s="74" t="str">
        <f>IF($E$11="",IF(OR($E$7="seleccione rubro",$E$9="seleccione sub - rubro"),"-",HLOOKUP((CONCATENATE($E$9,$K$17)),'IMESI Vol Físico - Series mensu'!$C$4:$FZ$505,414,0)),"-")</f>
        <v>-</v>
      </c>
    </row>
    <row r="464" spans="4:11" x14ac:dyDescent="0.2">
      <c r="D464" s="81">
        <f t="shared" si="38"/>
        <v>2021</v>
      </c>
      <c r="E464" s="73">
        <f>+'IMESI Vol Físico - Series mensu'!A418</f>
        <v>44287</v>
      </c>
      <c r="G464" s="74" t="str">
        <f>IF($E$11="",IF(OR($E$7="seleccione rubro",$E$9="seleccione sub - rubro"),"-",HLOOKUP((CONCATENATE($E$9,$G$17)),'IMESI Vol Físico - Series mensu'!$C$4:$FZ$506,415,0)),"-")</f>
        <v>-</v>
      </c>
      <c r="H464" s="75"/>
      <c r="I464" s="74" t="str">
        <f>IF($E$11="",IF(OR($E$7="seleccione rubro",$E$9="seleccione sub - rubro"),"-",HLOOKUP((CONCATENATE($E$9,$I$17)),'IMESI Vol Físico - Series mensu'!$C$4:$FZ$506,415,0)),"-")</f>
        <v>-</v>
      </c>
      <c r="J464" s="75"/>
      <c r="K464" s="74" t="str">
        <f>IF($E$11="",IF(OR($E$7="seleccione rubro",$E$9="seleccione sub - rubro"),"-",HLOOKUP((CONCATENATE($E$9,$K$17)),'IMESI Vol Físico - Series mensu'!$C$4:$FZ$506,415,0)),"-")</f>
        <v>-</v>
      </c>
    </row>
    <row r="465" spans="4:11" x14ac:dyDescent="0.2">
      <c r="D465" s="81">
        <f t="shared" si="38"/>
        <v>2021</v>
      </c>
      <c r="E465" s="73">
        <f>+'IMESI Vol Físico - Series mensu'!A419</f>
        <v>44317</v>
      </c>
      <c r="G465" s="74" t="str">
        <f>IF($E$11="",IF(OR($E$7="seleccione rubro",$E$9="seleccione sub - rubro"),"-",HLOOKUP((CONCATENATE($E$9,$G$17)),'IMESI Vol Físico - Series mensu'!$C$4:$FZ$507,416,0)),"-")</f>
        <v>-</v>
      </c>
      <c r="H465" s="75"/>
      <c r="I465" s="74" t="str">
        <f>IF($E$11="",IF(OR($E$7="seleccione rubro",$E$9="seleccione sub - rubro"),"-",HLOOKUP((CONCATENATE($E$9,$I$17)),'IMESI Vol Físico - Series mensu'!$C$4:$FZ$507,416,0)),"-")</f>
        <v>-</v>
      </c>
      <c r="J465" s="75"/>
      <c r="K465" s="74" t="str">
        <f>IF($E$11="",IF(OR($E$7="seleccione rubro",$E$9="seleccione sub - rubro"),"-",HLOOKUP((CONCATENATE($E$9,$K$17)),'IMESI Vol Físico - Series mensu'!$C$4:$FZ$507,416,0)),"-")</f>
        <v>-</v>
      </c>
    </row>
    <row r="466" spans="4:11" x14ac:dyDescent="0.2">
      <c r="D466" s="81">
        <f t="shared" ref="D466:D474" si="39">+YEAR(E466)</f>
        <v>2021</v>
      </c>
      <c r="E466" s="73">
        <f>+'IMESI Vol Físico - Series mensu'!A420</f>
        <v>44348</v>
      </c>
      <c r="G466" s="74" t="str">
        <f>IF($E$11="",IF(OR($E$7="seleccione rubro",$E$9="seleccione sub - rubro"),"-",HLOOKUP((CONCATENATE($E$9,$G$17)),'IMESI Vol Físico - Series mensu'!$C$4:$FZ$508,417,0)),"-")</f>
        <v>-</v>
      </c>
      <c r="H466" s="75"/>
      <c r="I466" s="74" t="str">
        <f>IF($E$11="",IF(OR($E$7="seleccione rubro",$E$9="seleccione sub - rubro"),"-",HLOOKUP((CONCATENATE($E$9,$I$17)),'IMESI Vol Físico - Series mensu'!$C$4:$FZ$508,417,0)),"-")</f>
        <v>-</v>
      </c>
      <c r="J466" s="75"/>
      <c r="K466" s="74" t="str">
        <f>IF($E$11="",IF(OR($E$7="seleccione rubro",$E$9="seleccione sub - rubro"),"-",HLOOKUP((CONCATENATE($E$9,$K$17)),'IMESI Vol Físico - Series mensu'!$C$4:$FZ$508,417,0)),"-")</f>
        <v>-</v>
      </c>
    </row>
    <row r="467" spans="4:11" x14ac:dyDescent="0.2">
      <c r="D467" s="81">
        <f t="shared" si="39"/>
        <v>2021</v>
      </c>
      <c r="E467" s="73">
        <f>+'IMESI Vol Físico - Series mensu'!A421</f>
        <v>44378</v>
      </c>
      <c r="G467" s="74" t="str">
        <f>IF($E$11="",IF(OR($E$7="seleccione rubro",$E$9="seleccione sub - rubro"),"-",HLOOKUP((CONCATENATE($E$9,$G$17)),'IMESI Vol Físico - Series mensu'!$C$4:$FZ$509,418,0)),"-")</f>
        <v>-</v>
      </c>
      <c r="H467" s="75"/>
      <c r="I467" s="74" t="str">
        <f>IF($E$11="",IF(OR($E$7="seleccione rubro",$E$9="seleccione sub - rubro"),"-",HLOOKUP((CONCATENATE($E$9,$I$17)),'IMESI Vol Físico - Series mensu'!$C$4:$FZ$509,418,0)),"-")</f>
        <v>-</v>
      </c>
      <c r="J467" s="75"/>
      <c r="K467" s="74" t="str">
        <f>IF($E$11="",IF(OR($E$7="seleccione rubro",$E$9="seleccione sub - rubro"),"-",HLOOKUP((CONCATENATE($E$9,$K$17)),'IMESI Vol Físico - Series mensu'!$C$4:$FZ$509,418,0)),"-")</f>
        <v>-</v>
      </c>
    </row>
    <row r="468" spans="4:11" x14ac:dyDescent="0.2">
      <c r="D468" s="81">
        <f t="shared" si="39"/>
        <v>2021</v>
      </c>
      <c r="E468" s="73">
        <f>+'IMESI Vol Físico - Series mensu'!A422</f>
        <v>44409</v>
      </c>
      <c r="G468" s="74" t="str">
        <f>IF($E$11="",IF(OR($E$7="seleccione rubro",$E$9="seleccione sub - rubro"),"-",HLOOKUP((CONCATENATE($E$9,$G$17)),'IMESI Vol Físico - Series mensu'!$C$4:$FZ$510,419,0)),"-")</f>
        <v>-</v>
      </c>
      <c r="H468" s="75"/>
      <c r="I468" s="74" t="str">
        <f>IF($E$11="",IF(OR($E$7="seleccione rubro",$E$9="seleccione sub - rubro"),"-",HLOOKUP((CONCATENATE($E$9,$I$17)),'IMESI Vol Físico - Series mensu'!$C$4:$FZ$510,419,0)),"-")</f>
        <v>-</v>
      </c>
      <c r="J468" s="75"/>
      <c r="K468" s="74" t="str">
        <f>IF($E$11="",IF(OR($E$7="seleccione rubro",$E$9="seleccione sub - rubro"),"-",HLOOKUP((CONCATENATE($E$9,$K$17)),'IMESI Vol Físico - Series mensu'!$C$4:$FZ$510,419,0)),"-")</f>
        <v>-</v>
      </c>
    </row>
    <row r="469" spans="4:11" x14ac:dyDescent="0.2">
      <c r="D469" s="81">
        <f t="shared" si="39"/>
        <v>2021</v>
      </c>
      <c r="E469" s="73">
        <f>+'IMESI Vol Físico - Series mensu'!A423</f>
        <v>44440</v>
      </c>
      <c r="G469" s="74" t="str">
        <f>IF($E$11="",IF(OR($E$7="seleccione rubro",$E$9="seleccione sub - rubro"),"-",HLOOKUP((CONCATENATE($E$9,$G$17)),'IMESI Vol Físico - Series mensu'!$C$4:$FZ$511,420,0)),"-")</f>
        <v>-</v>
      </c>
      <c r="H469" s="75"/>
      <c r="I469" s="74" t="str">
        <f>IF($E$11="",IF(OR($E$7="seleccione rubro",$E$9="seleccione sub - rubro"),"-",HLOOKUP((CONCATENATE($E$9,$I$17)),'IMESI Vol Físico - Series mensu'!$C$4:$FZ$511,420,0)),"-")</f>
        <v>-</v>
      </c>
      <c r="J469" s="75"/>
      <c r="K469" s="74" t="str">
        <f>IF($E$11="",IF(OR($E$7="seleccione rubro",$E$9="seleccione sub - rubro"),"-",HLOOKUP((CONCATENATE($E$9,$K$17)),'IMESI Vol Físico - Series mensu'!$C$4:$FZ$511,420,0)),"-")</f>
        <v>-</v>
      </c>
    </row>
    <row r="470" spans="4:11" x14ac:dyDescent="0.2">
      <c r="D470" s="81">
        <f t="shared" si="39"/>
        <v>2021</v>
      </c>
      <c r="E470" s="73">
        <f>+'IMESI Vol Físico - Series mensu'!A424</f>
        <v>44470</v>
      </c>
      <c r="G470" s="74" t="str">
        <f>IF($E$11="",IF(OR($E$7="seleccione rubro",$E$9="seleccione sub - rubro"),"-",HLOOKUP((CONCATENATE($E$9,$G$17)),'IMESI Vol Físico - Series mensu'!$C$4:$FZ$512,421,0)),"-")</f>
        <v>-</v>
      </c>
      <c r="H470" s="75"/>
      <c r="I470" s="74" t="str">
        <f>IF($E$11="",IF(OR($E$7="seleccione rubro",$E$9="seleccione sub - rubro"),"-",HLOOKUP((CONCATENATE($E$9,$I$17)),'IMESI Vol Físico - Series mensu'!$C$4:$FZ$512,421,0)),"-")</f>
        <v>-</v>
      </c>
      <c r="J470" s="75"/>
      <c r="K470" s="74" t="str">
        <f>IF($E$11="",IF(OR($E$7="seleccione rubro",$E$9="seleccione sub - rubro"),"-",HLOOKUP((CONCATENATE($E$9,$K$17)),'IMESI Vol Físico - Series mensu'!$C$4:$FZ$512,421,0)),"-")</f>
        <v>-</v>
      </c>
    </row>
    <row r="471" spans="4:11" x14ac:dyDescent="0.2">
      <c r="D471" s="81">
        <f t="shared" si="39"/>
        <v>2021</v>
      </c>
      <c r="E471" s="73">
        <f>+'IMESI Vol Físico - Series mensu'!A425</f>
        <v>44501</v>
      </c>
      <c r="G471" s="74" t="str">
        <f>IF($E$11="",IF(OR($E$7="seleccione rubro",$E$9="seleccione sub - rubro"),"-",HLOOKUP((CONCATENATE($E$9,$G$17)),'IMESI Vol Físico - Series mensu'!$C$4:$FZ$513,422,0)),"-")</f>
        <v>-</v>
      </c>
      <c r="H471" s="75"/>
      <c r="I471" s="74" t="str">
        <f>IF($E$11="",IF(OR($E$7="seleccione rubro",$E$9="seleccione sub - rubro"),"-",HLOOKUP((CONCATENATE($E$9,$I$17)),'IMESI Vol Físico - Series mensu'!$C$4:$FZ$513,422,0)),"-")</f>
        <v>-</v>
      </c>
      <c r="J471" s="75"/>
      <c r="K471" s="74" t="str">
        <f>IF($E$11="",IF(OR($E$7="seleccione rubro",$E$9="seleccione sub - rubro"),"-",HLOOKUP((CONCATENATE($E$9,$K$17)),'IMESI Vol Físico - Series mensu'!$C$4:$FZ$513,422,0)),"-")</f>
        <v>-</v>
      </c>
    </row>
    <row r="472" spans="4:11" x14ac:dyDescent="0.2">
      <c r="D472" s="81">
        <f t="shared" si="39"/>
        <v>2021</v>
      </c>
      <c r="E472" s="73">
        <f>+'IMESI Vol Físico - Series mensu'!A426</f>
        <v>44531</v>
      </c>
      <c r="G472" s="74" t="str">
        <f>IF($E$11="",IF(OR($E$7="seleccione rubro",$E$9="seleccione sub - rubro"),"-",HLOOKUP((CONCATENATE($E$9,$G$17)),'IMESI Vol Físico - Series mensu'!$C$4:$FZ$514,423,0)),"-")</f>
        <v>-</v>
      </c>
      <c r="H472" s="75"/>
      <c r="I472" s="74" t="str">
        <f>IF($E$11="",IF(OR($E$7="seleccione rubro",$E$9="seleccione sub - rubro"),"-",HLOOKUP((CONCATENATE($E$9,$I$17)),'IMESI Vol Físico - Series mensu'!$C$4:$FZ$514,423,0)),"-")</f>
        <v>-</v>
      </c>
      <c r="J472" s="75"/>
      <c r="K472" s="74" t="str">
        <f>IF($E$11="",IF(OR($E$7="seleccione rubro",$E$9="seleccione sub - rubro"),"-",HLOOKUP((CONCATENATE($E$9,$K$17)),'IMESI Vol Físico - Series mensu'!$C$4:$FZ$514,423,0)),"-")</f>
        <v>-</v>
      </c>
    </row>
    <row r="473" spans="4:11" x14ac:dyDescent="0.2">
      <c r="D473" s="69">
        <f>+D474</f>
        <v>2022</v>
      </c>
    </row>
    <row r="474" spans="4:11" x14ac:dyDescent="0.2">
      <c r="D474" s="81">
        <f t="shared" si="39"/>
        <v>2022</v>
      </c>
      <c r="E474" s="73">
        <f>+'IMESI Vol Físico - Series mensu'!A427</f>
        <v>44562</v>
      </c>
      <c r="G474" s="74" t="str">
        <f>IF($E$11="",IF(OR($E$7="seleccione rubro",$E$9="seleccione sub - rubro"),"-",HLOOKUP((CONCATENATE($E$9,$G$17)),'IMESI Vol Físico - Series mensu'!$C$4:$FZ$515,424,0)),"-")</f>
        <v>-</v>
      </c>
      <c r="H474" s="75"/>
      <c r="I474" s="74" t="str">
        <f>IF($E$11="",IF(OR($E$7="seleccione rubro",$E$9="seleccione sub - rubro"),"-",HLOOKUP((CONCATENATE($E$9,$I$17)),'IMESI Vol Físico - Series mensu'!$C$4:$FZ$516,424,0)),"-")</f>
        <v>-</v>
      </c>
      <c r="J474" s="75"/>
      <c r="K474" s="74" t="str">
        <f>IF($E$11="",IF(OR($E$7="seleccione rubro",$E$9="seleccione sub - rubro"),"-",HLOOKUP((CONCATENATE($E$9,$K$17)),'IMESI Vol Físico - Series mensu'!$C$4:$FZ$516,424,0)),"-")</f>
        <v>-</v>
      </c>
    </row>
    <row r="475" spans="4:11" x14ac:dyDescent="0.2">
      <c r="D475" s="81">
        <f t="shared" ref="D475:D485" si="40">+YEAR(E475)</f>
        <v>2022</v>
      </c>
      <c r="E475" s="73">
        <f>+'IMESI Vol Físico - Series mensu'!A428</f>
        <v>44593</v>
      </c>
      <c r="G475" s="74" t="str">
        <f>IF($E$11="",IF(OR($E$7="seleccione rubro",$E$9="seleccione sub - rubro"),"-",HLOOKUP((CONCATENATE($E$9,$G$17)),'IMESI Vol Físico - Series mensu'!$C$4:$FZ$516,425,0)),"-")</f>
        <v>-</v>
      </c>
      <c r="H475" s="75"/>
      <c r="I475" s="74" t="str">
        <f>IF($E$11="",IF(OR($E$7="seleccione rubro",$E$9="seleccione sub - rubro"),"-",HLOOKUP((CONCATENATE($E$9,$I$17)),'IMESI Vol Físico - Series mensu'!$C$4:$FZ$517,425,0)),"-")</f>
        <v>-</v>
      </c>
      <c r="J475" s="75"/>
      <c r="K475" s="74" t="str">
        <f>IF($E$11="",IF(OR($E$7="seleccione rubro",$E$9="seleccione sub - rubro"),"-",HLOOKUP((CONCATENATE($E$9,$K$17)),'IMESI Vol Físico - Series mensu'!$C$4:$FZ$517,425,0)),"-")</f>
        <v>-</v>
      </c>
    </row>
    <row r="476" spans="4:11" x14ac:dyDescent="0.2">
      <c r="D476" s="81">
        <f t="shared" si="40"/>
        <v>2022</v>
      </c>
      <c r="E476" s="73">
        <f>+'IMESI Vol Físico - Series mensu'!A429</f>
        <v>44621</v>
      </c>
      <c r="G476" s="74" t="str">
        <f>IF($E$11="",IF(OR($E$7="seleccione rubro",$E$9="seleccione sub - rubro"),"-",HLOOKUP((CONCATENATE($E$9,$G$17)),'IMESI Vol Físico - Series mensu'!$C$4:$FZ$517,426,0)),"-")</f>
        <v>-</v>
      </c>
      <c r="H476" s="75"/>
      <c r="I476" s="74" t="str">
        <f>IF($E$11="",IF(OR($E$7="seleccione rubro",$E$9="seleccione sub - rubro"),"-",HLOOKUP((CONCATENATE($E$9,$I$17)),'IMESI Vol Físico - Series mensu'!$C$4:$FZ$518,426,0)),"-")</f>
        <v>-</v>
      </c>
      <c r="J476" s="75"/>
      <c r="K476" s="74" t="str">
        <f>IF($E$11="",IF(OR($E$7="seleccione rubro",$E$9="seleccione sub - rubro"),"-",HLOOKUP((CONCATENATE($E$9,$K$17)),'IMESI Vol Físico - Series mensu'!$C$4:$FZ$518,426,0)),"-")</f>
        <v>-</v>
      </c>
    </row>
    <row r="477" spans="4:11" x14ac:dyDescent="0.2">
      <c r="D477" s="81">
        <f t="shared" si="40"/>
        <v>2022</v>
      </c>
      <c r="E477" s="73">
        <f>+'IMESI Vol Físico - Series mensu'!A430</f>
        <v>44652</v>
      </c>
      <c r="G477" s="74" t="str">
        <f>IF($E$11="",IF(OR($E$7="seleccione rubro",$E$9="seleccione sub - rubro"),"-",HLOOKUP((CONCATENATE($E$9,$G$17)),'IMESI Vol Físico - Series mensu'!$C$4:$FZ$518,427,0)),"-")</f>
        <v>-</v>
      </c>
      <c r="H477" s="75"/>
      <c r="I477" s="74" t="str">
        <f>IF($E$11="",IF(OR($E$7="seleccione rubro",$E$9="seleccione sub - rubro"),"-",HLOOKUP((CONCATENATE($E$9,$I$17)),'IMESI Vol Físico - Series mensu'!$C$4:$FZ$519,427,0)),"-")</f>
        <v>-</v>
      </c>
      <c r="J477" s="75"/>
      <c r="K477" s="74" t="str">
        <f>IF($E$11="",IF(OR($E$7="seleccione rubro",$E$9="seleccione sub - rubro"),"-",HLOOKUP((CONCATENATE($E$9,$K$17)),'IMESI Vol Físico - Series mensu'!$C$4:$FZ$519,427,0)),"-")</f>
        <v>-</v>
      </c>
    </row>
    <row r="478" spans="4:11" x14ac:dyDescent="0.2">
      <c r="D478" s="81">
        <f t="shared" si="40"/>
        <v>2022</v>
      </c>
      <c r="E478" s="73">
        <f>+'IMESI Vol Físico - Series mensu'!A431</f>
        <v>44682</v>
      </c>
      <c r="G478" s="74" t="str">
        <f>IF($E$11="",IF(OR($E$7="seleccione rubro",$E$9="seleccione sub - rubro"),"-",HLOOKUP((CONCATENATE($E$9,$G$17)),'IMESI Vol Físico - Series mensu'!$C$4:$FZ$519,428,0)),"-")</f>
        <v>-</v>
      </c>
      <c r="H478" s="75"/>
      <c r="I478" s="74" t="str">
        <f>IF($E$11="",IF(OR($E$7="seleccione rubro",$E$9="seleccione sub - rubro"),"-",HLOOKUP((CONCATENATE($E$9,$I$17)),'IMESI Vol Físico - Series mensu'!$C$4:$FZ$520,428,0)),"-")</f>
        <v>-</v>
      </c>
      <c r="J478" s="75"/>
      <c r="K478" s="74" t="str">
        <f>IF($E$11="",IF(OR($E$7="seleccione rubro",$E$9="seleccione sub - rubro"),"-",HLOOKUP((CONCATENATE($E$9,$K$17)),'IMESI Vol Físico - Series mensu'!$C$4:$FZ$520,428,0)),"-")</f>
        <v>-</v>
      </c>
    </row>
    <row r="479" spans="4:11" x14ac:dyDescent="0.2">
      <c r="D479" s="81">
        <f t="shared" si="40"/>
        <v>2022</v>
      </c>
      <c r="E479" s="73">
        <f>+'IMESI Vol Físico - Series mensu'!A432</f>
        <v>44713</v>
      </c>
      <c r="G479" s="74" t="str">
        <f>IF($E$11="",IF(OR($E$7="seleccione rubro",$E$9="seleccione sub - rubro"),"-",HLOOKUP((CONCATENATE($E$9,$G$17)),'IMESI Vol Físico - Series mensu'!$C$4:$FZ$520,429,0)),"-")</f>
        <v>-</v>
      </c>
      <c r="H479" s="75"/>
      <c r="I479" s="74" t="str">
        <f>IF($E$11="",IF(OR($E$7="seleccione rubro",$E$9="seleccione sub - rubro"),"-",HLOOKUP((CONCATENATE($E$9,$I$17)),'IMESI Vol Físico - Series mensu'!$C$4:$FZ$521,429,0)),"-")</f>
        <v>-</v>
      </c>
      <c r="J479" s="75"/>
      <c r="K479" s="74" t="str">
        <f>IF($E$11="",IF(OR($E$7="seleccione rubro",$E$9="seleccione sub - rubro"),"-",HLOOKUP((CONCATENATE($E$9,$K$17)),'IMESI Vol Físico - Series mensu'!$C$4:$FZ$521,429,0)),"-")</f>
        <v>-</v>
      </c>
    </row>
    <row r="480" spans="4:11" x14ac:dyDescent="0.2">
      <c r="D480" s="81">
        <f t="shared" si="40"/>
        <v>2022</v>
      </c>
      <c r="E480" s="73">
        <f>+'IMESI Vol Físico - Series mensu'!A433</f>
        <v>44743</v>
      </c>
      <c r="G480" s="74" t="str">
        <f>IF($E$11="",IF(OR($E$7="seleccione rubro",$E$9="seleccione sub - rubro"),"-",HLOOKUP((CONCATENATE($E$9,$G$17)),'IMESI Vol Físico - Series mensu'!$C$4:$FZ$521,430,0)),"-")</f>
        <v>-</v>
      </c>
      <c r="H480" s="75"/>
      <c r="I480" s="74" t="str">
        <f>IF($E$11="",IF(OR($E$7="seleccione rubro",$E$9="seleccione sub - rubro"),"-",HLOOKUP((CONCATENATE($E$9,$I$17)),'IMESI Vol Físico - Series mensu'!$C$4:$FZ$522,430,0)),"-")</f>
        <v>-</v>
      </c>
      <c r="J480" s="75"/>
      <c r="K480" s="74" t="str">
        <f>IF($E$11="",IF(OR($E$7="seleccione rubro",$E$9="seleccione sub - rubro"),"-",HLOOKUP((CONCATENATE($E$9,$K$17)),'IMESI Vol Físico - Series mensu'!$C$4:$FZ$522,430,0)),"-")</f>
        <v>-</v>
      </c>
    </row>
    <row r="481" spans="4:11" x14ac:dyDescent="0.2">
      <c r="D481" s="81">
        <f t="shared" si="40"/>
        <v>2022</v>
      </c>
      <c r="E481" s="73">
        <f>+'IMESI Vol Físico - Series mensu'!A434</f>
        <v>44774</v>
      </c>
      <c r="G481" s="74" t="str">
        <f>IF($E$11="",IF(OR($E$7="seleccione rubro",$E$9="seleccione sub - rubro"),"-",HLOOKUP((CONCATENATE($E$9,$G$17)),'IMESI Vol Físico - Series mensu'!$C$4:$FZ$522,431,0)),"-")</f>
        <v>-</v>
      </c>
      <c r="H481" s="75"/>
      <c r="I481" s="74" t="str">
        <f>IF($E$11="",IF(OR($E$7="seleccione rubro",$E$9="seleccione sub - rubro"),"-",HLOOKUP((CONCATENATE($E$9,$I$17)),'IMESI Vol Físico - Series mensu'!$C$4:$FZ$523,431,0)),"-")</f>
        <v>-</v>
      </c>
      <c r="J481" s="75"/>
      <c r="K481" s="74" t="str">
        <f>IF($E$11="",IF(OR($E$7="seleccione rubro",$E$9="seleccione sub - rubro"),"-",HLOOKUP((CONCATENATE($E$9,$K$17)),'IMESI Vol Físico - Series mensu'!$C$4:$FZ$523,431,0)),"-")</f>
        <v>-</v>
      </c>
    </row>
    <row r="482" spans="4:11" x14ac:dyDescent="0.2">
      <c r="D482" s="81">
        <f t="shared" si="40"/>
        <v>2022</v>
      </c>
      <c r="E482" s="73">
        <f>+'IMESI Vol Físico - Series mensu'!A435</f>
        <v>44805</v>
      </c>
      <c r="G482" s="74" t="str">
        <f>IF($E$11="",IF(OR($E$7="seleccione rubro",$E$9="seleccione sub - rubro"),"-",HLOOKUP((CONCATENATE($E$9,$G$17)),'IMESI Vol Físico - Series mensu'!$C$4:$FZ$523,432,0)),"-")</f>
        <v>-</v>
      </c>
      <c r="H482" s="75"/>
      <c r="I482" s="74" t="str">
        <f>IF($E$11="",IF(OR($E$7="seleccione rubro",$E$9="seleccione sub - rubro"),"-",HLOOKUP((CONCATENATE($E$9,$I$17)),'IMESI Vol Físico - Series mensu'!$C$4:$FZ$524,432,0)),"-")</f>
        <v>-</v>
      </c>
      <c r="J482" s="75"/>
      <c r="K482" s="74" t="str">
        <f>IF($E$11="",IF(OR($E$7="seleccione rubro",$E$9="seleccione sub - rubro"),"-",HLOOKUP((CONCATENATE($E$9,$K$17)),'IMESI Vol Físico - Series mensu'!$C$4:$FZ$524,432,0)),"-")</f>
        <v>-</v>
      </c>
    </row>
    <row r="483" spans="4:11" x14ac:dyDescent="0.2">
      <c r="D483" s="81">
        <f t="shared" si="40"/>
        <v>2022</v>
      </c>
      <c r="E483" s="73">
        <f>+'IMESI Vol Físico - Series mensu'!A436</f>
        <v>44835</v>
      </c>
      <c r="G483" s="74" t="str">
        <f>IF($E$11="",IF(OR($E$7="seleccione rubro",$E$9="seleccione sub - rubro"),"-",HLOOKUP((CONCATENATE($E$9,$G$17)),'IMESI Vol Físico - Series mensu'!$C$4:$FZ$524,433,0)),"-")</f>
        <v>-</v>
      </c>
      <c r="H483" s="75"/>
      <c r="I483" s="74" t="str">
        <f>IF($E$11="",IF(OR($E$7="seleccione rubro",$E$9="seleccione sub - rubro"),"-",HLOOKUP((CONCATENATE($E$9,$I$17)),'IMESI Vol Físico - Series mensu'!$C$4:$FZ$525,433,0)),"-")</f>
        <v>-</v>
      </c>
      <c r="J483" s="75"/>
      <c r="K483" s="74" t="str">
        <f>IF($E$11="",IF(OR($E$7="seleccione rubro",$E$9="seleccione sub - rubro"),"-",HLOOKUP((CONCATENATE($E$9,$K$17)),'IMESI Vol Físico - Series mensu'!$C$4:$FZ$525,433,0)),"-")</f>
        <v>-</v>
      </c>
    </row>
    <row r="484" spans="4:11" x14ac:dyDescent="0.2">
      <c r="D484" s="81">
        <f t="shared" si="40"/>
        <v>2022</v>
      </c>
      <c r="E484" s="73">
        <f>+'IMESI Vol Físico - Series mensu'!A437</f>
        <v>44866</v>
      </c>
      <c r="G484" s="74" t="str">
        <f>IF($E$11="",IF(OR($E$7="seleccione rubro",$E$9="seleccione sub - rubro"),"-",HLOOKUP((CONCATENATE($E$9,$G$17)),'IMESI Vol Físico - Series mensu'!$C$4:$FZ$525,434,0)),"-")</f>
        <v>-</v>
      </c>
      <c r="H484" s="75"/>
      <c r="I484" s="74" t="str">
        <f>IF($E$11="",IF(OR($E$7="seleccione rubro",$E$9="seleccione sub - rubro"),"-",HLOOKUP((CONCATENATE($E$9,$I$17)),'IMESI Vol Físico - Series mensu'!$C$4:$FZ$526,434,0)),"-")</f>
        <v>-</v>
      </c>
      <c r="J484" s="75"/>
      <c r="K484" s="74" t="str">
        <f>IF($E$11="",IF(OR($E$7="seleccione rubro",$E$9="seleccione sub - rubro"),"-",HLOOKUP((CONCATENATE($E$9,$K$17)),'IMESI Vol Físico - Series mensu'!$C$4:$FZ$526,434,0)),"-")</f>
        <v>-</v>
      </c>
    </row>
    <row r="485" spans="4:11" x14ac:dyDescent="0.2">
      <c r="D485" s="81">
        <f t="shared" si="40"/>
        <v>2022</v>
      </c>
      <c r="E485" s="73">
        <f>+'IMESI Vol Físico - Series mensu'!A438</f>
        <v>44896</v>
      </c>
      <c r="G485" s="74" t="str">
        <f>IF($E$11="",IF(OR($E$7="seleccione rubro",$E$9="seleccione sub - rubro"),"-",HLOOKUP((CONCATENATE($E$9,$G$17)),'IMESI Vol Físico - Series mensu'!$C$4:$FZ$526,435,0)),"-")</f>
        <v>-</v>
      </c>
      <c r="H485" s="75"/>
      <c r="I485" s="74" t="str">
        <f>IF($E$11="",IF(OR($E$7="seleccione rubro",$E$9="seleccione sub - rubro"),"-",HLOOKUP((CONCATENATE($E$9,$I$17)),'IMESI Vol Físico - Series mensu'!$C$4:$FZ$527,435,0)),"-")</f>
        <v>-</v>
      </c>
      <c r="J485" s="75"/>
      <c r="K485" s="74" t="str">
        <f>IF($E$11="",IF(OR($E$7="seleccione rubro",$E$9="seleccione sub - rubro"),"-",HLOOKUP((CONCATENATE($E$9,$K$17)),'IMESI Vol Físico - Series mensu'!$C$4:$FZ$527,435,0)),"-")</f>
        <v>-</v>
      </c>
    </row>
    <row r="486" spans="4:11" x14ac:dyDescent="0.2">
      <c r="D486" s="69">
        <f>+D487</f>
        <v>2023</v>
      </c>
      <c r="G486" s="74"/>
      <c r="I486" s="74"/>
      <c r="K486" s="74"/>
    </row>
    <row r="487" spans="4:11" x14ac:dyDescent="0.2">
      <c r="D487" s="81">
        <f>+YEAR(E487)</f>
        <v>2023</v>
      </c>
      <c r="E487" s="73">
        <f>+'IMESI Vol Físico - Series mensu'!A439</f>
        <v>44927</v>
      </c>
      <c r="G487" s="74" t="str">
        <f>IF($E$11="",IF(OR($E$7="seleccione rubro",$E$9="seleccione sub - rubro"),"-",HLOOKUP((CONCATENATE($E$9,$G$17)),'IMESI Vol Físico - Series mensu'!$C$4:$FZ$527,436,0)),"-")</f>
        <v>-</v>
      </c>
      <c r="I487" s="74" t="str">
        <f>IF($E$11="",IF(OR($E$7="seleccione rubro",$E$9="seleccione sub - rubro"),"-",HLOOKUP((CONCATENATE($E$9,$I$17)),'IMESI Vol Físico - Series mensu'!$C$4:$FZ$529,436,0)),"-")</f>
        <v>-</v>
      </c>
      <c r="K487" s="74" t="str">
        <f>IF($E$11="",IF(OR($E$7="seleccione rubro",$E$9="seleccione sub - rubro"),"-",HLOOKUP((CONCATENATE($E$9,$K$17)),'IMESI Vol Físico - Series mensu'!$C$4:$FZ$529,436,0)),"-")</f>
        <v>-</v>
      </c>
    </row>
    <row r="488" spans="4:11" x14ac:dyDescent="0.2">
      <c r="D488" s="81">
        <f t="shared" ref="D488:D503" si="41">+YEAR(E488)</f>
        <v>2023</v>
      </c>
      <c r="E488" s="73">
        <f>+'IMESI Vol Físico - Series mensu'!A440</f>
        <v>44958</v>
      </c>
      <c r="G488" s="74" t="str">
        <f>IF($E$11="",IF(OR($E$7="seleccione rubro",$E$9="seleccione sub - rubro"),"-",HLOOKUP((CONCATENATE($E$9,$G$17)),'IMESI Vol Físico - Series mensu'!$C$4:$FZ$528,437,0)),"-")</f>
        <v>-</v>
      </c>
      <c r="I488" s="74" t="str">
        <f>IF($E$11="",IF(OR($E$7="seleccione rubro",$E$9="seleccione sub - rubro"),"-",HLOOKUP((CONCATENATE($E$9,$I$17)),'IMESI Vol Físico - Series mensu'!$C$4:$FZ$530,437,0)),"-")</f>
        <v>-</v>
      </c>
      <c r="K488" s="74" t="str">
        <f>IF($E$11="",IF(OR($E$7="seleccione rubro",$E$9="seleccione sub - rubro"),"-",HLOOKUP((CONCATENATE($E$9,$K$17)),'IMESI Vol Físico - Series mensu'!$C$4:$FZ$530,437,0)),"-")</f>
        <v>-</v>
      </c>
    </row>
    <row r="489" spans="4:11" x14ac:dyDescent="0.2">
      <c r="D489" s="81">
        <f t="shared" si="41"/>
        <v>2023</v>
      </c>
      <c r="E489" s="73">
        <f>+'IMESI Vol Físico - Series mensu'!A441</f>
        <v>44986</v>
      </c>
      <c r="G489" s="74" t="str">
        <f>IF($E$11="",IF(OR($E$7="seleccione rubro",$E$9="seleccione sub - rubro"),"-",HLOOKUP((CONCATENATE($E$9,$G$17)),'IMESI Vol Físico - Series mensu'!$C$4:$FZ$529,438,0)),"-")</f>
        <v>-</v>
      </c>
      <c r="I489" s="74" t="str">
        <f>IF($E$11="",IF(OR($E$7="seleccione rubro",$E$9="seleccione sub - rubro"),"-",HLOOKUP((CONCATENATE($E$9,$I$17)),'IMESI Vol Físico - Series mensu'!$C$4:$FZ$531,438,0)),"-")</f>
        <v>-</v>
      </c>
      <c r="K489" s="74" t="str">
        <f>IF($E$11="",IF(OR($E$7="seleccione rubro",$E$9="seleccione sub - rubro"),"-",HLOOKUP((CONCATENATE($E$9,$K$17)),'IMESI Vol Físico - Series mensu'!$C$4:$FZ$531,438,0)),"-")</f>
        <v>-</v>
      </c>
    </row>
    <row r="490" spans="4:11" x14ac:dyDescent="0.2">
      <c r="D490" s="81">
        <f t="shared" si="41"/>
        <v>2023</v>
      </c>
      <c r="E490" s="73">
        <f>+'IMESI Vol Físico - Series mensu'!A442</f>
        <v>45017</v>
      </c>
      <c r="G490" s="74" t="str">
        <f>IF($E$11="",IF(OR($E$7="seleccione rubro",$E$9="seleccione sub - rubro"),"-",HLOOKUP((CONCATENATE($E$9,$G$17)),'IMESI Vol Físico - Series mensu'!$C$4:$FZ$530,439,0)),"-")</f>
        <v>-</v>
      </c>
      <c r="I490" s="74" t="str">
        <f>IF($E$11="",IF(OR($E$7="seleccione rubro",$E$9="seleccione sub - rubro"),"-",HLOOKUP((CONCATENATE($E$9,$I$17)),'IMESI Vol Físico - Series mensu'!$C$4:$FZ$532,439,0)),"-")</f>
        <v>-</v>
      </c>
      <c r="K490" s="74" t="str">
        <f>IF($E$11="",IF(OR($E$7="seleccione rubro",$E$9="seleccione sub - rubro"),"-",HLOOKUP((CONCATENATE($E$9,$K$17)),'IMESI Vol Físico - Series mensu'!$C$4:$FZ$532,439,0)),"-")</f>
        <v>-</v>
      </c>
    </row>
    <row r="491" spans="4:11" x14ac:dyDescent="0.2">
      <c r="D491" s="81">
        <f t="shared" si="41"/>
        <v>2023</v>
      </c>
      <c r="E491" s="73">
        <f>+'IMESI Vol Físico - Series mensu'!A443</f>
        <v>45047</v>
      </c>
      <c r="G491" s="74" t="str">
        <f>IF($E$11="",IF(OR($E$7="seleccione rubro",$E$9="seleccione sub - rubro"),"-",HLOOKUP((CONCATENATE($E$9,$G$17)),'IMESI Vol Físico - Series mensu'!$C$4:$FZ$531,440,0)),"-")</f>
        <v>-</v>
      </c>
      <c r="I491" s="74" t="str">
        <f>IF($E$11="",IF(OR($E$7="seleccione rubro",$E$9="seleccione sub - rubro"),"-",HLOOKUP((CONCATENATE($E$9,$I$17)),'IMESI Vol Físico - Series mensu'!$C$4:$FZ$533,440,0)),"-")</f>
        <v>-</v>
      </c>
      <c r="K491" s="74" t="str">
        <f>IF($E$11="",IF(OR($E$7="seleccione rubro",$E$9="seleccione sub - rubro"),"-",HLOOKUP((CONCATENATE($E$9,$K$17)),'IMESI Vol Físico - Series mensu'!$C$4:$FZ$533,440,0)),"-")</f>
        <v>-</v>
      </c>
    </row>
    <row r="492" spans="4:11" x14ac:dyDescent="0.2">
      <c r="D492" s="81">
        <f t="shared" si="41"/>
        <v>2023</v>
      </c>
      <c r="E492" s="73">
        <f>+'IMESI Vol Físico - Series mensu'!A444</f>
        <v>45078</v>
      </c>
      <c r="G492" s="74" t="str">
        <f>IF($E$11="",IF(OR($E$7="seleccione rubro",$E$9="seleccione sub - rubro"),"-",HLOOKUP((CONCATENATE($E$9,$G$17)),'IMESI Vol Físico - Series mensu'!$C$4:$FZ$532,441,0)),"-")</f>
        <v>-</v>
      </c>
      <c r="I492" s="74" t="str">
        <f>IF($E$11="",IF(OR($E$7="seleccione rubro",$E$9="seleccione sub - rubro"),"-",HLOOKUP((CONCATENATE($E$9,$I$17)),'IMESI Vol Físico - Series mensu'!$C$4:$FZ$534,441,0)),"-")</f>
        <v>-</v>
      </c>
      <c r="K492" s="74" t="str">
        <f>IF($E$11="",IF(OR($E$7="seleccione rubro",$E$9="seleccione sub - rubro"),"-",HLOOKUP((CONCATENATE($E$9,$K$17)),'IMESI Vol Físico - Series mensu'!$C$4:$FZ$534,441,0)),"-")</f>
        <v>-</v>
      </c>
    </row>
    <row r="493" spans="4:11" x14ac:dyDescent="0.2">
      <c r="D493" s="81">
        <f t="shared" si="41"/>
        <v>2023</v>
      </c>
      <c r="E493" s="73">
        <f>+'IMESI Vol Físico - Series mensu'!A445</f>
        <v>45108</v>
      </c>
      <c r="G493" s="74" t="str">
        <f>IF($E$11="",IF(OR($E$7="seleccione rubro",$E$9="seleccione sub - rubro"),"-",HLOOKUP((CONCATENATE($E$9,$G$17)),'IMESI Vol Físico - Series mensu'!$C$4:$FZ$533,442,0)),"-")</f>
        <v>-</v>
      </c>
      <c r="I493" s="74" t="str">
        <f>IF($E$11="",IF(OR($E$7="seleccione rubro",$E$9="seleccione sub - rubro"),"-",HLOOKUP((CONCATENATE($E$9,$I$17)),'IMESI Vol Físico - Series mensu'!$C$4:$FZ$535,442,0)),"-")</f>
        <v>-</v>
      </c>
      <c r="K493" s="74" t="str">
        <f>IF($E$11="",IF(OR($E$7="seleccione rubro",$E$9="seleccione sub - rubro"),"-",HLOOKUP((CONCATENATE($E$9,$K$17)),'IMESI Vol Físico - Series mensu'!$C$4:$FZ$535,442,0)),"-")</f>
        <v>-</v>
      </c>
    </row>
    <row r="494" spans="4:11" x14ac:dyDescent="0.2">
      <c r="D494" s="81">
        <f t="shared" si="41"/>
        <v>2023</v>
      </c>
      <c r="E494" s="73">
        <f>+'IMESI Vol Físico - Series mensu'!A446</f>
        <v>45139</v>
      </c>
      <c r="G494" s="74" t="str">
        <f>IF($E$11="",IF(OR($E$7="seleccione rubro",$E$9="seleccione sub - rubro"),"-",HLOOKUP((CONCATENATE($E$9,$G$17)),'IMESI Vol Físico - Series mensu'!$C$4:$FZ$534,443,0)),"-")</f>
        <v>-</v>
      </c>
      <c r="I494" s="74" t="str">
        <f>IF($E$11="",IF(OR($E$7="seleccione rubro",$E$9="seleccione sub - rubro"),"-",HLOOKUP((CONCATENATE($E$9,$I$17)),'IMESI Vol Físico - Series mensu'!$C$4:$FZ$536,443,0)),"-")</f>
        <v>-</v>
      </c>
      <c r="K494" s="74" t="str">
        <f>IF($E$11="",IF(OR($E$7="seleccione rubro",$E$9="seleccione sub - rubro"),"-",HLOOKUP((CONCATENATE($E$9,$K$17)),'IMESI Vol Físico - Series mensu'!$C$4:$FZ$536,443,0)),"-")</f>
        <v>-</v>
      </c>
    </row>
    <row r="495" spans="4:11" x14ac:dyDescent="0.2">
      <c r="D495" s="81">
        <f t="shared" si="41"/>
        <v>2023</v>
      </c>
      <c r="E495" s="73">
        <f>+'IMESI Vol Físico - Series mensu'!A447</f>
        <v>45170</v>
      </c>
      <c r="G495" s="74" t="str">
        <f>IF($E$11="",IF(OR($E$7="seleccione rubro",$E$9="seleccione sub - rubro"),"-",HLOOKUP((CONCATENATE($E$9,$G$17)),'IMESI Vol Físico - Series mensu'!$C$4:$FZ$535,444,0)),"-")</f>
        <v>-</v>
      </c>
      <c r="I495" s="74" t="str">
        <f>IF($E$11="",IF(OR($E$7="seleccione rubro",$E$9="seleccione sub - rubro"),"-",HLOOKUP((CONCATENATE($E$9,$I$17)),'IMESI Vol Físico - Series mensu'!$C$4:$FZ$537,444,0)),"-")</f>
        <v>-</v>
      </c>
      <c r="K495" s="74" t="str">
        <f>IF($E$11="",IF(OR($E$7="seleccione rubro",$E$9="seleccione sub - rubro"),"-",HLOOKUP((CONCATENATE($E$9,$K$17)),'IMESI Vol Físico - Series mensu'!$C$4:$FZ$537,444,0)),"-")</f>
        <v>-</v>
      </c>
    </row>
    <row r="496" spans="4:11" x14ac:dyDescent="0.2">
      <c r="D496" s="81">
        <f t="shared" si="41"/>
        <v>2023</v>
      </c>
      <c r="E496" s="73">
        <f>+'IMESI Vol Físico - Series mensu'!A448</f>
        <v>45200</v>
      </c>
      <c r="G496" s="74" t="str">
        <f>IF($E$11="",IF(OR($E$7="seleccione rubro",$E$9="seleccione sub - rubro"),"-",HLOOKUP((CONCATENATE($E$9,$G$17)),'IMESI Vol Físico - Series mensu'!$C$4:$FZ$536,445,0)),"-")</f>
        <v>-</v>
      </c>
      <c r="I496" s="74" t="str">
        <f>IF($E$11="",IF(OR($E$7="seleccione rubro",$E$9="seleccione sub - rubro"),"-",HLOOKUP((CONCATENATE($E$9,$I$17)),'IMESI Vol Físico - Series mensu'!$C$4:$FZ$538,445,0)),"-")</f>
        <v>-</v>
      </c>
      <c r="K496" s="74" t="str">
        <f>IF($E$11="",IF(OR($E$7="seleccione rubro",$E$9="seleccione sub - rubro"),"-",HLOOKUP((CONCATENATE($E$9,$K$17)),'IMESI Vol Físico - Series mensu'!$C$4:$FZ$538,445,0)),"-")</f>
        <v>-</v>
      </c>
    </row>
    <row r="497" spans="4:11" x14ac:dyDescent="0.2">
      <c r="D497" s="81">
        <f t="shared" si="41"/>
        <v>2023</v>
      </c>
      <c r="E497" s="73">
        <f>+'IMESI Vol Físico - Series mensu'!A449</f>
        <v>45231</v>
      </c>
      <c r="G497" s="74" t="str">
        <f>IF($E$11="",IF(OR($E$7="seleccione rubro",$E$9="seleccione sub - rubro"),"-",HLOOKUP((CONCATENATE($E$9,$G$17)),'IMESI Vol Físico - Series mensu'!$C$4:$FZ$537,446,0)),"-")</f>
        <v>-</v>
      </c>
      <c r="I497" s="74" t="str">
        <f>IF($E$11="",IF(OR($E$7="seleccione rubro",$E$9="seleccione sub - rubro"),"-",HLOOKUP((CONCATENATE($E$9,$I$17)),'IMESI Vol Físico - Series mensu'!$C$4:$FZ$539,446,0)),"-")</f>
        <v>-</v>
      </c>
      <c r="K497" s="74" t="str">
        <f>IF($E$11="",IF(OR($E$7="seleccione rubro",$E$9="seleccione sub - rubro"),"-",HLOOKUP((CONCATENATE($E$9,$K$17)),'IMESI Vol Físico - Series mensu'!$C$4:$FZ$539,446,0)),"-")</f>
        <v>-</v>
      </c>
    </row>
    <row r="498" spans="4:11" x14ac:dyDescent="0.2">
      <c r="D498" s="81">
        <f t="shared" si="41"/>
        <v>2023</v>
      </c>
      <c r="E498" s="73">
        <f>+'IMESI Vol Físico - Series mensu'!A450</f>
        <v>45261</v>
      </c>
      <c r="G498" s="74" t="str">
        <f>IF($E$11="",IF(OR($E$7="seleccione rubro",$E$9="seleccione sub - rubro"),"-",HLOOKUP((CONCATENATE($E$9,$G$17)),'IMESI Vol Físico - Series mensu'!$C$4:$FZ$538,447,0)),"-")</f>
        <v>-</v>
      </c>
      <c r="I498" s="74" t="str">
        <f>IF($E$11="",IF(OR($E$7="seleccione rubro",$E$9="seleccione sub - rubro"),"-",HLOOKUP((CONCATENATE($E$9,$I$17)),'IMESI Vol Físico - Series mensu'!$C$4:$FZ$540,447,0)),"-")</f>
        <v>-</v>
      </c>
      <c r="K498" s="74" t="str">
        <f>IF($E$11="",IF(OR($E$7="seleccione rubro",$E$9="seleccione sub - rubro"),"-",HLOOKUP((CONCATENATE($E$9,$K$17)),'IMESI Vol Físico - Series mensu'!$C$4:$FZ$540,447,0)),"-")</f>
        <v>-</v>
      </c>
    </row>
    <row r="499" spans="4:11" x14ac:dyDescent="0.2">
      <c r="D499" s="69">
        <f>+D500</f>
        <v>2024</v>
      </c>
    </row>
    <row r="500" spans="4:11" x14ac:dyDescent="0.2">
      <c r="D500" s="81">
        <f t="shared" si="41"/>
        <v>2024</v>
      </c>
      <c r="E500" s="73">
        <f>+'IMESI Vol Físico - Series mensu'!A451</f>
        <v>45292</v>
      </c>
      <c r="G500" s="74" t="str">
        <f>IF($E$11="",IF(OR($E$7="seleccione rubro",$E$9="seleccione sub - rubro"),"-",HLOOKUP((CONCATENATE($E$9,$G$17)),'IMESI Vol Físico - Series mensu'!$C$4:$FZ$539,448,0)),"-")</f>
        <v>-</v>
      </c>
      <c r="I500" s="74" t="str">
        <f>IF($E$11="",IF(OR($E$7="seleccione rubro",$E$9="seleccione sub - rubro"),"-",HLOOKUP((CONCATENATE($E$9,$I$17)),'IMESI Vol Físico - Series mensu'!$C$4:$FZ$541,448,0)),"-")</f>
        <v>-</v>
      </c>
      <c r="K500" s="74" t="str">
        <f>IF($E$11="",IF(OR($E$7="seleccione rubro",$E$9="seleccione sub - rubro"),"-",HLOOKUP((CONCATENATE($E$9,$K$17)),'IMESI Vol Físico - Series mensu'!$C$4:$FZ$541,448,0)),"-")</f>
        <v>-</v>
      </c>
    </row>
    <row r="501" spans="4:11" x14ac:dyDescent="0.2">
      <c r="D501" s="81">
        <f t="shared" si="41"/>
        <v>2024</v>
      </c>
      <c r="E501" s="73">
        <f>+'IMESI Vol Físico - Series mensu'!A452</f>
        <v>45323</v>
      </c>
      <c r="G501" s="74" t="str">
        <f>IF($E$11="",IF(OR($E$7="seleccione rubro",$E$9="seleccione sub - rubro"),"-",HLOOKUP((CONCATENATE($E$9,$G$17)),'IMESI Vol Físico - Series mensu'!$C$4:$FZ$540,449,0)),"-")</f>
        <v>-</v>
      </c>
      <c r="I501" s="74" t="str">
        <f>IF($E$11="",IF(OR($E$7="seleccione rubro",$E$9="seleccione sub - rubro"),"-",HLOOKUP((CONCATENATE($E$9,$I$17)),'IMESI Vol Físico - Series mensu'!$C$4:$FZ$542,449,0)),"-")</f>
        <v>-</v>
      </c>
      <c r="K501" s="74" t="str">
        <f>IF($E$11="",IF(OR($E$7="seleccione rubro",$E$9="seleccione sub - rubro"),"-",HLOOKUP((CONCATENATE($E$9,$K$17)),'IMESI Vol Físico - Series mensu'!$C$4:$FZ$542,449,0)),"-")</f>
        <v>-</v>
      </c>
    </row>
    <row r="502" spans="4:11" x14ac:dyDescent="0.2">
      <c r="D502" s="81">
        <f t="shared" si="41"/>
        <v>2024</v>
      </c>
      <c r="E502" s="73">
        <f>+'IMESI Vol Físico - Series mensu'!A453</f>
        <v>45352</v>
      </c>
      <c r="G502" s="74" t="str">
        <f>IF($E$11="",IF(OR($E$7="seleccione rubro",$E$9="seleccione sub - rubro"),"-",HLOOKUP((CONCATENATE($E$9,$G$17)),'IMESI Vol Físico - Series mensu'!$C$4:$FZ$541,450,0)),"-")</f>
        <v>-</v>
      </c>
      <c r="I502" s="74" t="str">
        <f>IF($E$11="",IF(OR($E$7="seleccione rubro",$E$9="seleccione sub - rubro"),"-",HLOOKUP((CONCATENATE($E$9,$I$17)),'IMESI Vol Físico - Series mensu'!$C$4:$FZ$543,450,0)),"-")</f>
        <v>-</v>
      </c>
      <c r="K502" s="74" t="str">
        <f>IF($E$11="",IF(OR($E$7="seleccione rubro",$E$9="seleccione sub - rubro"),"-",HLOOKUP((CONCATENATE($E$9,$K$17)),'IMESI Vol Físico - Series mensu'!$C$4:$FZ$543,450,0)),"-")</f>
        <v>-</v>
      </c>
    </row>
    <row r="503" spans="4:11" x14ac:dyDescent="0.2">
      <c r="D503" s="81">
        <f t="shared" si="41"/>
        <v>2024</v>
      </c>
      <c r="E503" s="73">
        <f>+'IMESI Vol Físico - Series mensu'!A454</f>
        <v>45383</v>
      </c>
      <c r="G503" s="74" t="str">
        <f>IF($E$11="",IF(OR($E$7="seleccione rubro",$E$9="seleccione sub - rubro"),"-",HLOOKUP((CONCATENATE($E$9,$G$17)),'IMESI Vol Físico - Series mensu'!$C$4:$FZ$542,451,0)),"-")</f>
        <v>-</v>
      </c>
      <c r="I503" s="74" t="str">
        <f>IF($E$11="",IF(OR($E$7="seleccione rubro",$E$9="seleccione sub - rubro"),"-",HLOOKUP((CONCATENATE($E$9,$I$17)),'IMESI Vol Físico - Series mensu'!$C$4:$FZ$544,451,0)),"-")</f>
        <v>-</v>
      </c>
      <c r="K503" s="74" t="str">
        <f>IF($E$11="",IF(OR($E$7="seleccione rubro",$E$9="seleccione sub - rubro"),"-",HLOOKUP((CONCATENATE($E$9,$K$17)),'IMESI Vol Físico - Series mensu'!$C$4:$FZ$544,451,0)),"-")</f>
        <v>-</v>
      </c>
    </row>
    <row r="504" spans="4:11" x14ac:dyDescent="0.2">
      <c r="D504" s="81">
        <f t="shared" ref="D504:D511" si="42">+YEAR(E504)</f>
        <v>2024</v>
      </c>
      <c r="E504" s="73">
        <f>+'IMESI Vol Físico - Series mensu'!A455</f>
        <v>45413</v>
      </c>
      <c r="G504" s="74" t="str">
        <f>IF($E$11="",IF(OR($E$7="seleccione rubro",$E$9="seleccione sub - rubro"),"-",HLOOKUP((CONCATENATE($E$9,$G$17)),'IMESI Vol Físico - Series mensu'!$C$4:$FZ$543,452,0)),"-")</f>
        <v>-</v>
      </c>
      <c r="I504" s="74" t="str">
        <f>IF($E$11="",IF(OR($E$7="seleccione rubro",$E$9="seleccione sub - rubro"),"-",HLOOKUP((CONCATENATE($E$9,$I$17)),'IMESI Vol Físico - Series mensu'!$C$4:$FZ$545,452,0)),"-")</f>
        <v>-</v>
      </c>
      <c r="K504" s="74" t="str">
        <f>IF($E$11="",IF(OR($E$7="seleccione rubro",$E$9="seleccione sub - rubro"),"-",HLOOKUP((CONCATENATE($E$9,$K$17)),'IMESI Vol Físico - Series mensu'!$C$4:$FZ$545,452,0)),"-")</f>
        <v>-</v>
      </c>
    </row>
    <row r="505" spans="4:11" x14ac:dyDescent="0.2">
      <c r="D505" s="81">
        <f t="shared" si="42"/>
        <v>2024</v>
      </c>
      <c r="E505" s="73">
        <f>+'IMESI Vol Físico - Series mensu'!A456</f>
        <v>45444</v>
      </c>
      <c r="G505" s="74" t="str">
        <f>IF($E$11="",IF(OR($E$7="seleccione rubro",$E$9="seleccione sub - rubro"),"-",HLOOKUP((CONCATENATE($E$9,$G$17)),'IMESI Vol Físico - Series mensu'!$C$4:$FZ$544,453,0)),"-")</f>
        <v>-</v>
      </c>
      <c r="I505" s="74" t="str">
        <f>IF($E$11="",IF(OR($E$7="seleccione rubro",$E$9="seleccione sub - rubro"),"-",HLOOKUP((CONCATENATE($E$9,$I$17)),'IMESI Vol Físico - Series mensu'!$C$4:$FZ$546,453,0)),"-")</f>
        <v>-</v>
      </c>
      <c r="K505" s="74" t="str">
        <f>IF($E$11="",IF(OR($E$7="seleccione rubro",$E$9="seleccione sub - rubro"),"-",HLOOKUP((CONCATENATE($E$9,$K$17)),'IMESI Vol Físico - Series mensu'!$C$4:$FZ$546,453,0)),"-")</f>
        <v>-</v>
      </c>
    </row>
    <row r="506" spans="4:11" x14ac:dyDescent="0.2">
      <c r="D506" s="81">
        <f t="shared" si="42"/>
        <v>2024</v>
      </c>
      <c r="E506" s="73">
        <f>+'IMESI Vol Físico - Series mensu'!A457</f>
        <v>45474</v>
      </c>
      <c r="G506" s="74" t="str">
        <f>IF($E$11="",IF(OR($E$7="seleccione rubro",$E$9="seleccione sub - rubro"),"-",HLOOKUP((CONCATENATE($E$9,$G$17)),'IMESI Vol Físico - Series mensu'!$C$4:$FZ$545,454,0)),"-")</f>
        <v>-</v>
      </c>
      <c r="I506" s="74" t="str">
        <f>IF($E$11="",IF(OR($E$7="seleccione rubro",$E$9="seleccione sub - rubro"),"-",HLOOKUP((CONCATENATE($E$9,$I$17)),'IMESI Vol Físico - Series mensu'!$C$4:$FZ$547,454,0)),"-")</f>
        <v>-</v>
      </c>
      <c r="K506" s="74" t="str">
        <f>IF($E$11="",IF(OR($E$7="seleccione rubro",$E$9="seleccione sub - rubro"),"-",HLOOKUP((CONCATENATE($E$9,$K$17)),'IMESI Vol Físico - Series mensu'!$C$4:$FZ$547,454,0)),"-")</f>
        <v>-</v>
      </c>
    </row>
    <row r="507" spans="4:11" x14ac:dyDescent="0.2">
      <c r="D507" s="81">
        <f t="shared" si="42"/>
        <v>2024</v>
      </c>
      <c r="E507" s="73">
        <f>+'IMESI Vol Físico - Series mensu'!A458</f>
        <v>45505</v>
      </c>
      <c r="G507" s="74" t="str">
        <f>IF($E$11="",IF(OR($E$7="seleccione rubro",$E$9="seleccione sub - rubro"),"-",HLOOKUP((CONCATENATE($E$9,$G$17)),'IMESI Vol Físico - Series mensu'!$C$4:$FZ$546,455,0)),"-")</f>
        <v>-</v>
      </c>
      <c r="I507" s="74" t="str">
        <f>IF($E$11="",IF(OR($E$7="seleccione rubro",$E$9="seleccione sub - rubro"),"-",HLOOKUP((CONCATENATE($E$9,$I$17)),'IMESI Vol Físico - Series mensu'!$C$4:$FZ$548,455,0)),"-")</f>
        <v>-</v>
      </c>
      <c r="K507" s="74" t="str">
        <f>IF($E$11="",IF(OR($E$7="seleccione rubro",$E$9="seleccione sub - rubro"),"-",HLOOKUP((CONCATENATE($E$9,$K$17)),'IMESI Vol Físico - Series mensu'!$C$4:$FZ$548,455,0)),"-")</f>
        <v>-</v>
      </c>
    </row>
    <row r="508" spans="4:11" x14ac:dyDescent="0.2">
      <c r="D508" s="81">
        <f t="shared" si="42"/>
        <v>2024</v>
      </c>
      <c r="E508" s="73">
        <f>+'IMESI Vol Físico - Series mensu'!A459</f>
        <v>45536</v>
      </c>
      <c r="G508" s="74" t="str">
        <f>IF($E$11="",IF(OR($E$7="seleccione rubro",$E$9="seleccione sub - rubro"),"-",HLOOKUP((CONCATENATE($E$9,$G$17)),'IMESI Vol Físico - Series mensu'!$C$4:$FZ$547,456,0)),"-")</f>
        <v>-</v>
      </c>
      <c r="I508" s="74" t="str">
        <f>IF($E$11="",IF(OR($E$7="seleccione rubro",$E$9="seleccione sub - rubro"),"-",HLOOKUP((CONCATENATE($E$9,$I$17)),'IMESI Vol Físico - Series mensu'!$C$4:$FZ$549,456,0)),"-")</f>
        <v>-</v>
      </c>
      <c r="K508" s="74" t="str">
        <f>IF($E$11="",IF(OR($E$7="seleccione rubro",$E$9="seleccione sub - rubro"),"-",HLOOKUP((CONCATENATE($E$9,$K$17)),'IMESI Vol Físico - Series mensu'!$C$4:$FZ$549,456,0)),"-")</f>
        <v>-</v>
      </c>
    </row>
    <row r="509" spans="4:11" x14ac:dyDescent="0.2">
      <c r="D509" s="81">
        <f t="shared" si="42"/>
        <v>2024</v>
      </c>
      <c r="E509" s="73">
        <f>+'IMESI Vol Físico - Series mensu'!A460</f>
        <v>45566</v>
      </c>
      <c r="G509" s="74" t="str">
        <f>IF($E$11="",IF(OR($E$7="seleccione rubro",$E$9="seleccione sub - rubro"),"-",HLOOKUP((CONCATENATE($E$9,$G$17)),'IMESI Vol Físico - Series mensu'!$C$4:$FZ$548,457,0)),"-")</f>
        <v>-</v>
      </c>
      <c r="I509" s="74" t="str">
        <f>IF($E$11="",IF(OR($E$7="seleccione rubro",$E$9="seleccione sub - rubro"),"-",HLOOKUP((CONCATENATE($E$9,$I$17)),'IMESI Vol Físico - Series mensu'!$C$4:$FZ$550,457,0)),"-")</f>
        <v>-</v>
      </c>
      <c r="K509" s="74" t="str">
        <f>IF($E$11="",IF(OR($E$7="seleccione rubro",$E$9="seleccione sub - rubro"),"-",HLOOKUP((CONCATENATE($E$9,$K$17)),'IMESI Vol Físico - Series mensu'!$C$4:$FZ$551,457,0)),"-")</f>
        <v>-</v>
      </c>
    </row>
    <row r="510" spans="4:11" x14ac:dyDescent="0.2">
      <c r="D510" s="81">
        <f t="shared" si="42"/>
        <v>2024</v>
      </c>
      <c r="E510" s="73">
        <f>+'IMESI Vol Físico - Series mensu'!A461</f>
        <v>45597</v>
      </c>
      <c r="G510" s="74" t="str">
        <f>IF($E$11="",IF(OR($E$7="seleccione rubro",$E$9="seleccione sub - rubro"),"-",HLOOKUP((CONCATENATE($E$9,$G$17)),'IMESI Vol Físico - Series mensu'!$C$4:$FZ$549,458,0)),"-")</f>
        <v>-</v>
      </c>
      <c r="I510" s="74" t="str">
        <f>IF($E$11="",IF(OR($E$7="seleccione rubro",$E$9="seleccione sub - rubro"),"-",HLOOKUP((CONCATENATE($E$9,$I$17)),'IMESI Vol Físico - Series mensu'!$C$4:$FZ$551,458,0)),"-")</f>
        <v>-</v>
      </c>
      <c r="K510" s="74" t="str">
        <f>IF($E$11="",IF(OR($E$7="seleccione rubro",$E$9="seleccione sub - rubro"),"-",HLOOKUP((CONCATENATE($E$9,$K$17)),'IMESI Vol Físico - Series mensu'!$C$4:$FZ$552,458,0)),"-")</f>
        <v>-</v>
      </c>
    </row>
    <row r="511" spans="4:11" x14ac:dyDescent="0.2">
      <c r="D511" s="81">
        <f t="shared" si="42"/>
        <v>2024</v>
      </c>
      <c r="E511" s="73">
        <f>+'IMESI Vol Físico - Series mensu'!A462</f>
        <v>45627</v>
      </c>
      <c r="G511" s="74" t="str">
        <f>IF($E$11="",IF(OR($E$7="seleccione rubro",$E$9="seleccione sub - rubro"),"-",HLOOKUP((CONCATENATE($E$9,$G$17)),'IMESI Vol Físico - Series mensu'!$C$4:$FZ$550,459,0)),"-")</f>
        <v>-</v>
      </c>
      <c r="I511" s="74" t="str">
        <f>IF($E$11="",IF(OR($E$7="seleccione rubro",$E$9="seleccione sub - rubro"),"-",HLOOKUP((CONCATENATE($E$9,$I$17)),'IMESI Vol Físico - Series mensu'!$C$4:$FZ$552,459,0)),"-")</f>
        <v>-</v>
      </c>
      <c r="K511" s="74" t="str">
        <f>IF($E$11="",IF(OR($E$7="seleccione rubro",$E$9="seleccione sub - rubro"),"-",HLOOKUP((CONCATENATE($E$9,$K$17)),'IMESI Vol Físico - Series mensu'!$C$4:$FZ$553,459,0)),"-")</f>
        <v>-</v>
      </c>
    </row>
    <row r="512" spans="4:11" x14ac:dyDescent="0.2">
      <c r="D512" s="69">
        <v>2025</v>
      </c>
      <c r="K512" s="74"/>
    </row>
    <row r="513" spans="4:11" x14ac:dyDescent="0.2">
      <c r="D513" s="81">
        <f t="shared" ref="D513:D528" si="43">+YEAR(E513)</f>
        <v>2025</v>
      </c>
      <c r="E513" s="73">
        <f>+'IMESI Vol Físico - Series mensu'!A463</f>
        <v>45658</v>
      </c>
      <c r="G513" s="74" t="str">
        <f>IF($E$11="",IF(OR($E$7="seleccione rubro",$E$9="seleccione sub - rubro"),"-",HLOOKUP((CONCATENATE($E$9,$G$17)),'IMESI Vol Físico - Series mensu'!$C$4:$FZ$551,460,0)),"-")</f>
        <v>-</v>
      </c>
      <c r="I513" s="74" t="str">
        <f>IF($E$11="",IF(OR($E$7="seleccione rubro",$E$9="seleccione sub - rubro"),"-",HLOOKUP((CONCATENATE($E$9,$I$17)),'IMESI Vol Físico - Series mensu'!$C$4:$FZ$553,460,0)),"-")</f>
        <v>-</v>
      </c>
      <c r="K513" s="74" t="str">
        <f>IF($E$11="",IF(OR($E$7="seleccione rubro",$E$9="seleccione sub - rubro"),"-",HLOOKUP((CONCATENATE($E$9,$K$17)),'IMESI Vol Físico - Series mensu'!$C$4:$FZ$554,460,0)),"-")</f>
        <v>-</v>
      </c>
    </row>
    <row r="514" spans="4:11" x14ac:dyDescent="0.2">
      <c r="D514" s="81">
        <f t="shared" si="43"/>
        <v>2025</v>
      </c>
      <c r="E514" s="73">
        <f>+'IMESI Vol Físico - Series mensu'!A464</f>
        <v>45689</v>
      </c>
      <c r="G514" s="74" t="str">
        <f>IF($E$11="",IF(OR($E$7="seleccione rubro",$E$9="seleccione sub - rubro"),"-",HLOOKUP((CONCATENATE($E$9,$G$17)),'IMESI Vol Físico - Series mensu'!$C$4:$FZ$552,461,0)),"-")</f>
        <v>-</v>
      </c>
      <c r="I514" s="74" t="str">
        <f>IF($E$11="",IF(OR($E$7="seleccione rubro",$E$9="seleccione sub - rubro"),"-",HLOOKUP((CONCATENATE($E$9,$I$17)),'IMESI Vol Físico - Series mensu'!$C$4:$FZ$554,461,0)),"-")</f>
        <v>-</v>
      </c>
      <c r="K514" s="74" t="str">
        <f>IF($E$11="",IF(OR($E$7="seleccione rubro",$E$9="seleccione sub - rubro"),"-",HLOOKUP((CONCATENATE($E$9,$K$17)),'IMESI Vol Físico - Series mensu'!$C$4:$FZ$555,461,0)),"-")</f>
        <v>-</v>
      </c>
    </row>
    <row r="515" spans="4:11" x14ac:dyDescent="0.2">
      <c r="D515" s="81">
        <f t="shared" si="43"/>
        <v>2025</v>
      </c>
      <c r="E515" s="73">
        <f>+'IMESI Vol Físico - Series mensu'!A465</f>
        <v>45717</v>
      </c>
      <c r="G515" s="74" t="str">
        <f>IF($E$11="",IF(OR($E$7="seleccione rubro",$E$9="seleccione sub - rubro"),"-",HLOOKUP((CONCATENATE($E$9,$G$17)),'IMESI Vol Físico - Series mensu'!$C$4:$FZ$553,462,0)),"-")</f>
        <v>-</v>
      </c>
      <c r="I515" s="74" t="str">
        <f>IF($E$11="",IF(OR($E$7="seleccione rubro",$E$9="seleccione sub - rubro"),"-",HLOOKUP((CONCATENATE($E$9,$I$17)),'IMESI Vol Físico - Series mensu'!$C$4:$FZ$555,462,0)),"-")</f>
        <v>-</v>
      </c>
      <c r="K515" s="74" t="str">
        <f>IF($E$11="",IF(OR($E$7="seleccione rubro",$E$9="seleccione sub - rubro"),"-",HLOOKUP((CONCATENATE($E$9,$K$17)),'IMESI Vol Físico - Series mensu'!$C$4:$FZ$556,462,0)),"-")</f>
        <v>-</v>
      </c>
    </row>
    <row r="516" spans="4:11" x14ac:dyDescent="0.2">
      <c r="D516" s="81">
        <f t="shared" si="43"/>
        <v>2025</v>
      </c>
      <c r="E516" s="73">
        <f>+'IMESI Vol Físico - Series mensu'!A466</f>
        <v>45748</v>
      </c>
      <c r="G516" s="74" t="str">
        <f>IF($E$11="",IF(OR($E$7="seleccione rubro",$E$9="seleccione sub - rubro"),"-",HLOOKUP((CONCATENATE($E$9,$G$17)),'IMESI Vol Físico - Series mensu'!$C$4:$FZ$557,463,0)),"-")</f>
        <v>-</v>
      </c>
      <c r="I516" s="74" t="str">
        <f>IF($E$11="",IF(OR($E$7="seleccione rubro",$E$9="seleccione sub - rubro"),"-",HLOOKUP((CONCATENATE($E$9,$I$17)),'IMESI Vol Físico - Series mensu'!$C$4:$FZ$557,463,0)),"-")</f>
        <v>-</v>
      </c>
      <c r="K516" s="74" t="str">
        <f>IF($E$11="",IF(OR($E$7="seleccione rubro",$E$9="seleccione sub - rubro"),"-",HLOOKUP((CONCATENATE($E$9,$K$17)),'IMESI Vol Físico - Series mensu'!$C$4:$FZ$557,463,0)),"-")</f>
        <v>-</v>
      </c>
    </row>
    <row r="517" spans="4:11" x14ac:dyDescent="0.2">
      <c r="D517" s="81">
        <f t="shared" si="43"/>
        <v>2025</v>
      </c>
      <c r="E517" s="73">
        <f>+'IMESI Vol Físico - Series mensu'!A467</f>
        <v>45778</v>
      </c>
      <c r="G517" s="74" t="str">
        <f>IF($E$11="",IF(OR($E$7="seleccione rubro",$E$9="seleccione sub - rubro"),"-",HLOOKUP((CONCATENATE($E$9,$G$17)),'IMESI Vol Físico - Series mensu'!$C$4:$FZ$558,464,0)),"-")</f>
        <v>-</v>
      </c>
      <c r="I517" s="74" t="str">
        <f>IF($E$11="",IF(OR($E$7="seleccione rubro",$E$9="seleccione sub - rubro"),"-",HLOOKUP((CONCATENATE($E$9,$I$17)),'IMESI Vol Físico - Series mensu'!$C$4:$FZ$558,464,0)),"-")</f>
        <v>-</v>
      </c>
      <c r="K517" s="74" t="str">
        <f>IF($E$11="",IF(OR($E$7="seleccione rubro",$E$9="seleccione sub - rubro"),"-",HLOOKUP((CONCATENATE($E$9,$K$17)),'IMESI Vol Físico - Series mensu'!$C$4:$FZ$558,464,0)),"-")</f>
        <v>-</v>
      </c>
    </row>
    <row r="518" spans="4:11" x14ac:dyDescent="0.2">
      <c r="D518" s="81">
        <f t="shared" si="43"/>
        <v>2025</v>
      </c>
      <c r="E518" s="73">
        <f>+'IMESI Vol Físico - Series mensu'!A468</f>
        <v>45809</v>
      </c>
      <c r="G518" s="74" t="str">
        <f>IF($E$11="",IF(OR($E$7="seleccione rubro",$E$9="seleccione sub - rubro"),"-",HLOOKUP((CONCATENATE($E$9,$G$17)),'IMESI Vol Físico - Series mensu'!$C$4:$FZ$559,465,0)),"-")</f>
        <v>-</v>
      </c>
      <c r="I518" s="74" t="str">
        <f>IF($E$11="",IF(OR($E$7="seleccione rubro",$E$9="seleccione sub - rubro"),"-",HLOOKUP((CONCATENATE($E$9,$I$17)),'IMESI Vol Físico - Series mensu'!$C$4:$FZ$559,465,0)),"-")</f>
        <v>-</v>
      </c>
      <c r="K518" s="74" t="str">
        <f>IF($E$11="",IF(OR($E$7="seleccione rubro",$E$9="seleccione sub - rubro"),"-",HLOOKUP((CONCATENATE($E$9,$K$17)),'IMESI Vol Físico - Series mensu'!$C$4:$FZ$559,465,0)),"-")</f>
        <v>-</v>
      </c>
    </row>
    <row r="519" spans="4:11" x14ac:dyDescent="0.2">
      <c r="D519" s="81">
        <f t="shared" si="43"/>
        <v>2025</v>
      </c>
      <c r="E519" s="73">
        <f>+'IMESI Vol Físico - Series mensu'!A469</f>
        <v>45839</v>
      </c>
      <c r="G519" s="74" t="str">
        <f>IF($E$11="",IF(OR($E$7="seleccione rubro",$E$9="seleccione sub - rubro"),"-",HLOOKUP((CONCATENATE($E$9,$G$17)),'IMESI Vol Físico - Series mensu'!$C$4:$FZ$560,466,0)),"-")</f>
        <v>-</v>
      </c>
      <c r="I519" s="74" t="str">
        <f>IF($E$11="",IF(OR($E$7="seleccione rubro",$E$9="seleccione sub - rubro"),"-",HLOOKUP((CONCATENATE($E$9,$I$17)),'IMESI Vol Físico - Series mensu'!$C$4:$FZ$560,466,0)),"-")</f>
        <v>-</v>
      </c>
      <c r="K519" s="74" t="str">
        <f>IF($E$11="",IF(OR($E$7="seleccione rubro",$E$9="seleccione sub - rubro"),"-",HLOOKUP((CONCATENATE($E$9,$K$17)),'IMESI Vol Físico - Series mensu'!$C$4:$FZ$560,466,0)),"-")</f>
        <v>-</v>
      </c>
    </row>
    <row r="520" spans="4:11" x14ac:dyDescent="0.2">
      <c r="D520" s="81">
        <f t="shared" si="43"/>
        <v>2025</v>
      </c>
      <c r="E520" s="73">
        <f>+'IMESI Vol Físico - Series mensu'!A470</f>
        <v>45870</v>
      </c>
      <c r="G520" s="74" t="str">
        <f>IF($E$11="",IF(OR($E$7="seleccione rubro",$E$9="seleccione sub - rubro"),"-",HLOOKUP((CONCATENATE($E$9,$G$17)),'IMESI Vol Físico - Series mensu'!$C$4:$FZ$561,467,0)),"-")</f>
        <v>-</v>
      </c>
      <c r="I520" s="74" t="str">
        <f>IF($E$11="",IF(OR($E$7="seleccione rubro",$E$9="seleccione sub - rubro"),"-",HLOOKUP((CONCATENATE($E$9,$I$17)),'IMESI Vol Físico - Series mensu'!$C$4:$FZ$561,467,0)),"-")</f>
        <v>-</v>
      </c>
      <c r="K520" s="74" t="str">
        <f>IF($E$11="",IF(OR($E$7="seleccione rubro",$E$9="seleccione sub - rubro"),"-",HLOOKUP((CONCATENATE($E$9,$K$17)),'IMESI Vol Físico - Series mensu'!$C$4:$FZ$561,467,0)),"-")</f>
        <v>-</v>
      </c>
    </row>
    <row r="521" spans="4:11" x14ac:dyDescent="0.2">
      <c r="D521" s="81">
        <f t="shared" si="43"/>
        <v>2025</v>
      </c>
      <c r="E521" s="73">
        <f>+'IMESI Vol Físico - Series mensu'!A471</f>
        <v>45901</v>
      </c>
      <c r="G521" s="74" t="str">
        <f>IF($E$11="",IF(OR($E$7="seleccione rubro",$E$9="seleccione sub - rubro"),"-",HLOOKUP((CONCATENATE($E$9,$G$17)),'IMESI Vol Físico - Series mensu'!$C$4:$FZ$562,468,0)),"-")</f>
        <v>-</v>
      </c>
      <c r="I521" s="74" t="str">
        <f>IF($E$11="",IF(OR($E$7="seleccione rubro",$E$9="seleccione sub - rubro"),"-",HLOOKUP((CONCATENATE($E$9,$I$17)),'IMESI Vol Físico - Series mensu'!$C$4:$FZ$562,468,0)),"-")</f>
        <v>-</v>
      </c>
      <c r="K521" s="74" t="str">
        <f>IF($E$11="",IF(OR($E$7="seleccione rubro",$E$9="seleccione sub - rubro"),"-",HLOOKUP((CONCATENATE($E$9,$K$17)),'IMESI Vol Físico - Series mensu'!$C$4:$FZ$562,468,0)),"-")</f>
        <v>-</v>
      </c>
    </row>
    <row r="522" spans="4:11" x14ac:dyDescent="0.2">
      <c r="D522" s="81">
        <f t="shared" si="43"/>
        <v>2025</v>
      </c>
      <c r="E522" s="73">
        <f>+'IMESI Vol Físico - Series mensu'!A472</f>
        <v>45931</v>
      </c>
      <c r="G522" s="74" t="str">
        <f>IF($E$11="",IF(OR($E$7="seleccione rubro",$E$9="seleccione sub - rubro"),"-",HLOOKUP((CONCATENATE($E$9,$G$17)),'IMESI Vol Físico - Series mensu'!$C$4:$FZ$563,469,0)),"-")</f>
        <v>-</v>
      </c>
      <c r="I522" s="74" t="str">
        <f>IF($E$11="",IF(OR($E$7="seleccione rubro",$E$9="seleccione sub - rubro"),"-",HLOOKUP((CONCATENATE($E$9,$I$17)),'IMESI Vol Físico - Series mensu'!$C$4:$FZ$563,469,0)),"-")</f>
        <v>-</v>
      </c>
      <c r="K522" s="74" t="str">
        <f>IF($E$11="",IF(OR($E$7="seleccione rubro",$E$9="seleccione sub - rubro"),"-",HLOOKUP((CONCATENATE($E$9,$K$17)),'IMESI Vol Físico - Series mensu'!$C$4:$FZ$563,469,0)),"-")</f>
        <v>-</v>
      </c>
    </row>
    <row r="523" spans="4:11" x14ac:dyDescent="0.2">
      <c r="D523" s="81">
        <f t="shared" si="43"/>
        <v>2025</v>
      </c>
      <c r="E523" s="73">
        <f>+'IMESI Vol Físico - Series mensu'!A473</f>
        <v>45962</v>
      </c>
      <c r="G523" s="74" t="str">
        <f>IF($E$11="",IF(OR($E$7="seleccione rubro",$E$9="seleccione sub - rubro"),"-",HLOOKUP((CONCATENATE($E$9,$G$17)),'IMESI Vol Físico - Series mensu'!$C$4:$FZ$564,470,0)),"-")</f>
        <v>-</v>
      </c>
      <c r="I523" s="74" t="str">
        <f>IF($E$11="",IF(OR($E$7="seleccione rubro",$E$9="seleccione sub - rubro"),"-",HLOOKUP((CONCATENATE($E$9,$I$17)),'IMESI Vol Físico - Series mensu'!$C$4:$FZ$564,470,0)),"-")</f>
        <v>-</v>
      </c>
      <c r="K523" s="74" t="str">
        <f>IF($E$11="",IF(OR($E$7="seleccione rubro",$E$9="seleccione sub - rubro"),"-",HLOOKUP((CONCATENATE($E$9,$K$17)),'IMESI Vol Físico - Series mensu'!$C$4:$FZ$564,470,0)),"-")</f>
        <v>-</v>
      </c>
    </row>
    <row r="524" spans="4:11" x14ac:dyDescent="0.2">
      <c r="D524" s="81">
        <f t="shared" si="43"/>
        <v>2025</v>
      </c>
      <c r="E524" s="73">
        <f>+'IMESI Vol Físico - Series mensu'!A474</f>
        <v>45992</v>
      </c>
      <c r="G524" s="74" t="str">
        <f>IF($E$11="",IF(OR($E$7="seleccione rubro",$E$9="seleccione sub - rubro"),"-",HLOOKUP((CONCATENATE($E$9,$G$17)),'IMESI Vol Físico - Series mensu'!$C$4:$FZ$565,471,0)),"-")</f>
        <v>-</v>
      </c>
      <c r="I524" s="74" t="str">
        <f>IF($E$11="",IF(OR($E$7="seleccione rubro",$E$9="seleccione sub - rubro"),"-",HLOOKUP((CONCATENATE($E$9,$I$17)),'IMESI Vol Físico - Series mensu'!$C$4:$FZ$565,471,0)),"-")</f>
        <v>-</v>
      </c>
      <c r="K524" s="74" t="str">
        <f>IF($E$11="",IF(OR($E$7="seleccione rubro",$E$9="seleccione sub - rubro"),"-",HLOOKUP((CONCATENATE($E$9,$K$17)),'IMESI Vol Físico - Series mensu'!$C$4:$FZ$565,471,0)),"-")</f>
        <v>-</v>
      </c>
    </row>
    <row r="525" spans="4:11" x14ac:dyDescent="0.2">
      <c r="D525" s="69">
        <v>2026</v>
      </c>
    </row>
    <row r="526" spans="4:11" x14ac:dyDescent="0.2">
      <c r="D526" s="81">
        <f t="shared" si="43"/>
        <v>2026</v>
      </c>
      <c r="E526" s="73">
        <f>+'IMESI Vol Físico - Series mensu'!A475</f>
        <v>46023</v>
      </c>
      <c r="G526" s="74" t="str">
        <f>IF($E$11="",IF(OR($E$7="seleccione rubro",$E$9="seleccione sub - rubro"),"-",HLOOKUP((CONCATENATE($E$9,$G$17)),'IMESI Vol Físico - Series mensu'!$C$4:$FZ$566,472,0)),"-")</f>
        <v>-</v>
      </c>
      <c r="I526" s="74" t="str">
        <f>IF($E$11="",IF(OR($E$7="seleccione rubro",$E$9="seleccione sub - rubro"),"-",HLOOKUP((CONCATENATE($E$9,$I$17)),'IMESI Vol Físico - Series mensu'!$C$4:$FZ$566,472,0)),"-")</f>
        <v>-</v>
      </c>
      <c r="K526" s="74" t="str">
        <f>IF($E$11="",IF(OR($E$7="seleccione rubro",$E$9="seleccione sub - rubro"),"-",HLOOKUP((CONCATENATE($E$9,$K$17)),'IMESI Vol Físico - Series mensu'!$C$4:$FZ$566,472,0)),"-")</f>
        <v>-</v>
      </c>
    </row>
    <row r="527" spans="4:11" x14ac:dyDescent="0.2">
      <c r="D527" s="81">
        <f t="shared" si="43"/>
        <v>2026</v>
      </c>
      <c r="E527" s="73">
        <f>+'IMESI Vol Físico - Series mensu'!A476</f>
        <v>46054</v>
      </c>
      <c r="G527" s="74" t="str">
        <f>IF($E$11="",IF(OR($E$7="seleccione rubro",$E$9="seleccione sub - rubro"),"-",HLOOKUP((CONCATENATE($E$9,$G$17)),'IMESI Vol Físico - Series mensu'!$C$4:$FZ$567,473,0)),"-")</f>
        <v>-</v>
      </c>
      <c r="I527" s="74" t="str">
        <f>IF($E$11="",IF(OR($E$7="seleccione rubro",$E$9="seleccione sub - rubro"),"-",HLOOKUP((CONCATENATE($E$9,$I$17)),'IMESI Vol Físico - Series mensu'!$C$4:$FZ$567,473,0)),"-")</f>
        <v>-</v>
      </c>
      <c r="K527" s="74" t="str">
        <f>IF($E$11="",IF(OR($E$7="seleccione rubro",$E$9="seleccione sub - rubro"),"-",HLOOKUP((CONCATENATE($E$9,$K$17)),'IMESI Vol Físico - Series mensu'!$C$4:$FZ$567,473,0)),"-")</f>
        <v>-</v>
      </c>
    </row>
    <row r="528" spans="4:11" x14ac:dyDescent="0.2">
      <c r="D528" s="81">
        <f t="shared" si="43"/>
        <v>2026</v>
      </c>
      <c r="E528" s="73">
        <f>+'IMESI Vol Físico - Series mensu'!A477</f>
        <v>46082</v>
      </c>
      <c r="G528" s="74" t="str">
        <f>IF($E$11="",IF(OR($E$7="seleccione rubro",$E$9="seleccione sub - rubro"),"-",HLOOKUP((CONCATENATE($E$9,$G$17)),'IMESI Vol Físico - Series mensu'!$C$4:$FZ$568,474,0)),"-")</f>
        <v>-</v>
      </c>
      <c r="I528" s="74" t="str">
        <f>IF($E$11="",IF(OR($E$7="seleccione rubro",$E$9="seleccione sub - rubro"),"-",HLOOKUP((CONCATENATE($E$9,$I$17)),'IMESI Vol Físico - Series mensu'!$C$4:$FZ$568,474,0)),"-")</f>
        <v>-</v>
      </c>
      <c r="K528" s="74" t="str">
        <f>IF($E$11="",IF(OR($E$7="seleccione rubro",$E$9="seleccione sub - rubro"),"-",HLOOKUP((CONCATENATE($E$9,$K$17)),'IMESI Vol Físico - Series mensu'!$C$4:$FZ$568,474,0)),"-")</f>
        <v>-</v>
      </c>
    </row>
  </sheetData>
  <sheetProtection password="B1B5" sheet="1" autoFilter="0"/>
  <autoFilter ref="D17:E528"/>
  <mergeCells count="9">
    <mergeCell ref="C5:L5"/>
    <mergeCell ref="E16:K16"/>
    <mergeCell ref="E7:L7"/>
    <mergeCell ref="E9:L9"/>
    <mergeCell ref="J11:L11"/>
    <mergeCell ref="C9:D9"/>
    <mergeCell ref="C7:D7"/>
    <mergeCell ref="E11:H11"/>
    <mergeCell ref="F13:J13"/>
  </mergeCells>
  <phoneticPr fontId="0" type="noConversion"/>
  <conditionalFormatting sqref="L13:M13 D13:E13">
    <cfRule type="cellIs" dxfId="16" priority="1" stopIfTrue="1" operator="equal">
      <formula>0</formula>
    </cfRule>
  </conditionalFormatting>
  <conditionalFormatting sqref="C8">
    <cfRule type="cellIs" dxfId="15" priority="2" stopIfTrue="1" operator="equal">
      <formula>"AA"</formula>
    </cfRule>
  </conditionalFormatting>
  <conditionalFormatting sqref="C7 C9:C10">
    <cfRule type="expression" dxfId="14" priority="3" stopIfTrue="1">
      <formula>"Seleccione impuesto"</formula>
    </cfRule>
  </conditionalFormatting>
  <conditionalFormatting sqref="D10">
    <cfRule type="cellIs" dxfId="13" priority="4" stopIfTrue="1" operator="equal">
      <formula>"AAA"</formula>
    </cfRule>
    <cfRule type="cellIs" dxfId="12" priority="5" stopIfTrue="1" operator="equal">
      <formula>"AA"</formula>
    </cfRule>
  </conditionalFormatting>
  <conditionalFormatting sqref="M9:M11 E10:L10">
    <cfRule type="cellIs" dxfId="11" priority="6" stopIfTrue="1" operator="equal">
      <formula>"seleccione sub - grupo"</formula>
    </cfRule>
  </conditionalFormatting>
  <conditionalFormatting sqref="E7:L7">
    <cfRule type="cellIs" dxfId="10" priority="7" stopIfTrue="1" operator="equal">
      <formula>"SELECCIONE RUBRO"</formula>
    </cfRule>
  </conditionalFormatting>
  <conditionalFormatting sqref="E9:F9">
    <cfRule type="cellIs" dxfId="9" priority="8" stopIfTrue="1" operator="equal">
      <formula>"seleccione sub - rubro"</formula>
    </cfRule>
  </conditionalFormatting>
  <conditionalFormatting sqref="J11:L11">
    <cfRule type="expression" dxfId="8" priority="9" stopIfTrue="1">
      <formula>$I$11=0</formula>
    </cfRule>
    <cfRule type="expression" dxfId="7" priority="10" stopIfTrue="1">
      <formula>$E$7="seleccione rubro"</formula>
    </cfRule>
    <cfRule type="expression" dxfId="6" priority="11" stopIfTrue="1">
      <formula>$E$11&lt;&gt;""</formula>
    </cfRule>
  </conditionalFormatting>
  <conditionalFormatting sqref="I11">
    <cfRule type="cellIs" dxfId="5" priority="12" stopIfTrue="1" operator="equal">
      <formula>0</formula>
    </cfRule>
    <cfRule type="expression" dxfId="4" priority="13" stopIfTrue="1">
      <formula>$E$7="seleccione rubro"</formula>
    </cfRule>
    <cfRule type="expression" dxfId="3" priority="14" stopIfTrue="1">
      <formula>$E$11&lt;&gt;""</formula>
    </cfRule>
  </conditionalFormatting>
  <conditionalFormatting sqref="F13:J13">
    <cfRule type="expression" dxfId="2" priority="15" stopIfTrue="1">
      <formula>$I$11=0</formula>
    </cfRule>
    <cfRule type="expression" dxfId="1" priority="16" stopIfTrue="1">
      <formula>$E$11&lt;&gt;""</formula>
    </cfRule>
    <cfRule type="cellIs" dxfId="0" priority="17" stopIfTrue="1" operator="equal">
      <formula>0</formula>
    </cfRule>
  </conditionalFormatting>
  <dataValidations xWindow="7984" yWindow="27847" count="3">
    <dataValidation errorStyle="warning" allowBlank="1" prompt="En caso de cambiar de GRUPO seleccione nuevamente el Sub - Grupo eligiéndolo de la lista que se despliega al ubicarse sobre esta celda." sqref="J11 M9 E10:L10 M11"/>
    <dataValidation type="list" allowBlank="1" showErrorMessage="1" sqref="E7:F7">
      <formula1>Rubros</formula1>
    </dataValidation>
    <dataValidation type="list" errorStyle="warning" allowBlank="1" prompt="En caso de cambiar de GRUPO seleccione nuevamente el Sub - Grupo eligiéndolo de la lista que se despliega al ubicarse sobre esta celda." sqref="E9:F9 M10">
      <formula1>INDIRECT($C$8)</formula1>
    </dataValidation>
  </dataValidations>
  <hyperlinks>
    <hyperlink ref="K14" location="Nota!D2" display="Ver Notas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H88"/>
  <sheetViews>
    <sheetView showGridLines="0" showRowColHeaders="0" workbookViewId="0">
      <selection activeCell="V36" sqref="V36"/>
    </sheetView>
  </sheetViews>
  <sheetFormatPr baseColWidth="10" defaultColWidth="11.42578125" defaultRowHeight="12.75" x14ac:dyDescent="0.2"/>
  <cols>
    <col min="1" max="1" width="19.42578125" style="1" customWidth="1"/>
    <col min="2" max="2" width="15.5703125" style="1" customWidth="1"/>
    <col min="3" max="7" width="11.42578125" style="1"/>
    <col min="8" max="8" width="15.5703125" style="1" customWidth="1"/>
    <col min="9" max="16384" width="11.42578125" style="1"/>
  </cols>
  <sheetData>
    <row r="1" spans="2:8" x14ac:dyDescent="0.2">
      <c r="B1"/>
      <c r="C1" s="13"/>
      <c r="D1" s="13"/>
      <c r="E1" s="13"/>
      <c r="F1" s="13"/>
      <c r="G1" s="13"/>
      <c r="H1"/>
    </row>
    <row r="2" spans="2:8" x14ac:dyDescent="0.2">
      <c r="B2"/>
      <c r="C2" s="143" t="s">
        <v>134</v>
      </c>
      <c r="D2" s="143"/>
      <c r="E2" s="143"/>
      <c r="F2" s="143"/>
      <c r="G2" s="143"/>
      <c r="H2"/>
    </row>
    <row r="3" spans="2:8" x14ac:dyDescent="0.2">
      <c r="B3"/>
      <c r="C3" s="14"/>
      <c r="D3" s="13"/>
      <c r="E3" s="13"/>
      <c r="F3" s="13"/>
      <c r="G3" s="13"/>
      <c r="H3"/>
    </row>
    <row r="4" spans="2:8" x14ac:dyDescent="0.2">
      <c r="B4"/>
      <c r="C4" s="15"/>
      <c r="D4" s="13"/>
      <c r="E4" s="13"/>
      <c r="F4" s="13"/>
      <c r="G4" s="13"/>
      <c r="H4"/>
    </row>
    <row r="5" spans="2:8" x14ac:dyDescent="0.2">
      <c r="B5"/>
      <c r="C5" s="13"/>
      <c r="D5" s="13"/>
      <c r="E5" s="13"/>
      <c r="F5" s="13"/>
      <c r="G5" s="16" t="s">
        <v>87</v>
      </c>
      <c r="H5"/>
    </row>
    <row r="6" spans="2:8" x14ac:dyDescent="0.2">
      <c r="B6"/>
      <c r="C6" s="13"/>
      <c r="D6" s="13"/>
      <c r="E6" s="13"/>
      <c r="F6" s="13"/>
      <c r="G6" s="13"/>
      <c r="H6"/>
    </row>
    <row r="7" spans="2:8" ht="75.599999999999994" customHeight="1" x14ac:dyDescent="0.2">
      <c r="B7" s="11"/>
      <c r="C7" s="142" t="s">
        <v>131</v>
      </c>
      <c r="D7" s="142"/>
      <c r="E7" s="142"/>
      <c r="F7" s="142"/>
      <c r="G7" s="142"/>
      <c r="H7"/>
    </row>
    <row r="8" spans="2:8" ht="33.75" customHeight="1" x14ac:dyDescent="0.2">
      <c r="B8" s="11"/>
      <c r="C8" s="144" t="s">
        <v>132</v>
      </c>
      <c r="D8" s="144"/>
      <c r="E8" s="144"/>
      <c r="F8" s="144"/>
      <c r="G8" s="144"/>
      <c r="H8"/>
    </row>
    <row r="9" spans="2:8" ht="70.5" customHeight="1" x14ac:dyDescent="0.2">
      <c r="B9" s="11"/>
      <c r="C9" s="144" t="s">
        <v>210</v>
      </c>
      <c r="D9" s="144"/>
      <c r="E9" s="144"/>
      <c r="F9" s="144"/>
      <c r="G9" s="144"/>
      <c r="H9"/>
    </row>
    <row r="10" spans="2:8" ht="52.5" customHeight="1" x14ac:dyDescent="0.2">
      <c r="B10" s="11"/>
      <c r="C10" s="144" t="s">
        <v>211</v>
      </c>
      <c r="D10" s="144"/>
      <c r="E10" s="144"/>
      <c r="F10" s="144"/>
      <c r="G10" s="144"/>
      <c r="H10"/>
    </row>
    <row r="11" spans="2:8" ht="63.75" customHeight="1" x14ac:dyDescent="0.2">
      <c r="B11" s="11"/>
      <c r="C11" s="142" t="s">
        <v>141</v>
      </c>
      <c r="D11" s="142"/>
      <c r="E11" s="142"/>
      <c r="F11" s="142"/>
      <c r="G11" s="142"/>
      <c r="H11"/>
    </row>
    <row r="12" spans="2:8" ht="33" customHeight="1" x14ac:dyDescent="0.2">
      <c r="B12" s="11"/>
      <c r="C12" s="142" t="s">
        <v>146</v>
      </c>
      <c r="D12" s="142"/>
      <c r="E12" s="142"/>
      <c r="F12" s="142"/>
      <c r="G12" s="142"/>
      <c r="H12"/>
    </row>
    <row r="13" spans="2:8" ht="69.599999999999994" customHeight="1" x14ac:dyDescent="0.2">
      <c r="B13" s="11"/>
      <c r="C13" s="142" t="s">
        <v>133</v>
      </c>
      <c r="D13" s="142"/>
      <c r="E13" s="142"/>
      <c r="F13" s="142"/>
      <c r="G13" s="142"/>
      <c r="H13"/>
    </row>
    <row r="14" spans="2:8" x14ac:dyDescent="0.2">
      <c r="B14"/>
      <c r="C14" s="13"/>
      <c r="D14" s="13"/>
      <c r="E14" s="13"/>
      <c r="F14" s="13"/>
      <c r="G14" s="13"/>
      <c r="H14"/>
    </row>
    <row r="15" spans="2:8" x14ac:dyDescent="0.2">
      <c r="B15"/>
      <c r="C15"/>
      <c r="D15"/>
      <c r="E15"/>
      <c r="F15"/>
      <c r="G15"/>
      <c r="H15"/>
    </row>
    <row r="16" spans="2:8" x14ac:dyDescent="0.2">
      <c r="B16"/>
      <c r="C16"/>
      <c r="D16"/>
      <c r="E16"/>
      <c r="F16"/>
      <c r="G16"/>
      <c r="H16"/>
    </row>
    <row r="17" spans="2:8" x14ac:dyDescent="0.2">
      <c r="B17"/>
      <c r="C17"/>
      <c r="D17"/>
      <c r="E17"/>
      <c r="F17"/>
      <c r="G17"/>
      <c r="H17"/>
    </row>
    <row r="18" spans="2:8" x14ac:dyDescent="0.2">
      <c r="B18"/>
      <c r="C18"/>
      <c r="D18"/>
      <c r="E18"/>
      <c r="F18"/>
      <c r="G18"/>
      <c r="H18"/>
    </row>
    <row r="19" spans="2:8" x14ac:dyDescent="0.2">
      <c r="B19"/>
      <c r="C19"/>
      <c r="D19"/>
      <c r="E19"/>
      <c r="F19"/>
      <c r="G19"/>
      <c r="H19"/>
    </row>
    <row r="20" spans="2:8" x14ac:dyDescent="0.2">
      <c r="B20"/>
      <c r="C20"/>
      <c r="D20"/>
      <c r="E20"/>
      <c r="F20"/>
      <c r="G20"/>
      <c r="H20"/>
    </row>
    <row r="21" spans="2:8" x14ac:dyDescent="0.2">
      <c r="B21"/>
      <c r="C21"/>
      <c r="D21"/>
      <c r="E21"/>
      <c r="F21"/>
      <c r="G21"/>
      <c r="H21"/>
    </row>
    <row r="22" spans="2:8" x14ac:dyDescent="0.2">
      <c r="B22"/>
      <c r="C22"/>
      <c r="D22"/>
      <c r="E22"/>
      <c r="F22"/>
      <c r="G22"/>
      <c r="H22"/>
    </row>
    <row r="23" spans="2:8" x14ac:dyDescent="0.2">
      <c r="B23"/>
      <c r="C23"/>
      <c r="D23"/>
      <c r="E23"/>
      <c r="F23"/>
      <c r="G23"/>
      <c r="H23"/>
    </row>
    <row r="24" spans="2:8" x14ac:dyDescent="0.2">
      <c r="B24"/>
      <c r="C24"/>
      <c r="D24"/>
      <c r="E24"/>
      <c r="F24"/>
      <c r="G24"/>
      <c r="H24"/>
    </row>
    <row r="25" spans="2:8" x14ac:dyDescent="0.2">
      <c r="B25"/>
      <c r="C25"/>
      <c r="D25"/>
      <c r="E25"/>
      <c r="F25"/>
      <c r="G25"/>
      <c r="H25"/>
    </row>
    <row r="26" spans="2:8" x14ac:dyDescent="0.2">
      <c r="B26"/>
      <c r="C26"/>
      <c r="D26"/>
      <c r="E26"/>
      <c r="F26"/>
      <c r="G26"/>
      <c r="H26"/>
    </row>
    <row r="27" spans="2:8" x14ac:dyDescent="0.2">
      <c r="B27"/>
      <c r="C27"/>
      <c r="D27"/>
      <c r="E27"/>
      <c r="F27"/>
      <c r="G27"/>
      <c r="H27"/>
    </row>
    <row r="28" spans="2:8" x14ac:dyDescent="0.2">
      <c r="B28"/>
      <c r="C28"/>
      <c r="D28"/>
      <c r="E28"/>
      <c r="F28"/>
      <c r="G28"/>
      <c r="H28"/>
    </row>
    <row r="29" spans="2:8" x14ac:dyDescent="0.2">
      <c r="B29"/>
      <c r="C29"/>
      <c r="D29"/>
      <c r="E29"/>
      <c r="F29"/>
      <c r="G29"/>
      <c r="H29"/>
    </row>
    <row r="30" spans="2:8" x14ac:dyDescent="0.2">
      <c r="B30"/>
      <c r="C30"/>
      <c r="D30"/>
      <c r="E30"/>
      <c r="F30"/>
      <c r="G30"/>
      <c r="H30"/>
    </row>
    <row r="31" spans="2:8" x14ac:dyDescent="0.2">
      <c r="B31"/>
      <c r="C31"/>
      <c r="D31"/>
      <c r="E31"/>
      <c r="F31"/>
      <c r="G31"/>
      <c r="H31"/>
    </row>
    <row r="32" spans="2:8" x14ac:dyDescent="0.2">
      <c r="B32"/>
      <c r="C32"/>
      <c r="D32"/>
      <c r="E32"/>
      <c r="F32"/>
      <c r="G32"/>
      <c r="H32"/>
    </row>
    <row r="33" spans="2:8" x14ac:dyDescent="0.2">
      <c r="B33"/>
      <c r="C33"/>
      <c r="D33"/>
      <c r="E33"/>
      <c r="F33"/>
      <c r="G33"/>
      <c r="H33"/>
    </row>
    <row r="34" spans="2:8" x14ac:dyDescent="0.2">
      <c r="B34"/>
      <c r="C34"/>
      <c r="D34"/>
      <c r="E34"/>
      <c r="F34"/>
      <c r="G34"/>
      <c r="H34"/>
    </row>
    <row r="35" spans="2:8" x14ac:dyDescent="0.2">
      <c r="B35"/>
      <c r="C35"/>
      <c r="D35"/>
      <c r="E35"/>
      <c r="F35"/>
      <c r="G35"/>
      <c r="H35"/>
    </row>
    <row r="36" spans="2:8" x14ac:dyDescent="0.2">
      <c r="B36"/>
      <c r="C36"/>
      <c r="D36"/>
      <c r="E36"/>
      <c r="F36"/>
      <c r="G36"/>
      <c r="H36"/>
    </row>
    <row r="37" spans="2:8" x14ac:dyDescent="0.2">
      <c r="B37"/>
      <c r="C37"/>
      <c r="D37"/>
      <c r="E37"/>
      <c r="F37"/>
      <c r="G37"/>
      <c r="H37"/>
    </row>
    <row r="38" spans="2:8" x14ac:dyDescent="0.2">
      <c r="B38"/>
      <c r="C38"/>
      <c r="D38"/>
      <c r="E38"/>
      <c r="F38"/>
      <c r="G38"/>
      <c r="H38"/>
    </row>
    <row r="39" spans="2:8" x14ac:dyDescent="0.2">
      <c r="B39"/>
      <c r="C39"/>
      <c r="D39"/>
      <c r="E39"/>
      <c r="F39"/>
      <c r="G39"/>
      <c r="H39"/>
    </row>
    <row r="40" spans="2:8" x14ac:dyDescent="0.2">
      <c r="B40"/>
      <c r="C40"/>
      <c r="D40"/>
      <c r="E40"/>
      <c r="F40"/>
      <c r="G40"/>
      <c r="H40"/>
    </row>
    <row r="41" spans="2:8" x14ac:dyDescent="0.2">
      <c r="B41"/>
      <c r="C41"/>
      <c r="D41"/>
      <c r="E41"/>
      <c r="F41"/>
      <c r="G41"/>
      <c r="H41"/>
    </row>
    <row r="42" spans="2:8" x14ac:dyDescent="0.2">
      <c r="B42"/>
      <c r="C42"/>
      <c r="D42"/>
      <c r="E42"/>
      <c r="F42"/>
      <c r="G42"/>
      <c r="H42"/>
    </row>
    <row r="43" spans="2:8" x14ac:dyDescent="0.2">
      <c r="B43"/>
      <c r="C43"/>
      <c r="D43"/>
      <c r="E43"/>
      <c r="F43"/>
      <c r="G43"/>
      <c r="H43"/>
    </row>
    <row r="44" spans="2:8" x14ac:dyDescent="0.2">
      <c r="B44"/>
      <c r="C44"/>
      <c r="D44"/>
      <c r="E44"/>
      <c r="F44"/>
      <c r="G44"/>
      <c r="H44"/>
    </row>
    <row r="45" spans="2:8" x14ac:dyDescent="0.2">
      <c r="B45"/>
      <c r="C45"/>
      <c r="D45"/>
      <c r="E45"/>
      <c r="F45"/>
      <c r="G45"/>
      <c r="H45"/>
    </row>
    <row r="46" spans="2:8" x14ac:dyDescent="0.2">
      <c r="B46"/>
      <c r="C46"/>
      <c r="D46"/>
      <c r="E46"/>
      <c r="F46"/>
      <c r="G46"/>
      <c r="H46"/>
    </row>
    <row r="47" spans="2:8" x14ac:dyDescent="0.2">
      <c r="B47"/>
      <c r="C47"/>
      <c r="D47"/>
      <c r="E47"/>
      <c r="F47"/>
      <c r="G47"/>
      <c r="H47"/>
    </row>
    <row r="48" spans="2:8" x14ac:dyDescent="0.2">
      <c r="B48"/>
      <c r="C48"/>
      <c r="D48"/>
      <c r="E48"/>
      <c r="F48"/>
      <c r="G48"/>
      <c r="H48"/>
    </row>
    <row r="49" spans="2:8" x14ac:dyDescent="0.2">
      <c r="B49"/>
      <c r="C49"/>
      <c r="D49"/>
      <c r="E49"/>
      <c r="F49"/>
      <c r="G49"/>
      <c r="H49"/>
    </row>
    <row r="50" spans="2:8" x14ac:dyDescent="0.2">
      <c r="B50"/>
      <c r="C50"/>
      <c r="D50"/>
      <c r="E50"/>
      <c r="F50"/>
      <c r="G50"/>
      <c r="H50"/>
    </row>
    <row r="51" spans="2:8" x14ac:dyDescent="0.2">
      <c r="B51"/>
      <c r="C51"/>
      <c r="D51"/>
      <c r="E51"/>
      <c r="F51"/>
      <c r="G51"/>
      <c r="H51"/>
    </row>
    <row r="52" spans="2:8" x14ac:dyDescent="0.2">
      <c r="B52"/>
      <c r="C52"/>
      <c r="D52"/>
      <c r="E52"/>
      <c r="F52"/>
      <c r="G52"/>
      <c r="H52"/>
    </row>
    <row r="53" spans="2:8" x14ac:dyDescent="0.2">
      <c r="B53"/>
      <c r="C53"/>
      <c r="D53"/>
      <c r="E53"/>
      <c r="F53"/>
      <c r="G53"/>
      <c r="H53"/>
    </row>
    <row r="54" spans="2:8" x14ac:dyDescent="0.2">
      <c r="B54"/>
      <c r="C54"/>
      <c r="D54"/>
      <c r="E54"/>
      <c r="F54"/>
      <c r="G54"/>
      <c r="H54"/>
    </row>
    <row r="55" spans="2:8" x14ac:dyDescent="0.2">
      <c r="B55"/>
      <c r="C55"/>
      <c r="D55"/>
      <c r="E55"/>
      <c r="F55"/>
      <c r="G55"/>
      <c r="H55"/>
    </row>
    <row r="56" spans="2:8" x14ac:dyDescent="0.2">
      <c r="B56"/>
      <c r="C56"/>
      <c r="D56"/>
      <c r="E56"/>
      <c r="F56"/>
      <c r="G56"/>
      <c r="H56"/>
    </row>
    <row r="57" spans="2:8" x14ac:dyDescent="0.2">
      <c r="B57"/>
      <c r="C57"/>
      <c r="D57"/>
      <c r="E57"/>
      <c r="F57"/>
      <c r="G57"/>
      <c r="H57"/>
    </row>
    <row r="58" spans="2:8" x14ac:dyDescent="0.2">
      <c r="B58"/>
      <c r="C58"/>
      <c r="D58"/>
      <c r="E58"/>
      <c r="F58"/>
      <c r="G58"/>
      <c r="H58"/>
    </row>
    <row r="59" spans="2:8" x14ac:dyDescent="0.2">
      <c r="B59"/>
      <c r="C59"/>
      <c r="D59"/>
      <c r="E59"/>
      <c r="F59"/>
      <c r="G59"/>
      <c r="H59"/>
    </row>
    <row r="60" spans="2:8" x14ac:dyDescent="0.2">
      <c r="B60"/>
      <c r="C60"/>
      <c r="D60"/>
      <c r="E60"/>
      <c r="F60"/>
      <c r="G60"/>
      <c r="H60"/>
    </row>
    <row r="61" spans="2:8" x14ac:dyDescent="0.2">
      <c r="B61"/>
      <c r="C61"/>
      <c r="D61"/>
      <c r="E61"/>
      <c r="F61"/>
      <c r="G61"/>
      <c r="H61"/>
    </row>
    <row r="62" spans="2:8" x14ac:dyDescent="0.2">
      <c r="B62"/>
      <c r="C62"/>
      <c r="D62"/>
      <c r="E62"/>
      <c r="F62"/>
      <c r="G62"/>
      <c r="H62"/>
    </row>
    <row r="63" spans="2:8" x14ac:dyDescent="0.2">
      <c r="B63"/>
      <c r="C63"/>
      <c r="D63"/>
      <c r="E63"/>
      <c r="F63"/>
      <c r="G63"/>
      <c r="H63"/>
    </row>
    <row r="64" spans="2:8" x14ac:dyDescent="0.2">
      <c r="B64"/>
      <c r="C64"/>
      <c r="D64"/>
      <c r="E64"/>
      <c r="F64"/>
      <c r="G64"/>
      <c r="H64"/>
    </row>
    <row r="65" spans="2:8" x14ac:dyDescent="0.2">
      <c r="B65"/>
      <c r="C65"/>
      <c r="D65"/>
      <c r="E65"/>
      <c r="F65"/>
      <c r="G65"/>
      <c r="H65"/>
    </row>
    <row r="66" spans="2:8" x14ac:dyDescent="0.2">
      <c r="B66"/>
      <c r="C66"/>
      <c r="D66"/>
      <c r="E66"/>
      <c r="F66"/>
      <c r="G66"/>
      <c r="H66"/>
    </row>
    <row r="67" spans="2:8" x14ac:dyDescent="0.2">
      <c r="B67"/>
      <c r="C67"/>
      <c r="D67"/>
      <c r="E67"/>
      <c r="F67"/>
      <c r="G67"/>
      <c r="H67"/>
    </row>
    <row r="68" spans="2:8" x14ac:dyDescent="0.2">
      <c r="B68"/>
      <c r="C68"/>
      <c r="D68"/>
      <c r="E68"/>
      <c r="F68"/>
      <c r="G68"/>
      <c r="H68"/>
    </row>
    <row r="69" spans="2:8" x14ac:dyDescent="0.2">
      <c r="B69"/>
      <c r="C69"/>
      <c r="D69"/>
      <c r="E69"/>
      <c r="F69"/>
      <c r="G69"/>
      <c r="H69"/>
    </row>
    <row r="70" spans="2:8" x14ac:dyDescent="0.2">
      <c r="B70"/>
      <c r="C70"/>
      <c r="D70"/>
      <c r="E70"/>
      <c r="F70"/>
      <c r="G70"/>
      <c r="H70"/>
    </row>
    <row r="71" spans="2:8" x14ac:dyDescent="0.2">
      <c r="B71"/>
      <c r="C71"/>
      <c r="D71"/>
      <c r="E71"/>
      <c r="F71"/>
      <c r="G71"/>
      <c r="H71"/>
    </row>
    <row r="72" spans="2:8" x14ac:dyDescent="0.2">
      <c r="B72"/>
      <c r="C72"/>
      <c r="D72"/>
      <c r="E72"/>
      <c r="F72"/>
      <c r="G72"/>
      <c r="H72"/>
    </row>
    <row r="73" spans="2:8" x14ac:dyDescent="0.2">
      <c r="B73"/>
      <c r="C73"/>
      <c r="D73"/>
      <c r="E73"/>
      <c r="F73"/>
      <c r="G73"/>
      <c r="H73"/>
    </row>
    <row r="74" spans="2:8" x14ac:dyDescent="0.2">
      <c r="B74"/>
      <c r="C74"/>
      <c r="D74"/>
      <c r="E74"/>
      <c r="F74"/>
      <c r="G74"/>
      <c r="H74"/>
    </row>
    <row r="75" spans="2:8" x14ac:dyDescent="0.2">
      <c r="B75"/>
      <c r="C75"/>
      <c r="D75"/>
      <c r="E75"/>
      <c r="F75"/>
      <c r="G75"/>
      <c r="H75"/>
    </row>
    <row r="76" spans="2:8" x14ac:dyDescent="0.2">
      <c r="B76"/>
      <c r="C76"/>
      <c r="D76"/>
      <c r="E76"/>
      <c r="F76"/>
      <c r="G76"/>
      <c r="H76"/>
    </row>
    <row r="77" spans="2:8" x14ac:dyDescent="0.2">
      <c r="B77"/>
      <c r="C77"/>
      <c r="D77"/>
      <c r="E77"/>
      <c r="F77"/>
      <c r="G77"/>
      <c r="H77"/>
    </row>
    <row r="78" spans="2:8" x14ac:dyDescent="0.2">
      <c r="B78"/>
      <c r="C78"/>
      <c r="D78"/>
      <c r="E78"/>
      <c r="F78"/>
      <c r="G78"/>
      <c r="H78"/>
    </row>
    <row r="79" spans="2:8" x14ac:dyDescent="0.2">
      <c r="B79"/>
      <c r="C79"/>
      <c r="D79"/>
      <c r="E79"/>
      <c r="F79"/>
      <c r="G79"/>
      <c r="H79"/>
    </row>
    <row r="80" spans="2:8" x14ac:dyDescent="0.2">
      <c r="B80"/>
      <c r="C80"/>
      <c r="D80"/>
      <c r="E80"/>
      <c r="F80"/>
      <c r="G80"/>
      <c r="H80"/>
    </row>
    <row r="81" spans="2:8" x14ac:dyDescent="0.2">
      <c r="B81"/>
      <c r="C81"/>
      <c r="D81"/>
      <c r="E81"/>
      <c r="F81"/>
      <c r="G81"/>
      <c r="H81"/>
    </row>
    <row r="82" spans="2:8" x14ac:dyDescent="0.2">
      <c r="B82"/>
      <c r="C82"/>
      <c r="D82"/>
      <c r="E82"/>
      <c r="F82"/>
      <c r="G82"/>
      <c r="H82"/>
    </row>
    <row r="83" spans="2:8" x14ac:dyDescent="0.2">
      <c r="B83"/>
      <c r="C83"/>
      <c r="D83"/>
      <c r="E83"/>
      <c r="F83"/>
      <c r="G83"/>
      <c r="H83"/>
    </row>
    <row r="84" spans="2:8" x14ac:dyDescent="0.2">
      <c r="B84" s="2"/>
      <c r="C84" s="2"/>
      <c r="D84" s="2"/>
      <c r="E84" s="2"/>
      <c r="F84" s="2"/>
      <c r="G84" s="2"/>
      <c r="H84" s="2"/>
    </row>
    <row r="85" spans="2:8" x14ac:dyDescent="0.2">
      <c r="B85" s="2"/>
      <c r="C85" s="2"/>
      <c r="D85" s="2"/>
      <c r="E85" s="2"/>
      <c r="F85" s="2"/>
      <c r="G85" s="2"/>
      <c r="H85" s="2"/>
    </row>
    <row r="86" spans="2:8" x14ac:dyDescent="0.2">
      <c r="B86" s="2"/>
      <c r="C86" s="2"/>
      <c r="D86" s="2"/>
      <c r="E86" s="2"/>
      <c r="F86" s="2"/>
      <c r="G86" s="2"/>
      <c r="H86" s="2"/>
    </row>
    <row r="87" spans="2:8" x14ac:dyDescent="0.2">
      <c r="B87" s="2"/>
      <c r="C87" s="2"/>
      <c r="D87" s="2"/>
      <c r="E87" s="2"/>
      <c r="F87" s="2"/>
      <c r="G87" s="2"/>
      <c r="H87" s="2"/>
    </row>
    <row r="88" spans="2:8" x14ac:dyDescent="0.2">
      <c r="B88" s="2"/>
      <c r="C88" s="2"/>
      <c r="D88" s="2"/>
      <c r="E88" s="2"/>
      <c r="F88" s="2"/>
      <c r="G88" s="2"/>
      <c r="H88" s="2"/>
    </row>
  </sheetData>
  <sheetProtection password="C70A" sheet="1" objects="1" scenarios="1"/>
  <mergeCells count="8">
    <mergeCell ref="C13:G13"/>
    <mergeCell ref="C2:G2"/>
    <mergeCell ref="C7:G7"/>
    <mergeCell ref="C8:G8"/>
    <mergeCell ref="C9:G9"/>
    <mergeCell ref="C11:G11"/>
    <mergeCell ref="C12:G12"/>
    <mergeCell ref="C10:G10"/>
  </mergeCells>
  <phoneticPr fontId="0" type="noConversion"/>
  <hyperlinks>
    <hyperlink ref="G5" location="Series!E4" display="Volver a Series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rubros imesi</vt:lpstr>
      <vt:lpstr>IMESI Vol Físico - Series mensu</vt:lpstr>
      <vt:lpstr>Series</vt:lpstr>
      <vt:lpstr>Notas</vt:lpstr>
      <vt:lpstr>bebidas</vt:lpstr>
      <vt:lpstr>lubricantes</vt:lpstr>
      <vt:lpstr>Rubros</vt:lpstr>
      <vt:lpstr>seleccione</vt:lpstr>
      <vt:lpstr>tabacos</vt:lpstr>
      <vt:lpstr>Vehículos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Magallanes</dc:creator>
  <cp:lastModifiedBy>Karina Umpierrez</cp:lastModifiedBy>
  <cp:lastPrinted>2023-12-26T19:30:06Z</cp:lastPrinted>
  <dcterms:created xsi:type="dcterms:W3CDTF">2010-09-27T13:28:28Z</dcterms:created>
  <dcterms:modified xsi:type="dcterms:W3CDTF">2026-05-25T17:14:02Z</dcterms:modified>
</cp:coreProperties>
</file>